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480" yWindow="120" windowWidth="14640" windowHeight="7170" tabRatio="703" activeTab="1"/>
  </bookViews>
  <sheets>
    <sheet name="ro-cat" sheetId="66" r:id="rId1"/>
    <sheet name="bsku" sheetId="65" r:id="rId2"/>
    <sheet name="Q2進" sheetId="59" r:id="rId3"/>
    <sheet name="bsku-0" sheetId="69" r:id="rId4"/>
    <sheet name="xB4" sheetId="58" r:id="rId5"/>
    <sheet name="pack" sheetId="62" r:id="rId6"/>
    <sheet name="q5-0" sheetId="68" r:id="rId7"/>
    <sheet name="q5" sheetId="67" r:id="rId8"/>
    <sheet name="RO" sheetId="63" r:id="rId9"/>
    <sheet name="EE" sheetId="61" r:id="rId10"/>
    <sheet name="sku" sheetId="60" r:id="rId11"/>
    <sheet name="QT2" sheetId="64" r:id="rId12"/>
    <sheet name="B4" sheetId="57" r:id="rId13"/>
    <sheet name="RO進" sheetId="2" r:id="rId14"/>
  </sheets>
  <definedNames>
    <definedName name="sale_amount_by_date">#REF!</definedName>
    <definedName name="sale_amount_by_date_10">#REF!</definedName>
    <definedName name="sale_amount_by_date_3">#REF!</definedName>
    <definedName name="sale_amount_by_date_4">#REF!</definedName>
    <definedName name="sale_amount_by_month">#REF!</definedName>
    <definedName name="sale_amount_by_month_10">#REF!</definedName>
    <definedName name="sale_amount_by_month_3">#REF!</definedName>
    <definedName name="sale_amount_by_month_4">#REF!</definedName>
  </definedNames>
  <calcPr calcId="144525"/>
</workbook>
</file>

<file path=xl/calcChain.xml><?xml version="1.0" encoding="utf-8"?>
<calcChain xmlns="http://schemas.openxmlformats.org/spreadsheetml/2006/main">
  <c r="E458" i="65" l="1"/>
  <c r="D815" i="65" l="1"/>
  <c r="D132" i="65"/>
  <c r="E934" i="65"/>
  <c r="E788" i="65"/>
  <c r="E787" i="65"/>
  <c r="E786" i="65"/>
  <c r="E785" i="65"/>
  <c r="E789" i="65"/>
  <c r="B1193" i="69"/>
  <c r="E1069" i="69"/>
  <c r="B1068" i="69"/>
  <c r="B1051" i="69"/>
  <c r="B1050" i="69"/>
  <c r="B1049" i="69"/>
  <c r="B1048" i="69"/>
  <c r="B1047" i="69"/>
  <c r="B1046" i="69"/>
  <c r="B1045" i="69"/>
  <c r="B1044" i="69"/>
  <c r="B1043" i="69"/>
  <c r="B1042" i="69"/>
  <c r="B946" i="69"/>
  <c r="B937" i="69"/>
  <c r="B936" i="69"/>
  <c r="B935" i="69"/>
  <c r="B934" i="69"/>
  <c r="B933" i="69"/>
  <c r="B932" i="69"/>
  <c r="B931" i="69"/>
  <c r="E917" i="69"/>
  <c r="B909" i="69"/>
  <c r="B908" i="69"/>
  <c r="B907" i="69"/>
  <c r="B906" i="69"/>
  <c r="B905" i="69"/>
  <c r="B904" i="69"/>
  <c r="B903" i="69"/>
  <c r="B902" i="69"/>
  <c r="B901" i="69"/>
  <c r="B900" i="69"/>
  <c r="B899" i="69"/>
  <c r="B898" i="69"/>
  <c r="B897" i="69"/>
  <c r="B896" i="69"/>
  <c r="B894" i="69"/>
  <c r="B893" i="69"/>
  <c r="B891" i="69"/>
  <c r="B890" i="69"/>
  <c r="B889" i="69"/>
  <c r="B866" i="69"/>
  <c r="B865" i="69"/>
  <c r="B864" i="69"/>
  <c r="B863" i="69"/>
  <c r="B862" i="69"/>
  <c r="B860" i="69"/>
  <c r="B859" i="69"/>
  <c r="B857" i="69"/>
  <c r="B856" i="69"/>
  <c r="B855" i="69"/>
  <c r="B854" i="69"/>
  <c r="B853" i="69"/>
  <c r="B852" i="69"/>
  <c r="B848" i="69"/>
  <c r="B847" i="69"/>
  <c r="B846" i="69"/>
  <c r="B845" i="69"/>
  <c r="B844" i="69"/>
  <c r="B843" i="69"/>
  <c r="B842" i="69"/>
  <c r="B841" i="69"/>
  <c r="B840" i="69"/>
  <c r="B839" i="69"/>
  <c r="B838" i="69"/>
  <c r="B837" i="69"/>
  <c r="B832" i="69"/>
  <c r="B831" i="69"/>
  <c r="B830" i="69"/>
  <c r="B829" i="69"/>
  <c r="B828" i="69"/>
  <c r="B827" i="69"/>
  <c r="B826" i="69"/>
  <c r="B825" i="69"/>
  <c r="B824" i="69"/>
  <c r="B823" i="69"/>
  <c r="B822" i="69"/>
  <c r="B821" i="69"/>
  <c r="D812" i="69"/>
  <c r="B812" i="69"/>
  <c r="D811" i="69"/>
  <c r="B811" i="69"/>
  <c r="D810" i="69"/>
  <c r="B810" i="69"/>
  <c r="D809" i="69"/>
  <c r="B809" i="69"/>
  <c r="D808" i="69"/>
  <c r="B808" i="69"/>
  <c r="D807" i="69"/>
  <c r="B807" i="69"/>
  <c r="D806" i="69"/>
  <c r="B806" i="69"/>
  <c r="B805" i="69"/>
  <c r="B804" i="69"/>
  <c r="B803" i="69"/>
  <c r="B802" i="69"/>
  <c r="B801" i="69"/>
  <c r="B800" i="69"/>
  <c r="B799" i="69"/>
  <c r="D798" i="69"/>
  <c r="B798" i="69"/>
  <c r="D797" i="69"/>
  <c r="B797" i="69"/>
  <c r="D796" i="69"/>
  <c r="B796" i="69"/>
  <c r="D795" i="69"/>
  <c r="B795" i="69"/>
  <c r="D794" i="69"/>
  <c r="B794" i="69"/>
  <c r="D793" i="69"/>
  <c r="B793" i="69"/>
  <c r="B791" i="69"/>
  <c r="B790" i="69"/>
  <c r="B789" i="69"/>
  <c r="B788" i="69"/>
  <c r="B787" i="69"/>
  <c r="B786" i="69"/>
  <c r="B785" i="69"/>
  <c r="B784" i="69"/>
  <c r="B782" i="69"/>
  <c r="B781" i="69"/>
  <c r="B780" i="69"/>
  <c r="B779" i="69"/>
  <c r="B778" i="69"/>
  <c r="B776" i="69"/>
  <c r="B775" i="69"/>
  <c r="B774" i="69"/>
  <c r="B773" i="69"/>
  <c r="B760" i="69"/>
  <c r="B759" i="69"/>
  <c r="B758" i="69"/>
  <c r="B757" i="69"/>
  <c r="B756" i="69"/>
  <c r="D755" i="69"/>
  <c r="B755" i="69"/>
  <c r="D754" i="69"/>
  <c r="B754" i="69"/>
  <c r="B753" i="69"/>
  <c r="B752" i="69"/>
  <c r="B751" i="69"/>
  <c r="B750" i="69"/>
  <c r="B749" i="69"/>
  <c r="B748" i="69"/>
  <c r="B747" i="69"/>
  <c r="B746" i="69"/>
  <c r="B745" i="69"/>
  <c r="B744" i="69"/>
  <c r="B743" i="69"/>
  <c r="B742" i="69"/>
  <c r="B741" i="69"/>
  <c r="B734" i="69"/>
  <c r="E733" i="69"/>
  <c r="B733" i="69"/>
  <c r="E732" i="69"/>
  <c r="B732" i="69"/>
  <c r="B731" i="69"/>
  <c r="D730" i="69"/>
  <c r="B730" i="69"/>
  <c r="B729" i="69"/>
  <c r="B728" i="69"/>
  <c r="B727" i="69"/>
  <c r="D726" i="69"/>
  <c r="B726" i="69"/>
  <c r="B725" i="69"/>
  <c r="B724" i="69"/>
  <c r="B723" i="69"/>
  <c r="E722" i="69"/>
  <c r="B722" i="69"/>
  <c r="E721" i="69"/>
  <c r="B721" i="69"/>
  <c r="E720" i="69"/>
  <c r="B720" i="69"/>
  <c r="E719" i="69"/>
  <c r="B719" i="69"/>
  <c r="E718" i="69"/>
  <c r="B718" i="69"/>
  <c r="E717" i="69"/>
  <c r="B717" i="69"/>
  <c r="E716" i="69"/>
  <c r="B716" i="69"/>
  <c r="E715" i="69"/>
  <c r="B715" i="69"/>
  <c r="E714" i="69"/>
  <c r="B714" i="69"/>
  <c r="E713" i="69"/>
  <c r="B713" i="69"/>
  <c r="E712" i="69"/>
  <c r="B712" i="69"/>
  <c r="E711" i="69"/>
  <c r="B711" i="69"/>
  <c r="E710" i="69"/>
  <c r="B710" i="69"/>
  <c r="E709" i="69"/>
  <c r="B709" i="69"/>
  <c r="E708" i="69"/>
  <c r="B708" i="69"/>
  <c r="E707" i="69"/>
  <c r="B707" i="69"/>
  <c r="E706" i="69"/>
  <c r="B706" i="69"/>
  <c r="E705" i="69"/>
  <c r="B705" i="69"/>
  <c r="E704" i="69"/>
  <c r="B704" i="69"/>
  <c r="B703" i="69"/>
  <c r="B702" i="69"/>
  <c r="B701" i="69"/>
  <c r="B700" i="69"/>
  <c r="B699" i="69"/>
  <c r="B698" i="69"/>
  <c r="B697" i="69"/>
  <c r="B665" i="69"/>
  <c r="B664" i="69"/>
  <c r="B663" i="69"/>
  <c r="B662" i="69"/>
  <c r="B661" i="69"/>
  <c r="B660" i="69"/>
  <c r="B659" i="69"/>
  <c r="B658" i="69"/>
  <c r="B657" i="69"/>
  <c r="B656" i="69"/>
  <c r="B655" i="69"/>
  <c r="B654" i="69"/>
  <c r="B653" i="69"/>
  <c r="B652" i="69"/>
  <c r="B651" i="69"/>
  <c r="E650" i="69"/>
  <c r="B650" i="69"/>
  <c r="E649" i="69"/>
  <c r="B649" i="69"/>
  <c r="E648" i="69"/>
  <c r="B648" i="69"/>
  <c r="B647" i="69"/>
  <c r="B646" i="69"/>
  <c r="B645" i="69"/>
  <c r="B644" i="69"/>
  <c r="B643" i="69"/>
  <c r="B642" i="69"/>
  <c r="B641" i="69"/>
  <c r="B640" i="69"/>
  <c r="E639" i="69"/>
  <c r="B639" i="69"/>
  <c r="E638" i="69"/>
  <c r="B638" i="69"/>
  <c r="E637" i="69"/>
  <c r="B637" i="69"/>
  <c r="E636" i="69"/>
  <c r="B636" i="69"/>
  <c r="E635" i="69"/>
  <c r="B635" i="69"/>
  <c r="E634" i="69"/>
  <c r="B634" i="69"/>
  <c r="B633" i="69"/>
  <c r="B632" i="69"/>
  <c r="B631" i="69"/>
  <c r="E630" i="69"/>
  <c r="B630" i="69"/>
  <c r="E629" i="69"/>
  <c r="B629" i="69"/>
  <c r="E628" i="69"/>
  <c r="B628" i="69"/>
  <c r="E618" i="69"/>
  <c r="E617" i="69"/>
  <c r="E616" i="69"/>
  <c r="B530" i="69"/>
  <c r="B529" i="69"/>
  <c r="B528" i="69"/>
  <c r="B527" i="69"/>
  <c r="E476" i="69"/>
  <c r="D476" i="69"/>
  <c r="B476" i="69"/>
  <c r="E475" i="69"/>
  <c r="D475" i="69"/>
  <c r="B475" i="69"/>
  <c r="E474" i="69"/>
  <c r="D474" i="69"/>
  <c r="B474" i="69"/>
  <c r="E473" i="69"/>
  <c r="D473" i="69"/>
  <c r="B473" i="69"/>
  <c r="E472" i="69"/>
  <c r="D472" i="69"/>
  <c r="B472" i="69"/>
  <c r="E471" i="69"/>
  <c r="D471" i="69"/>
  <c r="B471" i="69"/>
  <c r="E470" i="69"/>
  <c r="D470" i="69"/>
  <c r="B470" i="69"/>
  <c r="E469" i="69"/>
  <c r="D469" i="69"/>
  <c r="B469" i="69"/>
  <c r="E468" i="69"/>
  <c r="B468" i="69"/>
  <c r="E467" i="69"/>
  <c r="B467" i="69"/>
  <c r="E466" i="69"/>
  <c r="B466" i="69"/>
  <c r="B465" i="69"/>
  <c r="B464" i="69"/>
  <c r="B463" i="69"/>
  <c r="B462" i="69"/>
  <c r="B461" i="69"/>
  <c r="E460" i="69"/>
  <c r="D460" i="69"/>
  <c r="B460" i="69"/>
  <c r="E459" i="69"/>
  <c r="B459" i="69"/>
  <c r="E458" i="69"/>
  <c r="B458" i="69"/>
  <c r="E437" i="69"/>
  <c r="B437" i="69"/>
  <c r="E436" i="69"/>
  <c r="B436" i="69"/>
  <c r="E435" i="69"/>
  <c r="B435" i="69"/>
  <c r="E434" i="69"/>
  <c r="B434" i="69"/>
  <c r="E433" i="69"/>
  <c r="B433" i="69"/>
  <c r="E432" i="69"/>
  <c r="B432" i="69"/>
  <c r="E431" i="69"/>
  <c r="B431" i="69"/>
  <c r="E430" i="69"/>
  <c r="B430" i="69"/>
  <c r="E429" i="69"/>
  <c r="B429" i="69"/>
  <c r="E428" i="69"/>
  <c r="B428" i="69"/>
  <c r="E427" i="69"/>
  <c r="B427" i="69"/>
  <c r="E426" i="69"/>
  <c r="B426" i="69"/>
  <c r="E425" i="69"/>
  <c r="B425" i="69"/>
  <c r="E424" i="69"/>
  <c r="B424" i="69"/>
  <c r="B423" i="69"/>
  <c r="B422" i="69"/>
  <c r="B421" i="69"/>
  <c r="E420" i="69"/>
  <c r="B420" i="69"/>
  <c r="E419" i="69"/>
  <c r="B419" i="69"/>
  <c r="E418" i="69"/>
  <c r="B418" i="69"/>
  <c r="E417" i="69"/>
  <c r="D417" i="69"/>
  <c r="E416" i="69"/>
  <c r="D416" i="69"/>
  <c r="E415" i="69"/>
  <c r="D415" i="69"/>
  <c r="E414" i="69"/>
  <c r="D414" i="69"/>
  <c r="E413" i="69"/>
  <c r="D413" i="69"/>
  <c r="E412" i="69"/>
  <c r="D412" i="69"/>
  <c r="E411" i="69"/>
  <c r="D411" i="69"/>
  <c r="E410" i="69"/>
  <c r="D410" i="69"/>
  <c r="E409" i="69"/>
  <c r="D409" i="69"/>
  <c r="E408" i="69"/>
  <c r="D408" i="69"/>
  <c r="E407" i="69"/>
  <c r="D407" i="69"/>
  <c r="E406" i="69"/>
  <c r="D406" i="69"/>
  <c r="E405" i="69"/>
  <c r="D405" i="69"/>
  <c r="E404" i="69"/>
  <c r="D404" i="69"/>
  <c r="E403" i="69"/>
  <c r="D403" i="69"/>
  <c r="E402" i="69"/>
  <c r="D402" i="69"/>
  <c r="E401" i="69"/>
  <c r="D401" i="69"/>
  <c r="E400" i="69"/>
  <c r="D400" i="69"/>
  <c r="E399" i="69"/>
  <c r="D399" i="69"/>
  <c r="E398" i="69"/>
  <c r="D398" i="69"/>
  <c r="E397" i="69"/>
  <c r="D397" i="69"/>
  <c r="E396" i="69"/>
  <c r="D396" i="69"/>
  <c r="E395" i="69"/>
  <c r="D395" i="69"/>
  <c r="E394" i="69"/>
  <c r="D394" i="69"/>
  <c r="E393" i="69"/>
  <c r="D393" i="69"/>
  <c r="E392" i="69"/>
  <c r="E391" i="69"/>
  <c r="E390" i="69"/>
  <c r="E389" i="69"/>
  <c r="E388" i="69"/>
  <c r="E387" i="69"/>
  <c r="E386" i="69"/>
  <c r="E385" i="69"/>
  <c r="E384" i="69"/>
  <c r="E383" i="69"/>
  <c r="E382" i="69"/>
  <c r="B382" i="69"/>
  <c r="E381" i="69"/>
  <c r="B381" i="69"/>
  <c r="E380" i="69"/>
  <c r="B380" i="69"/>
  <c r="B379" i="69"/>
  <c r="B378" i="69"/>
  <c r="B377" i="69"/>
  <c r="B376" i="69"/>
  <c r="B375" i="69"/>
  <c r="B374" i="69"/>
  <c r="B373" i="69"/>
  <c r="B372" i="69"/>
  <c r="E371" i="69"/>
  <c r="B371" i="69"/>
  <c r="E370" i="69"/>
  <c r="B370" i="69"/>
  <c r="E369" i="69"/>
  <c r="B369" i="69"/>
  <c r="E368" i="69"/>
  <c r="B368" i="69"/>
  <c r="E367" i="69"/>
  <c r="B367" i="69"/>
  <c r="E366" i="69"/>
  <c r="B366" i="69"/>
  <c r="E364" i="69"/>
  <c r="D364" i="69"/>
  <c r="E363" i="69"/>
  <c r="D363" i="69"/>
  <c r="E362" i="69"/>
  <c r="D362" i="69"/>
  <c r="E361" i="69"/>
  <c r="D361" i="69"/>
  <c r="D359" i="69"/>
  <c r="B348" i="69"/>
  <c r="B347" i="69"/>
  <c r="B346" i="69"/>
  <c r="B345" i="69"/>
  <c r="B344" i="69"/>
  <c r="B343" i="69"/>
  <c r="B342" i="69"/>
  <c r="B341" i="69"/>
  <c r="B340" i="69"/>
  <c r="B339" i="69"/>
  <c r="B338" i="69"/>
  <c r="B337" i="69"/>
  <c r="B321" i="69"/>
  <c r="B320" i="69"/>
  <c r="B319" i="69"/>
  <c r="B318" i="69"/>
  <c r="B317" i="69"/>
  <c r="B316" i="69"/>
  <c r="B315" i="69"/>
  <c r="B314" i="69"/>
  <c r="B313" i="69"/>
  <c r="B312" i="69"/>
  <c r="B311" i="69"/>
  <c r="B310" i="69"/>
  <c r="B309" i="69"/>
  <c r="B308" i="69"/>
  <c r="B307" i="69"/>
  <c r="B306" i="69"/>
  <c r="B305" i="69"/>
  <c r="B304" i="69"/>
  <c r="B303" i="69"/>
  <c r="D280" i="69"/>
  <c r="B280" i="69"/>
  <c r="D279" i="69"/>
  <c r="B279" i="69"/>
  <c r="D278" i="69"/>
  <c r="B278" i="69"/>
  <c r="D277" i="69"/>
  <c r="B277" i="69"/>
  <c r="D276" i="69"/>
  <c r="B276" i="69"/>
  <c r="D275" i="69"/>
  <c r="B275" i="69"/>
  <c r="D274" i="69"/>
  <c r="B274" i="69"/>
  <c r="D273" i="69"/>
  <c r="B273" i="69"/>
  <c r="D272" i="69"/>
  <c r="B272" i="69"/>
  <c r="D271" i="69"/>
  <c r="B271" i="69"/>
  <c r="D270" i="69"/>
  <c r="B270" i="69"/>
  <c r="D269" i="69"/>
  <c r="B269" i="69"/>
  <c r="D268" i="69"/>
  <c r="B268" i="69"/>
  <c r="D267" i="69"/>
  <c r="B267" i="69"/>
  <c r="D266" i="69"/>
  <c r="B266" i="69"/>
  <c r="D265" i="69"/>
  <c r="B265" i="69"/>
  <c r="D264" i="69"/>
  <c r="B264" i="69"/>
  <c r="D263" i="69"/>
  <c r="B263" i="69"/>
  <c r="D262" i="69"/>
  <c r="B262" i="69"/>
  <c r="D261" i="69"/>
  <c r="B261" i="69"/>
  <c r="D260" i="69"/>
  <c r="B260" i="69"/>
  <c r="D259" i="69"/>
  <c r="B259" i="69"/>
  <c r="D258" i="69"/>
  <c r="B258" i="69"/>
  <c r="D257" i="69"/>
  <c r="B257" i="69"/>
  <c r="D256" i="69"/>
  <c r="B256" i="69"/>
  <c r="D255" i="69"/>
  <c r="B255" i="69"/>
  <c r="D254" i="69"/>
  <c r="B254" i="69"/>
  <c r="D253" i="69"/>
  <c r="B253" i="69"/>
  <c r="D252" i="69"/>
  <c r="B252" i="69"/>
  <c r="D251" i="69"/>
  <c r="B251" i="69"/>
  <c r="D250" i="69"/>
  <c r="B250" i="69"/>
  <c r="D249" i="69"/>
  <c r="B249" i="69"/>
  <c r="D248" i="69"/>
  <c r="B248" i="69"/>
  <c r="D247" i="69"/>
  <c r="B247" i="69"/>
  <c r="D246" i="69"/>
  <c r="B246" i="69"/>
  <c r="D245" i="69"/>
  <c r="B245" i="69"/>
  <c r="D244" i="69"/>
  <c r="B244" i="69"/>
  <c r="D243" i="69"/>
  <c r="B243" i="69"/>
  <c r="D242" i="69"/>
  <c r="B242" i="69"/>
  <c r="D241" i="69"/>
  <c r="B241" i="69"/>
  <c r="D240" i="69"/>
  <c r="B240" i="69"/>
  <c r="D239" i="69"/>
  <c r="B239" i="69"/>
  <c r="D238" i="69"/>
  <c r="B238" i="69"/>
  <c r="D237" i="69"/>
  <c r="B237" i="69"/>
  <c r="D236" i="69"/>
  <c r="B236" i="69"/>
  <c r="D235" i="69"/>
  <c r="B235" i="69"/>
  <c r="D234" i="69"/>
  <c r="B234" i="69"/>
  <c r="D233" i="69"/>
  <c r="B233" i="69"/>
  <c r="D232" i="69"/>
  <c r="B232" i="69"/>
  <c r="D231" i="69"/>
  <c r="B231" i="69"/>
  <c r="D230" i="69"/>
  <c r="B230" i="69"/>
  <c r="D229" i="69"/>
  <c r="B229" i="69"/>
  <c r="D228" i="69"/>
  <c r="B228" i="69"/>
  <c r="D227" i="69"/>
  <c r="B227" i="69"/>
  <c r="D226" i="69"/>
  <c r="B226" i="69"/>
  <c r="D225" i="69"/>
  <c r="B225" i="69"/>
  <c r="D224" i="69"/>
  <c r="B224" i="69"/>
  <c r="D223" i="69"/>
  <c r="B223" i="69"/>
  <c r="D222" i="69"/>
  <c r="B222" i="69"/>
  <c r="D221" i="69"/>
  <c r="B221" i="69"/>
  <c r="D220" i="69"/>
  <c r="B220" i="69"/>
  <c r="D219" i="69"/>
  <c r="B219" i="69"/>
  <c r="D218" i="69"/>
  <c r="B218" i="69"/>
  <c r="D217" i="69"/>
  <c r="B217" i="69"/>
  <c r="D216" i="69"/>
  <c r="B216" i="69"/>
  <c r="D215" i="69"/>
  <c r="B215" i="69"/>
  <c r="B214" i="69"/>
  <c r="B213" i="69"/>
  <c r="B212" i="69"/>
  <c r="B211" i="69"/>
  <c r="B169" i="69"/>
  <c r="B168" i="69"/>
  <c r="B167" i="69"/>
  <c r="B166" i="69"/>
  <c r="B165" i="69"/>
  <c r="B164" i="69"/>
  <c r="B163" i="69"/>
  <c r="B162" i="69"/>
  <c r="B161" i="69"/>
  <c r="B160" i="69"/>
  <c r="B157" i="69"/>
  <c r="B156" i="69"/>
  <c r="B155" i="69"/>
  <c r="B154" i="69"/>
  <c r="B153" i="69"/>
  <c r="B152" i="69"/>
  <c r="B151" i="69"/>
  <c r="B150" i="69"/>
  <c r="B149" i="69"/>
  <c r="B148" i="69"/>
  <c r="B147" i="69"/>
  <c r="B146" i="69"/>
  <c r="B145" i="69"/>
  <c r="B144" i="69"/>
  <c r="D141" i="69"/>
  <c r="D140" i="69"/>
  <c r="B139" i="69"/>
  <c r="E138" i="69"/>
  <c r="B138" i="69"/>
  <c r="B137" i="69"/>
  <c r="B136" i="69"/>
  <c r="B135" i="69"/>
  <c r="B134" i="69"/>
  <c r="B133" i="69"/>
  <c r="B132" i="69"/>
  <c r="E131" i="69"/>
  <c r="E130" i="69"/>
  <c r="E129" i="69"/>
  <c r="E128" i="69"/>
  <c r="E127" i="69"/>
  <c r="E126" i="69"/>
  <c r="E125" i="69"/>
  <c r="E124" i="69"/>
  <c r="E123" i="69"/>
  <c r="B123" i="69"/>
  <c r="E122" i="69"/>
  <c r="B122" i="69"/>
  <c r="E121" i="69"/>
  <c r="B121" i="69"/>
  <c r="E120" i="69"/>
  <c r="B120" i="69"/>
  <c r="E119" i="69"/>
  <c r="B119" i="69"/>
  <c r="E118" i="69"/>
  <c r="B118" i="69"/>
  <c r="E117" i="69"/>
  <c r="D117" i="69"/>
  <c r="B117" i="69"/>
  <c r="E116" i="69"/>
  <c r="D116" i="69"/>
  <c r="B116" i="69"/>
  <c r="E115" i="69"/>
  <c r="D115" i="69"/>
  <c r="B115" i="69"/>
  <c r="E114" i="69"/>
  <c r="D114" i="69"/>
  <c r="B114" i="69"/>
  <c r="E113" i="69"/>
  <c r="D113" i="69"/>
  <c r="B113" i="69"/>
  <c r="E112" i="69"/>
  <c r="D112" i="69"/>
  <c r="B112" i="69"/>
  <c r="E111" i="69"/>
  <c r="D111" i="69"/>
  <c r="B111" i="69"/>
  <c r="E110" i="69"/>
  <c r="D110" i="69"/>
  <c r="B110" i="69"/>
  <c r="E109" i="69"/>
  <c r="B109" i="69"/>
  <c r="E108" i="69"/>
  <c r="D108" i="69"/>
  <c r="B108" i="69"/>
  <c r="E107" i="69"/>
  <c r="D107" i="69"/>
  <c r="E106" i="69"/>
  <c r="D106" i="69"/>
  <c r="B106" i="69"/>
  <c r="E105" i="69"/>
  <c r="D105" i="69"/>
  <c r="B105" i="69"/>
  <c r="E104" i="69"/>
  <c r="D104" i="69"/>
  <c r="B104" i="69"/>
  <c r="E103" i="69"/>
  <c r="D103" i="69"/>
  <c r="B103" i="69"/>
  <c r="E102" i="69"/>
  <c r="B102" i="69"/>
  <c r="E101" i="69"/>
  <c r="B101" i="69"/>
  <c r="B100" i="69"/>
  <c r="E99" i="69"/>
  <c r="B99" i="69"/>
  <c r="E98" i="69"/>
  <c r="D98" i="69"/>
  <c r="B98" i="69"/>
  <c r="E97" i="69"/>
  <c r="D97" i="69"/>
  <c r="B97" i="69"/>
  <c r="E96" i="69"/>
  <c r="D96" i="69"/>
  <c r="B96" i="69"/>
  <c r="E95" i="69"/>
  <c r="D95" i="69"/>
  <c r="B95" i="69"/>
  <c r="E94" i="69"/>
  <c r="D94" i="69"/>
  <c r="B94" i="69"/>
  <c r="E93" i="69"/>
  <c r="D93" i="69"/>
  <c r="B93" i="69"/>
  <c r="E92" i="69"/>
  <c r="D92" i="69"/>
  <c r="B92" i="69"/>
  <c r="E91" i="69"/>
  <c r="D91" i="69"/>
  <c r="B91" i="69"/>
  <c r="E90" i="69"/>
  <c r="D90" i="69"/>
  <c r="B90" i="69"/>
  <c r="E89" i="69"/>
  <c r="D89" i="69"/>
  <c r="B89" i="69"/>
  <c r="E88" i="69"/>
  <c r="D88" i="69"/>
  <c r="B88" i="69"/>
  <c r="E87" i="69"/>
  <c r="D87" i="69"/>
  <c r="B87" i="69"/>
  <c r="E86" i="69"/>
  <c r="D86" i="69"/>
  <c r="B86" i="69"/>
  <c r="E85" i="69"/>
  <c r="D85" i="69"/>
  <c r="B85" i="69"/>
  <c r="E84" i="69"/>
  <c r="D84" i="69"/>
  <c r="B84" i="69"/>
  <c r="E83" i="69"/>
  <c r="D83" i="69"/>
  <c r="B83" i="69"/>
  <c r="E82" i="69"/>
  <c r="D82" i="69"/>
  <c r="B82" i="69"/>
  <c r="E81" i="69"/>
  <c r="D81" i="69"/>
  <c r="B81" i="69"/>
  <c r="E80" i="69"/>
  <c r="D80" i="69"/>
  <c r="B80" i="69"/>
  <c r="E79" i="69"/>
  <c r="D79" i="69"/>
  <c r="B79" i="69"/>
  <c r="E78" i="69"/>
  <c r="D78" i="69"/>
  <c r="B78" i="69"/>
  <c r="E77" i="69"/>
  <c r="D77" i="69"/>
  <c r="B77" i="69"/>
  <c r="E76" i="69"/>
  <c r="D76" i="69"/>
  <c r="E75" i="69"/>
  <c r="D75" i="69"/>
  <c r="E74" i="69"/>
  <c r="D74" i="69"/>
  <c r="B74" i="69"/>
  <c r="E73" i="69"/>
  <c r="D73" i="69"/>
  <c r="E72" i="69"/>
  <c r="D72" i="69"/>
  <c r="E71" i="69"/>
  <c r="D71" i="69"/>
  <c r="E70" i="69"/>
  <c r="D70" i="69"/>
  <c r="E69" i="69"/>
  <c r="D69" i="69"/>
  <c r="E68" i="69"/>
  <c r="D68" i="69"/>
  <c r="E67" i="69"/>
  <c r="D67" i="69"/>
  <c r="B67" i="69"/>
  <c r="E66" i="69"/>
  <c r="D66" i="69"/>
  <c r="E65" i="69"/>
  <c r="D65" i="69"/>
  <c r="B65" i="69"/>
  <c r="E64" i="69"/>
  <c r="D64" i="69"/>
  <c r="B64" i="69"/>
  <c r="E63" i="69"/>
  <c r="D63" i="69"/>
  <c r="B63" i="69"/>
  <c r="E62" i="69"/>
  <c r="D62" i="69"/>
  <c r="E61" i="69"/>
  <c r="D61" i="69"/>
  <c r="E60" i="69"/>
  <c r="D60" i="69"/>
  <c r="E59" i="69"/>
  <c r="D59" i="69"/>
  <c r="B59" i="69"/>
  <c r="E58" i="69"/>
  <c r="D58" i="69"/>
  <c r="B58" i="69"/>
  <c r="E57" i="69"/>
  <c r="D57" i="69"/>
  <c r="B57" i="69"/>
  <c r="E56" i="69"/>
  <c r="D56" i="69"/>
  <c r="B56" i="69"/>
  <c r="E55" i="69"/>
  <c r="D55" i="69"/>
  <c r="B55" i="69"/>
  <c r="E54" i="69"/>
  <c r="D54" i="69"/>
  <c r="B54" i="69"/>
  <c r="E53" i="69"/>
  <c r="D53" i="69"/>
  <c r="B53" i="69"/>
  <c r="B47" i="69"/>
  <c r="B31" i="69"/>
  <c r="B29" i="69"/>
  <c r="D19" i="69"/>
  <c r="E19" i="69" s="1"/>
  <c r="D18" i="69"/>
  <c r="E18" i="69" s="1"/>
  <c r="D17" i="69"/>
  <c r="E17" i="69" s="1"/>
  <c r="D16" i="69"/>
  <c r="E16" i="69" s="1"/>
  <c r="D15" i="69"/>
  <c r="E15" i="69" s="1"/>
  <c r="D14" i="69"/>
  <c r="E14" i="69" s="1"/>
  <c r="D13" i="69"/>
  <c r="E13" i="69" s="1"/>
  <c r="D12" i="69"/>
  <c r="D11" i="69"/>
  <c r="D10" i="69"/>
  <c r="D9" i="69"/>
  <c r="D8" i="69"/>
  <c r="D7" i="69"/>
  <c r="D6" i="69"/>
  <c r="D5" i="69"/>
  <c r="D4" i="69"/>
  <c r="B4" i="69"/>
  <c r="D3" i="69"/>
  <c r="D2" i="69"/>
  <c r="G2" i="2"/>
  <c r="G3" i="2"/>
  <c r="G4" i="2"/>
  <c r="G5" i="2"/>
  <c r="G6" i="2"/>
  <c r="G7" i="2"/>
  <c r="G8" i="2"/>
  <c r="G9" i="2"/>
  <c r="G10" i="2"/>
  <c r="G11" i="2"/>
  <c r="G13" i="2"/>
  <c r="G14" i="2"/>
  <c r="G15" i="2"/>
  <c r="G16" i="2"/>
  <c r="G17" i="2"/>
  <c r="G18" i="2"/>
  <c r="G19" i="2"/>
  <c r="G20" i="2"/>
  <c r="G21" i="2"/>
  <c r="G22" i="2"/>
  <c r="G23" i="2"/>
  <c r="G25" i="2"/>
  <c r="G26" i="2"/>
  <c r="G27" i="2"/>
  <c r="G28" i="2"/>
  <c r="G29" i="2"/>
  <c r="G30" i="2"/>
  <c r="G31" i="2"/>
  <c r="G32" i="2"/>
  <c r="G33" i="2"/>
  <c r="G34" i="2"/>
  <c r="G35" i="2"/>
  <c r="G36" i="2"/>
  <c r="G37" i="2"/>
  <c r="G38" i="2"/>
  <c r="G39" i="2"/>
  <c r="G42" i="2"/>
  <c r="G43" i="2"/>
  <c r="G44" i="2"/>
  <c r="G45" i="2"/>
  <c r="G46" i="2"/>
  <c r="G47" i="2"/>
  <c r="G48" i="2"/>
  <c r="G49" i="2"/>
  <c r="G50" i="2"/>
  <c r="G52" i="2"/>
  <c r="G53" i="2"/>
  <c r="G55" i="2"/>
  <c r="G57" i="2"/>
  <c r="G59" i="2"/>
  <c r="G60" i="2"/>
  <c r="G61" i="2"/>
  <c r="G62" i="2"/>
  <c r="G63" i="2"/>
  <c r="G64" i="2"/>
  <c r="G65" i="2"/>
  <c r="G67" i="2"/>
  <c r="G68" i="2"/>
  <c r="G69" i="2"/>
  <c r="G70" i="2"/>
  <c r="G72" i="2"/>
  <c r="G74" i="2"/>
  <c r="E75" i="2"/>
  <c r="G75" i="2"/>
  <c r="G76" i="2"/>
  <c r="G77" i="2"/>
  <c r="G78" i="2"/>
  <c r="G79" i="2"/>
  <c r="G80" i="2"/>
  <c r="G81" i="2"/>
  <c r="G82" i="2"/>
  <c r="G83" i="2"/>
  <c r="G84" i="2"/>
  <c r="G85" i="2"/>
  <c r="G86" i="2"/>
  <c r="G87" i="2"/>
  <c r="G88" i="2"/>
  <c r="G89" i="2"/>
  <c r="G90" i="2"/>
  <c r="G91" i="2"/>
  <c r="G92" i="2"/>
  <c r="G93" i="2"/>
  <c r="G94" i="2"/>
  <c r="G95" i="2"/>
  <c r="G96" i="2"/>
  <c r="G97" i="2"/>
  <c r="G98" i="2"/>
  <c r="G99" i="2"/>
  <c r="E101" i="2"/>
  <c r="G101" i="2"/>
  <c r="E102" i="2"/>
  <c r="G102" i="2"/>
  <c r="G103" i="2"/>
  <c r="G104" i="2"/>
  <c r="G105" i="2"/>
  <c r="G106" i="2"/>
  <c r="G107" i="2"/>
  <c r="G108" i="2"/>
  <c r="G110" i="2"/>
  <c r="G111" i="2"/>
  <c r="G112" i="2"/>
  <c r="G113" i="2"/>
  <c r="G114" i="2"/>
  <c r="G115" i="2"/>
  <c r="G116" i="2"/>
  <c r="G117" i="2"/>
  <c r="G118" i="2"/>
  <c r="G120" i="2"/>
  <c r="G121" i="2"/>
  <c r="G122" i="2"/>
  <c r="G123" i="2"/>
  <c r="G124" i="2"/>
  <c r="G126" i="2"/>
  <c r="G127" i="2"/>
  <c r="G128" i="2"/>
  <c r="G129" i="2"/>
  <c r="H129" i="2"/>
  <c r="G131" i="2"/>
  <c r="G132" i="2"/>
  <c r="G133" i="2"/>
  <c r="G134" i="2"/>
  <c r="G135" i="2"/>
  <c r="G137" i="2"/>
  <c r="G138" i="2"/>
  <c r="G139" i="2"/>
  <c r="G140" i="2"/>
  <c r="G141" i="2"/>
  <c r="G142" i="2"/>
  <c r="G143" i="2"/>
  <c r="G144" i="2"/>
  <c r="G145" i="2"/>
  <c r="G146" i="2"/>
  <c r="G147" i="2"/>
  <c r="G149" i="2"/>
  <c r="G151" i="2"/>
  <c r="G152" i="2"/>
  <c r="G153" i="2"/>
  <c r="G154" i="2"/>
  <c r="E155" i="2"/>
  <c r="G155" i="2"/>
  <c r="G156" i="2"/>
  <c r="G157" i="2"/>
  <c r="G158" i="2"/>
  <c r="G159" i="2"/>
  <c r="G160" i="2"/>
  <c r="G161" i="2"/>
  <c r="G162" i="2"/>
  <c r="G163" i="2"/>
  <c r="G164" i="2"/>
  <c r="G165" i="2"/>
  <c r="G166" i="2"/>
  <c r="G167" i="2"/>
  <c r="G168" i="2"/>
  <c r="G169" i="2"/>
  <c r="G170" i="2"/>
  <c r="G171" i="2"/>
  <c r="G172" i="2"/>
  <c r="G173" i="2"/>
  <c r="G174" i="2"/>
  <c r="G175" i="2"/>
  <c r="G176" i="2"/>
  <c r="G177" i="2"/>
  <c r="G178" i="2"/>
  <c r="G180" i="2"/>
  <c r="G182" i="2"/>
  <c r="G183" i="2"/>
  <c r="G184" i="2"/>
  <c r="G185" i="2"/>
  <c r="G187" i="2"/>
  <c r="G188" i="2"/>
  <c r="G189" i="2"/>
  <c r="G190" i="2"/>
  <c r="G191" i="2"/>
  <c r="G192" i="2"/>
  <c r="G193" i="2"/>
  <c r="G194" i="2"/>
  <c r="G195" i="2"/>
  <c r="G196" i="2"/>
  <c r="G197" i="2"/>
  <c r="G199" i="2"/>
  <c r="G200" i="2"/>
  <c r="G201" i="2"/>
  <c r="G202" i="2"/>
  <c r="G203" i="2"/>
  <c r="G206" i="2"/>
  <c r="G207" i="2"/>
  <c r="G208" i="2"/>
  <c r="G209" i="2"/>
  <c r="G210" i="2"/>
  <c r="G212" i="2"/>
  <c r="G213" i="2"/>
  <c r="G214" i="2"/>
  <c r="G215" i="2"/>
  <c r="G216" i="2"/>
  <c r="G217" i="2"/>
  <c r="G218" i="2"/>
  <c r="G219" i="2"/>
  <c r="G220" i="2"/>
  <c r="G221" i="2"/>
  <c r="G222" i="2"/>
  <c r="E223" i="2"/>
  <c r="G223" i="2"/>
  <c r="G224" i="2"/>
  <c r="G225" i="2"/>
  <c r="G226" i="2"/>
  <c r="G227" i="2"/>
  <c r="G228" i="2"/>
  <c r="G229" i="2"/>
  <c r="G231" i="2"/>
  <c r="G233" i="2"/>
  <c r="G234" i="2"/>
  <c r="G235" i="2"/>
  <c r="G236" i="2"/>
  <c r="G237" i="2"/>
  <c r="G238" i="2"/>
  <c r="G239" i="2"/>
  <c r="G240" i="2"/>
  <c r="G241" i="2"/>
  <c r="G242" i="2"/>
  <c r="G244" i="2"/>
  <c r="G246" i="2"/>
  <c r="G247" i="2"/>
  <c r="G248" i="2"/>
  <c r="G249" i="2"/>
  <c r="G250" i="2"/>
  <c r="G251" i="2"/>
  <c r="G252" i="2"/>
  <c r="G253" i="2"/>
  <c r="G255" i="2"/>
  <c r="G256" i="2"/>
  <c r="G258" i="2"/>
  <c r="G259" i="2"/>
  <c r="G261" i="2"/>
  <c r="H261" i="2"/>
  <c r="G262" i="2"/>
  <c r="G263" i="2"/>
  <c r="G264" i="2"/>
  <c r="G265" i="2"/>
  <c r="G266" i="2"/>
  <c r="G267" i="2"/>
  <c r="G268" i="2"/>
  <c r="G269" i="2"/>
  <c r="G270" i="2"/>
  <c r="G271" i="2"/>
  <c r="G272" i="2"/>
  <c r="G273" i="2"/>
  <c r="G274" i="2"/>
  <c r="G275" i="2"/>
  <c r="G276" i="2"/>
  <c r="G277" i="2"/>
  <c r="G279" i="2"/>
  <c r="G281" i="2"/>
  <c r="G283" i="2"/>
  <c r="H283" i="2"/>
  <c r="G284" i="2"/>
  <c r="G285" i="2"/>
  <c r="G286" i="2"/>
  <c r="G287" i="2"/>
  <c r="G288" i="2"/>
  <c r="G289" i="2"/>
  <c r="G290" i="2"/>
  <c r="G291" i="2"/>
  <c r="G292" i="2"/>
  <c r="G293" i="2"/>
  <c r="G294" i="2"/>
  <c r="G295" i="2"/>
  <c r="G296" i="2"/>
  <c r="G297" i="2"/>
  <c r="G298" i="2"/>
  <c r="G299" i="2"/>
  <c r="G300" i="2"/>
  <c r="G301" i="2"/>
  <c r="G302" i="2"/>
  <c r="H302" i="2"/>
  <c r="G304" i="2"/>
  <c r="G305" i="2"/>
  <c r="G306" i="2"/>
  <c r="G307" i="2"/>
  <c r="G309" i="2"/>
  <c r="K309" i="2"/>
  <c r="G310" i="2"/>
  <c r="K310" i="2"/>
  <c r="G311" i="2"/>
  <c r="K311" i="2"/>
  <c r="G312" i="2"/>
  <c r="K312" i="2"/>
  <c r="F313" i="2"/>
  <c r="G313" i="2"/>
  <c r="K313" i="2"/>
  <c r="F314" i="2"/>
  <c r="G314" i="2"/>
  <c r="F315" i="2"/>
  <c r="G315" i="2"/>
  <c r="G316" i="2"/>
  <c r="G317" i="2"/>
  <c r="G318" i="2"/>
  <c r="G320" i="2"/>
  <c r="G322" i="2"/>
  <c r="G323" i="2"/>
  <c r="G324" i="2"/>
  <c r="G325" i="2"/>
  <c r="G326" i="2"/>
  <c r="G327" i="2"/>
  <c r="G328" i="2"/>
  <c r="G329" i="2"/>
  <c r="G331" i="2"/>
  <c r="G332" i="2"/>
  <c r="G333" i="2"/>
  <c r="G334"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6" i="2"/>
  <c r="G367" i="2"/>
  <c r="G368" i="2"/>
  <c r="G369" i="2"/>
  <c r="G370" i="2"/>
  <c r="G371" i="2"/>
  <c r="G372" i="2"/>
  <c r="G373" i="2"/>
  <c r="G374" i="2"/>
  <c r="G375" i="2"/>
  <c r="G376" i="2"/>
  <c r="G377" i="2"/>
  <c r="G379" i="2"/>
  <c r="G381" i="2"/>
  <c r="H381" i="2"/>
  <c r="G382" i="2"/>
  <c r="G383" i="2"/>
  <c r="G384" i="2"/>
  <c r="G385" i="2"/>
  <c r="G387" i="2"/>
  <c r="H387" i="2"/>
  <c r="G388" i="2"/>
  <c r="G389" i="2"/>
  <c r="G390" i="2"/>
  <c r="G391" i="2"/>
  <c r="H391" i="2"/>
  <c r="G392" i="2"/>
  <c r="G393" i="2"/>
  <c r="G394" i="2"/>
  <c r="G395" i="2"/>
  <c r="G396" i="2"/>
  <c r="G397" i="2"/>
  <c r="G398" i="2"/>
  <c r="G400" i="2"/>
  <c r="G401" i="2"/>
  <c r="G402" i="2"/>
  <c r="G403" i="2"/>
  <c r="G404" i="2"/>
  <c r="G405" i="2"/>
  <c r="G406" i="2"/>
  <c r="G407" i="2"/>
  <c r="G409" i="2"/>
  <c r="G410" i="2"/>
  <c r="G411" i="2"/>
  <c r="G412" i="2"/>
  <c r="G414" i="2"/>
  <c r="G415" i="2"/>
  <c r="G416" i="2"/>
  <c r="G417" i="2"/>
  <c r="G418" i="2"/>
  <c r="G420" i="2"/>
  <c r="G421" i="2"/>
  <c r="G422" i="2"/>
  <c r="G423" i="2"/>
  <c r="G425" i="2"/>
  <c r="G427" i="2"/>
  <c r="G428" i="2"/>
  <c r="G429" i="2"/>
  <c r="G430" i="2"/>
  <c r="G431" i="2"/>
  <c r="G432" i="2"/>
  <c r="G434" i="2"/>
  <c r="G435" i="2"/>
  <c r="G436" i="2"/>
  <c r="G437" i="2"/>
  <c r="G438" i="2"/>
  <c r="F439" i="2"/>
  <c r="G439" i="2"/>
  <c r="G440" i="2"/>
  <c r="G441" i="2"/>
  <c r="G442" i="2"/>
  <c r="G443" i="2"/>
  <c r="G444" i="2"/>
  <c r="G445" i="2"/>
  <c r="G446" i="2"/>
  <c r="G447" i="2"/>
  <c r="G448" i="2"/>
  <c r="G449" i="2"/>
  <c r="G450" i="2"/>
  <c r="G452" i="2"/>
  <c r="G453" i="2"/>
  <c r="G454" i="2"/>
  <c r="G455" i="2"/>
  <c r="G456" i="2"/>
  <c r="G457" i="2"/>
  <c r="G458" i="2"/>
  <c r="G459" i="2"/>
  <c r="G460" i="2"/>
  <c r="G461" i="2"/>
  <c r="G462" i="2"/>
  <c r="G464" i="2"/>
  <c r="G465" i="2"/>
  <c r="G466" i="2"/>
  <c r="G467" i="2"/>
  <c r="G468"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H494" i="2"/>
  <c r="G496" i="2"/>
  <c r="G497" i="2"/>
  <c r="G498" i="2"/>
  <c r="G499" i="2"/>
  <c r="G500" i="2"/>
  <c r="G501" i="2"/>
  <c r="G502" i="2"/>
  <c r="H502" i="2"/>
  <c r="G503" i="2"/>
  <c r="G504" i="2"/>
  <c r="G505" i="2"/>
  <c r="G506" i="2"/>
  <c r="G508" i="2"/>
  <c r="G510" i="2"/>
  <c r="G511" i="2"/>
  <c r="G512" i="2"/>
  <c r="G513" i="2"/>
  <c r="G515" i="2"/>
  <c r="G516" i="2"/>
  <c r="G517" i="2"/>
  <c r="G518" i="2"/>
  <c r="G520" i="2"/>
  <c r="G521" i="2"/>
  <c r="G522" i="2"/>
  <c r="G523" i="2"/>
  <c r="G524" i="2"/>
  <c r="G525" i="2"/>
  <c r="G526" i="2"/>
  <c r="G527" i="2"/>
  <c r="G528" i="2"/>
  <c r="G529" i="2"/>
  <c r="G531" i="2"/>
  <c r="G532" i="2"/>
  <c r="G533" i="2"/>
  <c r="G534" i="2"/>
  <c r="G535" i="2"/>
  <c r="G536" i="2"/>
  <c r="G537" i="2"/>
  <c r="G538" i="2"/>
  <c r="G539" i="2"/>
  <c r="G540" i="2"/>
  <c r="G541" i="2"/>
  <c r="G542" i="2"/>
  <c r="G543" i="2"/>
  <c r="G544" i="2"/>
  <c r="G545" i="2"/>
  <c r="G559" i="2"/>
  <c r="G560" i="2"/>
  <c r="G561" i="2"/>
  <c r="G562" i="2"/>
  <c r="G564" i="2"/>
  <c r="G566" i="2"/>
  <c r="G568" i="2"/>
  <c r="H568" i="2"/>
  <c r="G569" i="2"/>
  <c r="G570" i="2"/>
  <c r="G571" i="2"/>
  <c r="G572" i="2"/>
  <c r="G573" i="2"/>
  <c r="G574" i="2"/>
  <c r="G575" i="2"/>
  <c r="G576" i="2"/>
  <c r="G577" i="2"/>
  <c r="G578" i="2"/>
  <c r="G580" i="2"/>
  <c r="G582" i="2"/>
  <c r="G584" i="2"/>
  <c r="G586" i="2"/>
  <c r="G588" i="2"/>
  <c r="G590" i="2"/>
  <c r="G592" i="2"/>
  <c r="G593" i="2"/>
  <c r="G594" i="2"/>
  <c r="G595" i="2"/>
  <c r="G596" i="2"/>
  <c r="G597" i="2"/>
  <c r="G598" i="2"/>
  <c r="G599" i="2"/>
  <c r="G600" i="2"/>
  <c r="G601" i="2"/>
  <c r="G602" i="2"/>
  <c r="G603" i="2"/>
  <c r="G605" i="2"/>
  <c r="G606" i="2"/>
  <c r="G607" i="2"/>
  <c r="G608" i="2"/>
  <c r="G609" i="2"/>
  <c r="G610" i="2"/>
  <c r="G611" i="2"/>
  <c r="G612" i="2"/>
  <c r="G613" i="2"/>
  <c r="G614" i="2"/>
  <c r="G615" i="2"/>
  <c r="G616" i="2"/>
  <c r="G617" i="2"/>
  <c r="G618" i="2"/>
  <c r="G620" i="2"/>
  <c r="G621" i="2"/>
  <c r="F622" i="2"/>
  <c r="G622" i="2"/>
  <c r="F623" i="2"/>
  <c r="G623" i="2"/>
  <c r="F624" i="2"/>
  <c r="G624" i="2"/>
  <c r="G625" i="2"/>
  <c r="G626" i="2"/>
  <c r="G628" i="2"/>
  <c r="G629" i="2"/>
  <c r="G630" i="2"/>
  <c r="G631" i="2"/>
  <c r="G632" i="2"/>
  <c r="G633" i="2"/>
  <c r="G634" i="2"/>
  <c r="G635" i="2"/>
  <c r="G636" i="2"/>
  <c r="G638" i="2"/>
  <c r="G639" i="2"/>
  <c r="G640" i="2"/>
  <c r="G641" i="2"/>
  <c r="G642" i="2"/>
  <c r="G643" i="2"/>
  <c r="G644" i="2"/>
  <c r="G645" i="2"/>
  <c r="G662" i="2"/>
  <c r="G663" i="2"/>
  <c r="G664" i="2"/>
  <c r="G665" i="2"/>
  <c r="G666" i="2"/>
  <c r="G667" i="2"/>
  <c r="G668" i="2"/>
  <c r="G670" i="2"/>
  <c r="G672" i="2"/>
  <c r="G674" i="2"/>
  <c r="G675" i="2"/>
  <c r="G676" i="2"/>
  <c r="G677" i="2"/>
  <c r="G678" i="2"/>
  <c r="G679" i="2"/>
  <c r="G680" i="2"/>
  <c r="G681" i="2"/>
  <c r="G682" i="2"/>
  <c r="G683" i="2"/>
  <c r="G684" i="2"/>
  <c r="G685" i="2"/>
  <c r="G686" i="2"/>
  <c r="G687" i="2"/>
  <c r="G688" i="2"/>
  <c r="G689" i="2"/>
  <c r="G690" i="2"/>
  <c r="G691" i="2"/>
  <c r="G692" i="2"/>
  <c r="G693" i="2"/>
  <c r="G694" i="2"/>
  <c r="G695" i="2"/>
  <c r="G697" i="2"/>
  <c r="G699" i="2"/>
  <c r="G700" i="2"/>
  <c r="G701" i="2"/>
  <c r="G702" i="2"/>
  <c r="E703" i="2"/>
  <c r="G703" i="2"/>
  <c r="G704" i="2"/>
  <c r="G705" i="2"/>
  <c r="G706" i="2"/>
  <c r="G707" i="2"/>
  <c r="G708" i="2"/>
  <c r="G709" i="2"/>
  <c r="G711" i="2"/>
  <c r="G713" i="2"/>
  <c r="G715" i="2"/>
  <c r="G717" i="2"/>
  <c r="G718" i="2"/>
  <c r="G719" i="2"/>
  <c r="G720" i="2"/>
  <c r="G721" i="2"/>
  <c r="G722" i="2"/>
  <c r="G723" i="2"/>
  <c r="G724" i="2"/>
  <c r="G725" i="2"/>
  <c r="G726" i="2"/>
  <c r="G727" i="2"/>
  <c r="G728" i="2"/>
  <c r="G729" i="2"/>
  <c r="G730" i="2"/>
  <c r="G731" i="2"/>
  <c r="G732" i="2"/>
  <c r="G733" i="2"/>
  <c r="G734" i="2"/>
  <c r="G735" i="2"/>
  <c r="G736" i="2"/>
  <c r="G737" i="2"/>
  <c r="E738" i="2"/>
  <c r="G738" i="2"/>
  <c r="E739" i="2"/>
  <c r="G739" i="2"/>
  <c r="E740" i="2"/>
  <c r="G740" i="2"/>
  <c r="G741" i="2"/>
  <c r="G742" i="2"/>
  <c r="E743" i="2"/>
  <c r="G743" i="2"/>
  <c r="E744" i="2"/>
  <c r="G744" i="2"/>
  <c r="E745" i="2"/>
  <c r="G745" i="2"/>
  <c r="E746" i="2"/>
  <c r="G746" i="2"/>
  <c r="E747" i="2"/>
  <c r="G747" i="2"/>
  <c r="G748" i="2"/>
  <c r="G749" i="2"/>
  <c r="G750" i="2"/>
  <c r="G751" i="2"/>
  <c r="G752" i="2"/>
  <c r="G753" i="2"/>
  <c r="G755" i="2"/>
  <c r="G757" i="2"/>
  <c r="G759"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800" i="2"/>
  <c r="G801" i="2"/>
  <c r="G802" i="2"/>
  <c r="G803" i="2"/>
  <c r="G804" i="2"/>
  <c r="E805" i="2"/>
  <c r="G805" i="2"/>
  <c r="E806" i="2"/>
  <c r="G806" i="2"/>
  <c r="G807" i="2"/>
  <c r="G808" i="2"/>
  <c r="G811" i="2"/>
  <c r="G812" i="2"/>
  <c r="G814" i="2"/>
  <c r="G815" i="2"/>
  <c r="G816" i="2"/>
  <c r="G817" i="2"/>
  <c r="G818" i="2"/>
  <c r="G820" i="2"/>
  <c r="G822" i="2"/>
  <c r="G824" i="2"/>
  <c r="G825" i="2"/>
  <c r="G826" i="2"/>
  <c r="G827" i="2"/>
  <c r="G828" i="2"/>
  <c r="G829" i="2"/>
  <c r="G830" i="2"/>
  <c r="G831" i="2"/>
  <c r="G832" i="2"/>
  <c r="G833" i="2"/>
  <c r="G835" i="2"/>
  <c r="G837" i="2"/>
  <c r="G838" i="2"/>
  <c r="G839" i="2"/>
  <c r="G840" i="2"/>
  <c r="G841" i="2"/>
  <c r="G842" i="2"/>
  <c r="G843" i="2"/>
  <c r="G844" i="2"/>
  <c r="G845" i="2"/>
  <c r="G846" i="2"/>
  <c r="G847" i="2"/>
  <c r="G849" i="2"/>
  <c r="G851" i="2"/>
  <c r="G853" i="2"/>
  <c r="G855" i="2"/>
  <c r="G857" i="2"/>
  <c r="G858" i="2"/>
  <c r="G859" i="2"/>
  <c r="G860" i="2"/>
  <c r="G862" i="2"/>
  <c r="G863" i="2"/>
  <c r="G864" i="2"/>
  <c r="G865" i="2"/>
  <c r="G866" i="2"/>
  <c r="G867" i="2"/>
  <c r="G868" i="2"/>
  <c r="G869" i="2"/>
  <c r="G871" i="2"/>
  <c r="G873" i="2"/>
  <c r="G875" i="2"/>
  <c r="G877" i="2"/>
  <c r="G878" i="2"/>
  <c r="G879" i="2"/>
  <c r="G880" i="2"/>
  <c r="G881" i="2"/>
  <c r="G883" i="2"/>
  <c r="G884" i="2"/>
  <c r="G885" i="2"/>
  <c r="G886" i="2"/>
  <c r="G887" i="2"/>
  <c r="G888" i="2"/>
  <c r="G889" i="2"/>
  <c r="G890" i="2"/>
  <c r="G891" i="2"/>
  <c r="G892" i="2"/>
  <c r="G893" i="2"/>
  <c r="G894" i="2"/>
  <c r="G895" i="2"/>
  <c r="G896" i="2"/>
  <c r="G897" i="2"/>
  <c r="G898" i="2"/>
  <c r="G900" i="2"/>
  <c r="G902" i="2"/>
  <c r="H902" i="2"/>
  <c r="G904" i="2"/>
  <c r="G906" i="2"/>
  <c r="G907" i="2"/>
  <c r="G908" i="2"/>
  <c r="G909" i="2"/>
  <c r="G910" i="2"/>
  <c r="H911" i="2"/>
  <c r="G912" i="2"/>
  <c r="G913" i="2"/>
  <c r="G914" i="2"/>
  <c r="G915" i="2"/>
  <c r="G916" i="2"/>
  <c r="G917" i="2"/>
  <c r="G918" i="2"/>
  <c r="G920" i="2"/>
  <c r="G922" i="2"/>
  <c r="G924" i="2"/>
  <c r="G926" i="2"/>
  <c r="G928" i="2"/>
  <c r="G930" i="2"/>
  <c r="G932" i="2"/>
  <c r="G933" i="2"/>
  <c r="G934" i="2"/>
  <c r="G935" i="2"/>
  <c r="G936" i="2"/>
  <c r="G937" i="2"/>
  <c r="G938" i="2"/>
  <c r="G939" i="2"/>
  <c r="G940" i="2"/>
  <c r="G941" i="2"/>
  <c r="G942" i="2"/>
  <c r="G943" i="2"/>
  <c r="G944" i="2"/>
  <c r="G945" i="2"/>
  <c r="G946" i="2"/>
  <c r="G947" i="2"/>
  <c r="G948" i="2"/>
  <c r="G949" i="2"/>
  <c r="G951" i="2"/>
  <c r="G952" i="2"/>
  <c r="G953" i="2"/>
  <c r="G954" i="2"/>
  <c r="G955" i="2"/>
  <c r="G956" i="2"/>
  <c r="G957" i="2"/>
  <c r="G958" i="2"/>
  <c r="G959" i="2"/>
  <c r="G960" i="2"/>
  <c r="G961" i="2"/>
  <c r="G962" i="2"/>
  <c r="G963" i="2"/>
  <c r="G964" i="2"/>
  <c r="G965" i="2"/>
  <c r="G966" i="2"/>
  <c r="G967" i="2"/>
  <c r="G968" i="2"/>
  <c r="G969" i="2"/>
  <c r="G970" i="2"/>
  <c r="G972" i="2"/>
  <c r="G974" i="2"/>
  <c r="G976" i="2"/>
  <c r="G978" i="2"/>
  <c r="G979" i="2"/>
  <c r="G980" i="2"/>
  <c r="G981" i="2"/>
  <c r="G982" i="2"/>
  <c r="F983" i="2"/>
  <c r="G983" i="2"/>
  <c r="G984" i="2"/>
  <c r="G985" i="2"/>
  <c r="G989" i="2"/>
  <c r="G991" i="2"/>
  <c r="G992" i="2"/>
  <c r="G993" i="2"/>
  <c r="G994" i="2"/>
  <c r="G995" i="2"/>
  <c r="G996" i="2"/>
  <c r="G997" i="2"/>
  <c r="G998" i="2"/>
  <c r="H998" i="2"/>
  <c r="G999" i="2"/>
  <c r="G1000" i="2"/>
  <c r="G1001" i="2"/>
  <c r="G1002" i="2"/>
  <c r="G1003" i="2"/>
  <c r="L1003" i="2"/>
  <c r="M1003" i="2"/>
  <c r="G1004" i="2"/>
  <c r="L1004" i="2"/>
  <c r="M1004" i="2"/>
  <c r="G1005" i="2"/>
  <c r="G1006" i="2"/>
  <c r="G1007" i="2"/>
  <c r="K1007" i="2"/>
  <c r="G1008" i="2"/>
  <c r="G1009" i="2"/>
  <c r="G1010" i="2"/>
  <c r="G1011" i="2"/>
  <c r="G1012" i="2"/>
  <c r="G1015" i="2"/>
  <c r="G1017" i="2"/>
  <c r="G1019" i="2"/>
  <c r="G1020" i="2"/>
  <c r="G1021" i="2"/>
  <c r="G1022" i="2"/>
  <c r="H1022" i="2"/>
  <c r="G1023" i="2"/>
  <c r="G1025" i="2"/>
  <c r="G1027" i="2"/>
  <c r="G1029" i="2"/>
  <c r="G1030" i="2"/>
  <c r="G1031" i="2"/>
  <c r="G1032" i="2"/>
  <c r="G1033" i="2"/>
  <c r="G1035" i="2"/>
  <c r="G1037" i="2"/>
  <c r="G1039" i="2"/>
  <c r="G1040" i="2"/>
  <c r="G1041" i="2"/>
  <c r="G1042"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F1076" i="2"/>
  <c r="F1077" i="2"/>
  <c r="D2" i="57"/>
  <c r="E2" i="57"/>
  <c r="F2" i="57"/>
  <c r="I2" i="57"/>
  <c r="J2" i="57"/>
  <c r="K2" i="57"/>
  <c r="I3" i="57"/>
  <c r="K3" i="57"/>
  <c r="I4" i="57"/>
  <c r="K4" i="57"/>
  <c r="I5" i="57"/>
  <c r="K5" i="57"/>
  <c r="I6" i="57"/>
  <c r="K6" i="57"/>
  <c r="I7" i="57"/>
  <c r="K7" i="57"/>
  <c r="I8" i="57"/>
  <c r="K8" i="57"/>
  <c r="I9" i="57"/>
  <c r="K9" i="57"/>
  <c r="I10" i="57"/>
  <c r="K10" i="57"/>
  <c r="I11" i="57"/>
  <c r="K11" i="57"/>
  <c r="I12" i="57"/>
  <c r="K12" i="57"/>
  <c r="I13" i="57"/>
  <c r="K13" i="57"/>
  <c r="I14" i="57"/>
  <c r="K14" i="57"/>
  <c r="I15" i="57"/>
  <c r="K15" i="57"/>
  <c r="I16" i="57"/>
  <c r="K16" i="57"/>
  <c r="I17" i="57"/>
  <c r="K17" i="57"/>
  <c r="I18" i="57"/>
  <c r="K18" i="57"/>
  <c r="I19" i="57"/>
  <c r="K19" i="57"/>
  <c r="I20" i="57"/>
  <c r="K20" i="57"/>
  <c r="I21" i="57"/>
  <c r="K21" i="57"/>
  <c r="I22" i="57"/>
  <c r="K22" i="57"/>
  <c r="I23" i="57"/>
  <c r="K23" i="57"/>
  <c r="I24" i="57"/>
  <c r="K24" i="57"/>
  <c r="I25" i="57"/>
  <c r="K25" i="57"/>
  <c r="I26" i="57"/>
  <c r="K26" i="57"/>
  <c r="I27" i="57"/>
  <c r="K27" i="57"/>
  <c r="I28" i="57"/>
  <c r="K28" i="57"/>
  <c r="I29" i="57"/>
  <c r="K29" i="57"/>
  <c r="I30" i="57"/>
  <c r="K30" i="57"/>
  <c r="I31" i="57"/>
  <c r="K31" i="57"/>
  <c r="I32" i="57"/>
  <c r="K32" i="57"/>
  <c r="I33" i="57"/>
  <c r="K33" i="57"/>
  <c r="I34" i="57"/>
  <c r="K34" i="57"/>
  <c r="I35" i="57"/>
  <c r="K35" i="57"/>
  <c r="I36" i="57"/>
  <c r="K36" i="57"/>
  <c r="I37" i="57"/>
  <c r="K37" i="57"/>
  <c r="I38" i="57"/>
  <c r="K38" i="57"/>
  <c r="I39" i="57"/>
  <c r="K39" i="57"/>
  <c r="I40" i="57"/>
  <c r="K40" i="57"/>
  <c r="I41" i="57"/>
  <c r="K41" i="57"/>
  <c r="I42" i="57"/>
  <c r="K42" i="57"/>
  <c r="I43" i="57"/>
  <c r="K43" i="57"/>
  <c r="I47" i="57"/>
  <c r="K47" i="57"/>
  <c r="I48" i="57"/>
  <c r="K48" i="57"/>
  <c r="I49" i="57"/>
  <c r="K49" i="57"/>
  <c r="I50" i="57"/>
  <c r="K50" i="57"/>
  <c r="I51" i="57"/>
  <c r="K51" i="57"/>
  <c r="I52" i="57"/>
  <c r="K52" i="57"/>
  <c r="I53" i="57"/>
  <c r="K53" i="57"/>
  <c r="I54" i="57"/>
  <c r="K54" i="57"/>
  <c r="I55" i="57"/>
  <c r="K55" i="57"/>
  <c r="I57" i="57"/>
  <c r="K57" i="57"/>
  <c r="I58" i="57"/>
  <c r="K58" i="57"/>
  <c r="I59" i="57"/>
  <c r="K59" i="57"/>
  <c r="I60" i="57"/>
  <c r="K60" i="57"/>
  <c r="I61" i="57"/>
  <c r="K61" i="57"/>
  <c r="I62" i="57"/>
  <c r="K62" i="57"/>
  <c r="I63" i="57"/>
  <c r="K63" i="57"/>
  <c r="I64" i="57"/>
  <c r="K64" i="57"/>
  <c r="I65" i="57"/>
  <c r="K65" i="57"/>
  <c r="I66" i="57"/>
  <c r="K66" i="57"/>
  <c r="I67" i="57"/>
  <c r="K67" i="57"/>
  <c r="I68" i="57"/>
  <c r="K68" i="57"/>
  <c r="I69" i="57"/>
  <c r="K69" i="57"/>
  <c r="I70" i="57"/>
  <c r="K70" i="57"/>
  <c r="I71" i="57"/>
  <c r="K71" i="57"/>
  <c r="I72" i="57"/>
  <c r="K72" i="57"/>
  <c r="I73" i="57"/>
  <c r="K73" i="57"/>
  <c r="I74" i="57"/>
  <c r="K74" i="57"/>
  <c r="I75" i="57"/>
  <c r="K75" i="57"/>
  <c r="I76" i="57"/>
  <c r="K76" i="57"/>
  <c r="I77" i="57"/>
  <c r="K77" i="57"/>
  <c r="I78" i="57"/>
  <c r="K78" i="57"/>
  <c r="I79" i="57"/>
  <c r="K79" i="57"/>
  <c r="I80" i="57"/>
  <c r="K80" i="57"/>
  <c r="I81" i="57"/>
  <c r="K81" i="57"/>
  <c r="I82" i="57"/>
  <c r="K82" i="57"/>
  <c r="I83" i="57"/>
  <c r="K83" i="57"/>
  <c r="I84" i="57"/>
  <c r="K84" i="57"/>
  <c r="I85" i="57"/>
  <c r="K85" i="57"/>
  <c r="I86" i="57"/>
  <c r="K86" i="57"/>
  <c r="I87" i="57"/>
  <c r="K87" i="57"/>
  <c r="I88" i="57"/>
  <c r="K88" i="57"/>
  <c r="I89" i="57"/>
  <c r="K89" i="57"/>
  <c r="I90" i="57"/>
  <c r="K90" i="57"/>
  <c r="I91" i="57"/>
  <c r="K91" i="57"/>
  <c r="E93" i="57"/>
  <c r="I93" i="57"/>
  <c r="E94" i="57"/>
  <c r="I94" i="57"/>
  <c r="E95" i="57"/>
  <c r="I95" i="57"/>
  <c r="E96" i="57"/>
  <c r="I96" i="57"/>
  <c r="E97" i="57"/>
  <c r="I97" i="57"/>
  <c r="E98" i="57"/>
  <c r="I98" i="57"/>
  <c r="E99" i="57"/>
  <c r="I99" i="57"/>
  <c r="E100" i="57"/>
  <c r="E101" i="57"/>
  <c r="E102" i="57"/>
  <c r="E103" i="57"/>
  <c r="H103" i="57"/>
  <c r="E104" i="57"/>
  <c r="H104" i="57"/>
  <c r="E105" i="57"/>
  <c r="H105" i="57"/>
  <c r="E106" i="57"/>
  <c r="H106" i="57"/>
  <c r="E107" i="57"/>
  <c r="H107" i="57"/>
  <c r="E108" i="57"/>
  <c r="H108" i="57"/>
  <c r="E109" i="57"/>
  <c r="E110" i="57"/>
  <c r="E111" i="57"/>
  <c r="E112" i="57"/>
  <c r="E113" i="57"/>
  <c r="F113" i="57"/>
  <c r="E114" i="57"/>
  <c r="F114" i="57"/>
  <c r="E115" i="57"/>
  <c r="F115" i="57"/>
  <c r="E116" i="57"/>
  <c r="F116" i="57"/>
  <c r="E117" i="57"/>
  <c r="F117" i="57"/>
  <c r="E118" i="57"/>
  <c r="F118" i="57"/>
  <c r="E119" i="57"/>
  <c r="F119" i="57"/>
  <c r="E120" i="57"/>
  <c r="F120" i="57"/>
  <c r="E121" i="57"/>
  <c r="F121" i="57"/>
  <c r="E122" i="57"/>
  <c r="F122" i="57"/>
  <c r="E123" i="57"/>
  <c r="F123" i="57"/>
  <c r="E124" i="57"/>
  <c r="F124" i="57"/>
  <c r="E125" i="57"/>
  <c r="F125" i="57"/>
  <c r="E126" i="57"/>
  <c r="F126" i="57"/>
  <c r="E127" i="57"/>
  <c r="F127" i="57"/>
  <c r="E128" i="57"/>
  <c r="F128" i="57"/>
  <c r="E129" i="57"/>
  <c r="F129" i="57"/>
  <c r="E130" i="57"/>
  <c r="F130" i="57"/>
  <c r="E131" i="57"/>
  <c r="F131" i="57"/>
  <c r="E132" i="57"/>
  <c r="F132" i="57"/>
  <c r="E133" i="57"/>
  <c r="F133" i="57"/>
  <c r="E134" i="57"/>
  <c r="F134" i="57"/>
  <c r="E135" i="57"/>
  <c r="F135" i="57"/>
  <c r="E136" i="57"/>
  <c r="F136" i="57"/>
  <c r="E137" i="57"/>
  <c r="F137" i="57"/>
  <c r="E138" i="57"/>
  <c r="F138" i="57"/>
  <c r="E139" i="57"/>
  <c r="F139" i="57"/>
  <c r="E140" i="57"/>
  <c r="F140" i="57"/>
  <c r="E141" i="57"/>
  <c r="F141" i="57"/>
  <c r="E142" i="57"/>
  <c r="F142" i="57"/>
  <c r="B2" i="64"/>
  <c r="D2" i="64"/>
  <c r="F2" i="64"/>
  <c r="B3" i="64"/>
  <c r="D3" i="64"/>
  <c r="E3" i="64"/>
  <c r="F3" i="64"/>
  <c r="B4" i="64"/>
  <c r="D4" i="64"/>
  <c r="E4" i="64"/>
  <c r="F4" i="64"/>
  <c r="B5" i="64"/>
  <c r="D5" i="64"/>
  <c r="E5" i="64"/>
  <c r="F5" i="64"/>
  <c r="B6" i="64"/>
  <c r="D6" i="64"/>
  <c r="E6" i="64"/>
  <c r="F6" i="64"/>
  <c r="B7" i="64"/>
  <c r="D7" i="64"/>
  <c r="E7" i="64"/>
  <c r="F7" i="64"/>
  <c r="B8" i="64"/>
  <c r="D8" i="64"/>
  <c r="E8" i="64"/>
  <c r="F8" i="64"/>
  <c r="B9" i="64"/>
  <c r="D9" i="64"/>
  <c r="E9" i="64"/>
  <c r="F9" i="64"/>
  <c r="B10" i="64"/>
  <c r="D10" i="64"/>
  <c r="E10" i="64"/>
  <c r="F10" i="64"/>
  <c r="B11" i="64"/>
  <c r="C11" i="64"/>
  <c r="D11" i="64"/>
  <c r="E11" i="64"/>
  <c r="F11" i="64"/>
  <c r="B12" i="64"/>
  <c r="D12" i="64"/>
  <c r="E12" i="64"/>
  <c r="F12" i="64"/>
  <c r="B13" i="64"/>
  <c r="D13" i="64"/>
  <c r="E13" i="64"/>
  <c r="F13" i="64"/>
  <c r="B14" i="64"/>
  <c r="D14" i="64"/>
  <c r="E14" i="64"/>
  <c r="F14" i="64"/>
  <c r="B15" i="64"/>
  <c r="D15" i="64"/>
  <c r="E15" i="64"/>
  <c r="F15" i="64"/>
  <c r="B16" i="64"/>
  <c r="D16" i="64"/>
  <c r="E16" i="64"/>
  <c r="F16" i="64"/>
  <c r="B17" i="64"/>
  <c r="D17" i="64"/>
  <c r="E17" i="64"/>
  <c r="F17" i="64"/>
  <c r="B18" i="64"/>
  <c r="D18" i="64"/>
  <c r="E18" i="64"/>
  <c r="F18" i="64"/>
  <c r="B19" i="64"/>
  <c r="D19" i="64"/>
  <c r="E19" i="64"/>
  <c r="F19" i="64"/>
  <c r="B20" i="64"/>
  <c r="D20" i="64"/>
  <c r="E20" i="64"/>
  <c r="F20" i="64"/>
  <c r="B21" i="64"/>
  <c r="D21" i="64"/>
  <c r="E21" i="64"/>
  <c r="F21" i="64"/>
  <c r="I21" i="64"/>
  <c r="B22" i="64"/>
  <c r="D22" i="64"/>
  <c r="E22" i="64"/>
  <c r="F22" i="64"/>
  <c r="B23" i="64"/>
  <c r="D23" i="64"/>
  <c r="E23" i="64"/>
  <c r="F23" i="64"/>
  <c r="B24" i="64"/>
  <c r="D24" i="64"/>
  <c r="E24" i="64"/>
  <c r="F24" i="64"/>
  <c r="B25" i="64"/>
  <c r="D25" i="64"/>
  <c r="E25" i="64"/>
  <c r="F25" i="64"/>
  <c r="B26" i="64"/>
  <c r="D26" i="64"/>
  <c r="E26" i="64"/>
  <c r="F26" i="64"/>
  <c r="B27" i="64"/>
  <c r="D27" i="64"/>
  <c r="E27" i="64"/>
  <c r="F27" i="64"/>
  <c r="B28" i="64"/>
  <c r="D28" i="64"/>
  <c r="E28" i="64"/>
  <c r="F28" i="64"/>
  <c r="B29" i="64"/>
  <c r="D29" i="64"/>
  <c r="E29" i="64"/>
  <c r="F29" i="64"/>
  <c r="B30" i="64"/>
  <c r="D30" i="64"/>
  <c r="E30" i="64"/>
  <c r="F30" i="64"/>
  <c r="B31" i="64"/>
  <c r="D31" i="64"/>
  <c r="E31" i="64"/>
  <c r="F31" i="64"/>
  <c r="B32" i="64"/>
  <c r="D32" i="64"/>
  <c r="E32" i="64"/>
  <c r="F32" i="64"/>
  <c r="B33" i="64"/>
  <c r="D33" i="64"/>
  <c r="E33" i="64"/>
  <c r="F33" i="64"/>
  <c r="B34" i="64"/>
  <c r="D34" i="64"/>
  <c r="E34" i="64"/>
  <c r="F34" i="64"/>
  <c r="B35" i="64"/>
  <c r="D35" i="64"/>
  <c r="E35" i="64"/>
  <c r="F35" i="64"/>
  <c r="B36" i="64"/>
  <c r="D36" i="64"/>
  <c r="E36" i="64"/>
  <c r="F36" i="64"/>
  <c r="B37" i="64"/>
  <c r="D37" i="64"/>
  <c r="E37" i="64"/>
  <c r="F37" i="64"/>
  <c r="B38" i="64"/>
  <c r="D38" i="64"/>
  <c r="E38" i="64"/>
  <c r="F38" i="64"/>
  <c r="B39" i="64"/>
  <c r="D39" i="64"/>
  <c r="E39" i="64"/>
  <c r="F39" i="64"/>
  <c r="B40" i="64"/>
  <c r="D40" i="64"/>
  <c r="E40" i="64"/>
  <c r="F40" i="64"/>
  <c r="B41" i="64"/>
  <c r="D41" i="64"/>
  <c r="E41" i="64"/>
  <c r="F41" i="64"/>
  <c r="B42" i="64"/>
  <c r="D42" i="64"/>
  <c r="E42" i="64"/>
  <c r="F42" i="64"/>
  <c r="B43" i="64"/>
  <c r="D43" i="64"/>
  <c r="E43" i="64"/>
  <c r="F43" i="64"/>
  <c r="B44" i="64"/>
  <c r="D44" i="64"/>
  <c r="E44" i="64"/>
  <c r="F44" i="64"/>
  <c r="B45" i="64"/>
  <c r="D45" i="64"/>
  <c r="E45" i="64"/>
  <c r="F45" i="64"/>
  <c r="B46" i="64"/>
  <c r="D46" i="64"/>
  <c r="E46" i="64"/>
  <c r="F46" i="64"/>
  <c r="B47" i="64"/>
  <c r="D47" i="64"/>
  <c r="E47" i="64"/>
  <c r="F47" i="64"/>
  <c r="B48" i="64"/>
  <c r="D48" i="64"/>
  <c r="E48" i="64"/>
  <c r="F48" i="64"/>
  <c r="B49" i="64"/>
  <c r="D49" i="64"/>
  <c r="E49" i="64"/>
  <c r="F49" i="64"/>
  <c r="B50" i="64"/>
  <c r="D50" i="64"/>
  <c r="E50" i="64"/>
  <c r="F50" i="64"/>
  <c r="B51" i="64"/>
  <c r="D51" i="64"/>
  <c r="E51" i="64"/>
  <c r="F51" i="64"/>
  <c r="B52" i="64"/>
  <c r="D52" i="64"/>
  <c r="E52" i="64"/>
  <c r="F52" i="64"/>
  <c r="B53" i="64"/>
  <c r="D53" i="64"/>
  <c r="E53" i="64"/>
  <c r="F53" i="64"/>
  <c r="B54" i="64"/>
  <c r="D54" i="64"/>
  <c r="E54" i="64"/>
  <c r="F54" i="64"/>
  <c r="C55" i="64"/>
  <c r="D55" i="64"/>
  <c r="D58" i="64"/>
  <c r="D59" i="64"/>
  <c r="D60" i="64"/>
  <c r="D61" i="64"/>
  <c r="D62" i="64"/>
  <c r="D63" i="64"/>
  <c r="C64" i="64"/>
  <c r="D64" i="64"/>
  <c r="E64" i="64"/>
  <c r="C66" i="64"/>
  <c r="F2" i="60"/>
  <c r="G2" i="60"/>
  <c r="H2" i="60"/>
  <c r="K2" i="60"/>
  <c r="L2" i="60"/>
  <c r="M2" i="60"/>
  <c r="K3" i="60"/>
  <c r="M3" i="60"/>
  <c r="K4" i="60"/>
  <c r="M4" i="60"/>
  <c r="K5" i="60"/>
  <c r="M5" i="60"/>
  <c r="K6" i="60"/>
  <c r="M6" i="60"/>
  <c r="K7" i="60"/>
  <c r="M7" i="60"/>
  <c r="K8" i="60"/>
  <c r="M8" i="60"/>
  <c r="K9" i="60"/>
  <c r="M9" i="60"/>
  <c r="K10" i="60"/>
  <c r="M10" i="60"/>
  <c r="K11" i="60"/>
  <c r="M11" i="60"/>
  <c r="K12" i="60"/>
  <c r="M12" i="60"/>
  <c r="K13" i="60"/>
  <c r="M13" i="60"/>
  <c r="K14" i="60"/>
  <c r="M14" i="60"/>
  <c r="K15" i="60"/>
  <c r="M15" i="60"/>
  <c r="K16" i="60"/>
  <c r="M16" i="60"/>
  <c r="K17" i="60"/>
  <c r="M17" i="60"/>
  <c r="K18" i="60"/>
  <c r="M18" i="60"/>
  <c r="K19" i="60"/>
  <c r="M19" i="60"/>
  <c r="K23" i="60"/>
  <c r="M23" i="60"/>
  <c r="K24" i="60"/>
  <c r="M24" i="60"/>
  <c r="K25" i="60"/>
  <c r="M25" i="60"/>
  <c r="K26" i="60"/>
  <c r="M26" i="60"/>
  <c r="K27" i="60"/>
  <c r="M27" i="60"/>
  <c r="K28" i="60"/>
  <c r="M28" i="60"/>
  <c r="K29" i="60"/>
  <c r="M29" i="60"/>
  <c r="K30" i="60"/>
  <c r="M30" i="60"/>
  <c r="K31" i="60"/>
  <c r="M31" i="60"/>
  <c r="K33" i="60"/>
  <c r="M33" i="60"/>
  <c r="K34" i="60"/>
  <c r="M34" i="60"/>
  <c r="K35" i="60"/>
  <c r="M35" i="60"/>
  <c r="K36" i="60"/>
  <c r="M36" i="60"/>
  <c r="K37" i="60"/>
  <c r="M37" i="60"/>
  <c r="K38" i="60"/>
  <c r="M38" i="60"/>
  <c r="K39" i="60"/>
  <c r="M39" i="60"/>
  <c r="K40" i="60"/>
  <c r="M40" i="60"/>
  <c r="K42" i="60"/>
  <c r="M42" i="60"/>
  <c r="K43" i="60"/>
  <c r="M43" i="60"/>
  <c r="K44" i="60"/>
  <c r="M44" i="60"/>
  <c r="K45" i="60"/>
  <c r="M45" i="60"/>
  <c r="K46" i="60"/>
  <c r="M46" i="60"/>
  <c r="K47" i="60"/>
  <c r="M47" i="60"/>
  <c r="K50" i="60"/>
  <c r="M50" i="60"/>
  <c r="K51" i="60"/>
  <c r="M51" i="60"/>
  <c r="K52" i="60"/>
  <c r="M52" i="60"/>
  <c r="K53" i="60"/>
  <c r="M53" i="60"/>
  <c r="K54" i="60"/>
  <c r="M54" i="60"/>
  <c r="K55" i="60"/>
  <c r="M55" i="60"/>
  <c r="K56" i="60"/>
  <c r="M56" i="60"/>
  <c r="K57" i="60"/>
  <c r="M57" i="60"/>
  <c r="K58" i="60"/>
  <c r="M58" i="60"/>
  <c r="K59" i="60"/>
  <c r="M59" i="60"/>
  <c r="K60" i="60"/>
  <c r="M60" i="60"/>
  <c r="K61" i="60"/>
  <c r="M61" i="60"/>
  <c r="K62" i="60"/>
  <c r="M62" i="60"/>
  <c r="K67" i="60"/>
  <c r="M67" i="60"/>
  <c r="K73" i="60"/>
  <c r="M73" i="60"/>
  <c r="K75" i="60"/>
  <c r="M75" i="60"/>
  <c r="K79" i="60"/>
  <c r="M79" i="60"/>
  <c r="K81" i="60"/>
  <c r="M81" i="60"/>
  <c r="K82" i="60"/>
  <c r="M82" i="60"/>
  <c r="K87" i="60"/>
  <c r="M87" i="60"/>
  <c r="K90" i="60"/>
  <c r="M90" i="60"/>
  <c r="K92" i="60"/>
  <c r="M92" i="60"/>
  <c r="K95" i="60"/>
  <c r="M95" i="60"/>
  <c r="K96" i="60"/>
  <c r="M96" i="60"/>
  <c r="K97" i="60"/>
  <c r="M97" i="60"/>
  <c r="K98" i="60"/>
  <c r="M98" i="60"/>
  <c r="K100" i="60"/>
  <c r="M100" i="60"/>
  <c r="J2" i="59"/>
  <c r="J3" i="59"/>
  <c r="J4" i="59"/>
  <c r="J5" i="59" s="1"/>
  <c r="O5" i="59" s="1"/>
  <c r="J6" i="59"/>
  <c r="J7" i="59"/>
  <c r="J8" i="59"/>
  <c r="J9" i="59"/>
  <c r="O9" i="59" s="1"/>
  <c r="J10" i="59"/>
  <c r="J11" i="59" s="1"/>
  <c r="O11" i="59" s="1"/>
  <c r="J12" i="59"/>
  <c r="J13" i="59" s="1"/>
  <c r="O13" i="59" s="1"/>
  <c r="H14" i="59"/>
  <c r="J14" i="59" s="1"/>
  <c r="J15" i="59" s="1"/>
  <c r="O15" i="59" s="1"/>
  <c r="F16" i="59"/>
  <c r="J16" i="59"/>
  <c r="J17" i="59" s="1"/>
  <c r="O17" i="59" s="1"/>
  <c r="J18" i="59"/>
  <c r="I19" i="59"/>
  <c r="J19" i="59" s="1"/>
  <c r="J20" i="59"/>
  <c r="J21" i="59"/>
  <c r="J22" i="59"/>
  <c r="J23" i="59"/>
  <c r="J25" i="59"/>
  <c r="J26" i="59"/>
  <c r="J27" i="59"/>
  <c r="J28" i="59"/>
  <c r="J29" i="59"/>
  <c r="J30" i="59"/>
  <c r="J32" i="59"/>
  <c r="J33" i="59"/>
  <c r="J34" i="59"/>
  <c r="J35" i="59"/>
  <c r="J36" i="59"/>
  <c r="J37" i="59"/>
  <c r="J38" i="59"/>
  <c r="J39" i="59"/>
  <c r="J40" i="59"/>
  <c r="J41" i="59"/>
  <c r="J42" i="59"/>
  <c r="J43" i="59"/>
  <c r="J44" i="59"/>
  <c r="J45" i="59"/>
  <c r="J46" i="59"/>
  <c r="J47" i="59"/>
  <c r="J48" i="59"/>
  <c r="J49" i="59"/>
  <c r="J50" i="59"/>
  <c r="J51" i="59"/>
  <c r="J52" i="59"/>
  <c r="J53" i="59"/>
  <c r="J54" i="59"/>
  <c r="J55" i="59"/>
  <c r="J56" i="59"/>
  <c r="J57" i="59"/>
  <c r="J58" i="59"/>
  <c r="J59" i="59"/>
  <c r="J60" i="59"/>
  <c r="J61" i="59"/>
  <c r="J62" i="59"/>
  <c r="J63" i="59"/>
  <c r="J64" i="59"/>
  <c r="J65" i="59"/>
  <c r="J66" i="59"/>
  <c r="J67" i="59"/>
  <c r="J68" i="59"/>
  <c r="J69" i="59"/>
  <c r="J70" i="59"/>
  <c r="J71" i="59"/>
  <c r="J72" i="59"/>
  <c r="J73" i="59"/>
  <c r="J74" i="59"/>
  <c r="J75" i="59"/>
  <c r="J76" i="59"/>
  <c r="J77" i="59"/>
  <c r="J78" i="59"/>
  <c r="J79" i="59"/>
  <c r="J80" i="59"/>
  <c r="J81" i="59"/>
  <c r="J82" i="59"/>
  <c r="J83" i="59"/>
  <c r="J84" i="59"/>
  <c r="K84" i="59"/>
  <c r="L84" i="59"/>
  <c r="J85" i="59"/>
  <c r="J86" i="59"/>
  <c r="J87" i="59"/>
  <c r="J88" i="59"/>
  <c r="J89" i="59"/>
  <c r="J90" i="59"/>
  <c r="J91" i="59"/>
  <c r="J92" i="59"/>
  <c r="J93" i="59"/>
  <c r="J94" i="59"/>
  <c r="J95" i="59"/>
  <c r="J96" i="59"/>
  <c r="J97" i="59"/>
  <c r="J98" i="59"/>
  <c r="N99" i="59"/>
  <c r="I100" i="59"/>
  <c r="J100" i="59" s="1"/>
  <c r="J101" i="59" s="1"/>
  <c r="O101" i="59" s="1"/>
  <c r="J102" i="59"/>
  <c r="J103" i="59"/>
  <c r="J104" i="59"/>
  <c r="J105" i="59"/>
  <c r="J106" i="59"/>
  <c r="J108" i="59"/>
  <c r="J109" i="59"/>
  <c r="J110" i="59"/>
  <c r="J111" i="59"/>
  <c r="M111" i="59"/>
  <c r="J112" i="59"/>
  <c r="M112" i="59"/>
  <c r="J113" i="59"/>
  <c r="J114" i="59"/>
  <c r="O114" i="59" s="1"/>
  <c r="J115" i="59"/>
  <c r="J116" i="59"/>
  <c r="J117" i="59"/>
  <c r="J118" i="59"/>
  <c r="J119" i="59"/>
  <c r="J120" i="59"/>
  <c r="J121" i="59"/>
  <c r="H122" i="59"/>
  <c r="J123" i="59"/>
  <c r="J124" i="59"/>
  <c r="J125" i="59"/>
  <c r="J126" i="59"/>
  <c r="J127" i="59"/>
  <c r="L128" i="59"/>
  <c r="J129" i="59"/>
  <c r="J130" i="59"/>
  <c r="J131" i="59"/>
  <c r="J132" i="59"/>
  <c r="J133" i="59"/>
  <c r="J134" i="59"/>
  <c r="F136" i="59"/>
  <c r="H136" i="59"/>
  <c r="J136" i="59" s="1"/>
  <c r="F137" i="59"/>
  <c r="H137" i="59"/>
  <c r="J137" i="59" s="1"/>
  <c r="F138" i="59"/>
  <c r="H138" i="59"/>
  <c r="J138" i="59" s="1"/>
  <c r="F139" i="59"/>
  <c r="H139" i="59"/>
  <c r="J139" i="59" s="1"/>
  <c r="F140" i="59"/>
  <c r="H140" i="59"/>
  <c r="J140" i="59" s="1"/>
  <c r="F141" i="59"/>
  <c r="H141" i="59"/>
  <c r="J141" i="59" s="1"/>
  <c r="F142" i="59"/>
  <c r="H142" i="59"/>
  <c r="J142" i="59" s="1"/>
  <c r="F143" i="59"/>
  <c r="H143" i="59"/>
  <c r="J143" i="59" s="1"/>
  <c r="F144" i="59"/>
  <c r="H144" i="59"/>
  <c r="J144" i="59" s="1"/>
  <c r="F145" i="59"/>
  <c r="H145" i="59"/>
  <c r="J145" i="59" s="1"/>
  <c r="F146" i="59"/>
  <c r="H146" i="59"/>
  <c r="J146" i="59" s="1"/>
  <c r="F147" i="59"/>
  <c r="H147" i="59"/>
  <c r="J147" i="59" s="1"/>
  <c r="F148" i="59"/>
  <c r="H148" i="59"/>
  <c r="J148" i="59" s="1"/>
  <c r="F149" i="59"/>
  <c r="H149" i="59"/>
  <c r="J149" i="59" s="1"/>
  <c r="F150" i="59"/>
  <c r="H150" i="59"/>
  <c r="J150" i="59" s="1"/>
  <c r="F151" i="59"/>
  <c r="H151" i="59"/>
  <c r="J151" i="59" s="1"/>
  <c r="F152" i="59"/>
  <c r="H152" i="59"/>
  <c r="J152" i="59" s="1"/>
  <c r="F153" i="59"/>
  <c r="H153" i="59"/>
  <c r="J153" i="59" s="1"/>
  <c r="F154" i="59"/>
  <c r="H154" i="59"/>
  <c r="J154" i="59" s="1"/>
  <c r="F155" i="59"/>
  <c r="H155" i="59"/>
  <c r="J155" i="59" s="1"/>
  <c r="F156" i="59"/>
  <c r="H156" i="59"/>
  <c r="J156" i="59" s="1"/>
  <c r="F157" i="59"/>
  <c r="H157" i="59"/>
  <c r="J157" i="59" s="1"/>
  <c r="F158" i="59"/>
  <c r="H158" i="59"/>
  <c r="J158" i="59" s="1"/>
  <c r="F159" i="59"/>
  <c r="H159" i="59"/>
  <c r="J159" i="59" s="1"/>
  <c r="F160" i="59"/>
  <c r="H160" i="59"/>
  <c r="J160" i="59" s="1"/>
  <c r="F161" i="59"/>
  <c r="H161" i="59"/>
  <c r="J161" i="59" s="1"/>
  <c r="F162" i="59"/>
  <c r="H162" i="59"/>
  <c r="J162" i="59" s="1"/>
  <c r="F163" i="59"/>
  <c r="H163" i="59"/>
  <c r="J163" i="59" s="1"/>
  <c r="F164" i="59"/>
  <c r="H164" i="59"/>
  <c r="J164" i="59" s="1"/>
  <c r="F165" i="59"/>
  <c r="H165" i="59"/>
  <c r="J165" i="59" s="1"/>
  <c r="F166" i="59"/>
  <c r="H166" i="59"/>
  <c r="J166" i="59" s="1"/>
  <c r="F167" i="59"/>
  <c r="H167" i="59"/>
  <c r="J167" i="59" s="1"/>
  <c r="F168" i="59"/>
  <c r="H168" i="59"/>
  <c r="J168" i="59" s="1"/>
  <c r="F169" i="59"/>
  <c r="H169" i="59"/>
  <c r="J169" i="59" s="1"/>
  <c r="F170" i="59"/>
  <c r="H170" i="59"/>
  <c r="J170" i="59" s="1"/>
  <c r="F171" i="59"/>
  <c r="H171" i="59"/>
  <c r="J171" i="59" s="1"/>
  <c r="F172" i="59"/>
  <c r="H172" i="59"/>
  <c r="J172" i="59" s="1"/>
  <c r="F173" i="59"/>
  <c r="H173" i="59"/>
  <c r="J173" i="59" s="1"/>
  <c r="F174" i="59"/>
  <c r="H174" i="59"/>
  <c r="J174" i="59" s="1"/>
  <c r="F175" i="59"/>
  <c r="H175" i="59"/>
  <c r="J175" i="59" s="1"/>
  <c r="F176" i="59"/>
  <c r="H176" i="59"/>
  <c r="J176" i="59" s="1"/>
  <c r="F177" i="59"/>
  <c r="H177" i="59"/>
  <c r="J177" i="59" s="1"/>
  <c r="F178" i="59"/>
  <c r="H178" i="59"/>
  <c r="J178" i="59" s="1"/>
  <c r="F179" i="59"/>
  <c r="H179" i="59"/>
  <c r="J179" i="59" s="1"/>
  <c r="F180" i="59"/>
  <c r="H180" i="59"/>
  <c r="J180" i="59" s="1"/>
  <c r="F181" i="59"/>
  <c r="H181" i="59"/>
  <c r="J181" i="59" s="1"/>
  <c r="F182" i="59"/>
  <c r="H182" i="59"/>
  <c r="J182" i="59" s="1"/>
  <c r="F183" i="59"/>
  <c r="H183" i="59"/>
  <c r="J183" i="59" s="1"/>
  <c r="F184" i="59"/>
  <c r="H184" i="59"/>
  <c r="J184" i="59" s="1"/>
  <c r="F185" i="59"/>
  <c r="H185" i="59"/>
  <c r="J185" i="59" s="1"/>
  <c r="F186" i="59"/>
  <c r="H186" i="59"/>
  <c r="J186" i="59" s="1"/>
  <c r="F187" i="59"/>
  <c r="H187" i="59"/>
  <c r="J187" i="59" s="1"/>
  <c r="F188" i="59"/>
  <c r="H188" i="59"/>
  <c r="J188" i="59" s="1"/>
  <c r="F189" i="59"/>
  <c r="H189" i="59"/>
  <c r="J189" i="59" s="1"/>
  <c r="F190" i="59"/>
  <c r="H190" i="59"/>
  <c r="J190" i="59" s="1"/>
  <c r="F191" i="59"/>
  <c r="H191" i="59"/>
  <c r="J191" i="59" s="1"/>
  <c r="F192" i="59"/>
  <c r="H192" i="59"/>
  <c r="J192" i="59" s="1"/>
  <c r="F193" i="59"/>
  <c r="H193" i="59"/>
  <c r="J193" i="59" s="1"/>
  <c r="F194" i="59"/>
  <c r="H194" i="59"/>
  <c r="J194" i="59" s="1"/>
  <c r="F195" i="59"/>
  <c r="H195" i="59"/>
  <c r="J195" i="59" s="1"/>
  <c r="F196" i="59"/>
  <c r="H196" i="59"/>
  <c r="J196" i="59" s="1"/>
  <c r="F197" i="59"/>
  <c r="H197" i="59"/>
  <c r="J197" i="59" s="1"/>
  <c r="F198" i="59"/>
  <c r="H198" i="59"/>
  <c r="J198" i="59" s="1"/>
  <c r="F199" i="59"/>
  <c r="H199" i="59"/>
  <c r="J199" i="59" s="1"/>
  <c r="F200" i="59"/>
  <c r="H200" i="59"/>
  <c r="J200" i="59" s="1"/>
  <c r="F201" i="59"/>
  <c r="H201" i="59"/>
  <c r="J201" i="59" s="1"/>
  <c r="L202" i="59"/>
  <c r="J203" i="59"/>
  <c r="J204" i="59" s="1"/>
  <c r="O204" i="59" s="1"/>
  <c r="F205" i="59"/>
  <c r="J205" i="59"/>
  <c r="F206" i="59"/>
  <c r="J206" i="59"/>
  <c r="F207" i="59"/>
  <c r="J207" i="59"/>
  <c r="F208" i="59"/>
  <c r="J208" i="59"/>
  <c r="F209" i="59"/>
  <c r="J209" i="59"/>
  <c r="F210" i="59"/>
  <c r="J210" i="59"/>
  <c r="F211" i="59"/>
  <c r="J211" i="59"/>
  <c r="F212" i="59"/>
  <c r="J212" i="59"/>
  <c r="F213" i="59"/>
  <c r="J213" i="59"/>
  <c r="F214" i="59"/>
  <c r="J214" i="59"/>
  <c r="F215" i="59"/>
  <c r="J215" i="59"/>
  <c r="F216" i="59"/>
  <c r="J216" i="59"/>
  <c r="F217" i="59"/>
  <c r="J217" i="59"/>
  <c r="F218" i="59"/>
  <c r="J218" i="59"/>
  <c r="F219" i="59"/>
  <c r="J219" i="59"/>
  <c r="F220" i="59"/>
  <c r="J220" i="59"/>
  <c r="F221" i="59"/>
  <c r="J221" i="59"/>
  <c r="F222" i="59"/>
  <c r="J222" i="59"/>
  <c r="F223" i="59"/>
  <c r="J223" i="59"/>
  <c r="J224" i="59"/>
  <c r="H225" i="59"/>
  <c r="J226" i="59"/>
  <c r="J227" i="59"/>
  <c r="J229" i="59"/>
  <c r="J230" i="59"/>
  <c r="J231" i="59"/>
  <c r="J232" i="59"/>
  <c r="J234" i="59"/>
  <c r="F235" i="59"/>
  <c r="J235" i="59"/>
  <c r="F236" i="59"/>
  <c r="J236" i="59"/>
  <c r="F237" i="59"/>
  <c r="J237" i="59"/>
  <c r="F238" i="59"/>
  <c r="J238" i="59"/>
  <c r="F239" i="59"/>
  <c r="J239" i="59"/>
  <c r="F240" i="59"/>
  <c r="J240" i="59"/>
  <c r="F241" i="59"/>
  <c r="J241" i="59"/>
  <c r="F242" i="59"/>
  <c r="J242" i="59"/>
  <c r="F243" i="59"/>
  <c r="J243" i="59"/>
  <c r="F244" i="59"/>
  <c r="J244" i="59"/>
  <c r="F245" i="59"/>
  <c r="J245" i="59"/>
  <c r="F246" i="59"/>
  <c r="J246" i="59"/>
  <c r="F247" i="59"/>
  <c r="J247" i="59"/>
  <c r="F248" i="59"/>
  <c r="J248" i="59"/>
  <c r="H249" i="59"/>
  <c r="J249" i="59"/>
  <c r="O249" i="59" s="1"/>
  <c r="J250" i="59"/>
  <c r="J251" i="59"/>
  <c r="J253" i="59"/>
  <c r="J254" i="59"/>
  <c r="J256" i="59"/>
  <c r="J257" i="59"/>
  <c r="J258" i="59"/>
  <c r="J259" i="59"/>
  <c r="J260" i="59"/>
  <c r="J261" i="59"/>
  <c r="J262" i="59"/>
  <c r="J263" i="59"/>
  <c r="J264" i="59"/>
  <c r="J265" i="59"/>
  <c r="J266" i="59"/>
  <c r="J267" i="59"/>
  <c r="J268" i="59"/>
  <c r="J269" i="59"/>
  <c r="J270" i="59"/>
  <c r="J271" i="59"/>
  <c r="J272" i="59"/>
  <c r="J273" i="59"/>
  <c r="J274" i="59"/>
  <c r="J275" i="59"/>
  <c r="J276" i="59"/>
  <c r="J277" i="59"/>
  <c r="J278" i="59"/>
  <c r="J279" i="59"/>
  <c r="J280" i="59"/>
  <c r="J281" i="59"/>
  <c r="J282" i="59"/>
  <c r="J283" i="59"/>
  <c r="J284" i="59"/>
  <c r="J285" i="59"/>
  <c r="J286" i="59"/>
  <c r="J287" i="59"/>
  <c r="J288" i="59"/>
  <c r="J289" i="59"/>
  <c r="J290" i="59"/>
  <c r="J291" i="59"/>
  <c r="J292" i="59"/>
  <c r="J293" i="59"/>
  <c r="J294" i="59"/>
  <c r="J295" i="59"/>
  <c r="J296" i="59"/>
  <c r="J297" i="59"/>
  <c r="J298" i="59"/>
  <c r="J299" i="59"/>
  <c r="J300" i="59"/>
  <c r="J301" i="59"/>
  <c r="J302" i="59"/>
  <c r="J303" i="59"/>
  <c r="H304" i="59"/>
  <c r="J305" i="59"/>
  <c r="J306" i="59"/>
  <c r="J307" i="59"/>
  <c r="J308" i="59"/>
  <c r="J309" i="59"/>
  <c r="H310" i="59"/>
  <c r="J311" i="59"/>
  <c r="J312" i="59"/>
  <c r="J313" i="59"/>
  <c r="J314" i="59"/>
  <c r="J315" i="59"/>
  <c r="J316" i="59"/>
  <c r="J317" i="59"/>
  <c r="J318" i="59"/>
  <c r="J319" i="59"/>
  <c r="J320" i="59"/>
  <c r="J321" i="59"/>
  <c r="J322" i="59"/>
  <c r="J323" i="59"/>
  <c r="J324" i="59"/>
  <c r="J325" i="59"/>
  <c r="H326" i="59"/>
  <c r="F327" i="59"/>
  <c r="J327" i="59"/>
  <c r="F328" i="59"/>
  <c r="J328" i="59"/>
  <c r="F329" i="59"/>
  <c r="J329" i="59"/>
  <c r="F330" i="59"/>
  <c r="J330" i="59"/>
  <c r="H331" i="59"/>
  <c r="J331" i="59"/>
  <c r="N331" i="59"/>
  <c r="F332" i="59"/>
  <c r="J332" i="59"/>
  <c r="F333" i="59"/>
  <c r="J333" i="59"/>
  <c r="F334" i="59"/>
  <c r="J334" i="59"/>
  <c r="F335" i="59"/>
  <c r="J335" i="59"/>
  <c r="F336" i="59"/>
  <c r="J336" i="59"/>
  <c r="F337" i="59"/>
  <c r="J337" i="59"/>
  <c r="H338" i="59"/>
  <c r="J338" i="59"/>
  <c r="O338" i="59" s="1"/>
  <c r="J339" i="59"/>
  <c r="J340" i="59"/>
  <c r="J341" i="59"/>
  <c r="J342" i="59"/>
  <c r="J343" i="59"/>
  <c r="J344" i="59"/>
  <c r="J345" i="59"/>
  <c r="J346" i="59"/>
  <c r="J347" i="59"/>
  <c r="J348" i="59"/>
  <c r="J349" i="59"/>
  <c r="J350" i="59"/>
  <c r="J351" i="59"/>
  <c r="J352" i="59"/>
  <c r="J353" i="59"/>
  <c r="J354" i="59"/>
  <c r="J355" i="59"/>
  <c r="J356" i="59"/>
  <c r="J357" i="59"/>
  <c r="J358" i="59"/>
  <c r="H359" i="59"/>
  <c r="J360" i="59"/>
  <c r="J361" i="59"/>
  <c r="J362" i="59"/>
  <c r="J363" i="59"/>
  <c r="J364" i="59"/>
  <c r="J365" i="59"/>
  <c r="J366" i="59"/>
  <c r="J367" i="59"/>
  <c r="J368" i="59"/>
  <c r="H369" i="59"/>
  <c r="F370" i="59"/>
  <c r="J370" i="59"/>
  <c r="F371" i="59"/>
  <c r="J371" i="59"/>
  <c r="F372" i="59"/>
  <c r="J372" i="59"/>
  <c r="F373" i="59"/>
  <c r="J373" i="59"/>
  <c r="F374" i="59"/>
  <c r="J374" i="59"/>
  <c r="F375" i="59"/>
  <c r="J375" i="59"/>
  <c r="F376" i="59"/>
  <c r="J376" i="59"/>
  <c r="F377" i="59"/>
  <c r="J377" i="59"/>
  <c r="F378" i="59"/>
  <c r="J378" i="59"/>
  <c r="F379" i="59"/>
  <c r="J379" i="59"/>
  <c r="F380" i="59"/>
  <c r="J380" i="59"/>
  <c r="F381" i="59"/>
  <c r="J381" i="59"/>
  <c r="H382" i="59"/>
  <c r="J382" i="59"/>
  <c r="O382" i="59" s="1"/>
  <c r="J383" i="59"/>
  <c r="J384" i="59"/>
  <c r="J385" i="59"/>
  <c r="J386" i="59"/>
  <c r="H387" i="59"/>
  <c r="J388" i="59"/>
  <c r="J389" i="59"/>
  <c r="J390" i="59"/>
  <c r="J391" i="59"/>
  <c r="J392" i="59"/>
  <c r="J393" i="59"/>
  <c r="J394" i="59"/>
  <c r="F395" i="59"/>
  <c r="J395" i="59"/>
  <c r="F396" i="59"/>
  <c r="J396" i="59"/>
  <c r="F397" i="59"/>
  <c r="J397" i="59"/>
  <c r="F398" i="59"/>
  <c r="J398" i="59"/>
  <c r="F399" i="59"/>
  <c r="J399" i="59"/>
  <c r="F400" i="59"/>
  <c r="J400" i="59"/>
  <c r="F401" i="59"/>
  <c r="J401" i="59"/>
  <c r="F402" i="59"/>
  <c r="J402" i="59"/>
  <c r="F403" i="59"/>
  <c r="J403" i="59"/>
  <c r="F404" i="59"/>
  <c r="J404" i="59"/>
  <c r="J405" i="59"/>
  <c r="J406" i="59"/>
  <c r="J407" i="59"/>
  <c r="J408" i="59"/>
  <c r="J409" i="59"/>
  <c r="J410" i="59"/>
  <c r="J411" i="59"/>
  <c r="H412" i="59"/>
  <c r="J413" i="59"/>
  <c r="J414" i="59"/>
  <c r="J415" i="59"/>
  <c r="J416" i="59"/>
  <c r="J417" i="59"/>
  <c r="J418" i="59"/>
  <c r="H419" i="59"/>
  <c r="J420" i="59"/>
  <c r="J421" i="59"/>
  <c r="J422" i="59"/>
  <c r="J423" i="59"/>
  <c r="J424" i="59"/>
  <c r="J425" i="59"/>
  <c r="J426" i="59"/>
  <c r="J427" i="59"/>
  <c r="J428" i="59"/>
  <c r="J429" i="59"/>
  <c r="J430" i="59"/>
  <c r="J431" i="59"/>
  <c r="J432" i="59"/>
  <c r="J433" i="59"/>
  <c r="J434" i="59"/>
  <c r="J435" i="59"/>
  <c r="J436" i="59"/>
  <c r="J437" i="59"/>
  <c r="J438" i="59"/>
  <c r="J439" i="59"/>
  <c r="J440" i="59"/>
  <c r="J441" i="59"/>
  <c r="J442" i="59"/>
  <c r="J443" i="59"/>
  <c r="J444" i="59"/>
  <c r="J445" i="59"/>
  <c r="L445" i="59"/>
  <c r="J446" i="59"/>
  <c r="H447" i="59"/>
  <c r="H448" i="59"/>
  <c r="J449" i="59"/>
  <c r="O449" i="59" s="1"/>
  <c r="F450" i="59"/>
  <c r="H450" i="59"/>
  <c r="I450" i="59"/>
  <c r="F451" i="59"/>
  <c r="H451" i="59"/>
  <c r="I451" i="59"/>
  <c r="F452" i="59"/>
  <c r="H452" i="59"/>
  <c r="I452" i="59"/>
  <c r="F453" i="59"/>
  <c r="H453" i="59"/>
  <c r="I453" i="59"/>
  <c r="F454" i="59"/>
  <c r="H454" i="59"/>
  <c r="I454" i="59"/>
  <c r="F455" i="59"/>
  <c r="H455" i="59"/>
  <c r="I455" i="59"/>
  <c r="F456" i="59"/>
  <c r="H456" i="59"/>
  <c r="I456" i="59"/>
  <c r="F457" i="59"/>
  <c r="H457" i="59"/>
  <c r="I457" i="59"/>
  <c r="J458" i="59"/>
  <c r="J459" i="59"/>
  <c r="J460" i="59"/>
  <c r="J461" i="59"/>
  <c r="J462" i="59"/>
  <c r="J463" i="59"/>
  <c r="J464" i="59"/>
  <c r="J465" i="59"/>
  <c r="J466" i="59"/>
  <c r="J467" i="59"/>
  <c r="J468" i="59"/>
  <c r="J469" i="59"/>
  <c r="J470" i="59"/>
  <c r="J471" i="59"/>
  <c r="J472" i="59"/>
  <c r="J473" i="59"/>
  <c r="J474" i="59"/>
  <c r="J475" i="59"/>
  <c r="J477" i="59"/>
  <c r="J478" i="59"/>
  <c r="J479" i="59"/>
  <c r="J480" i="59"/>
  <c r="J481" i="59"/>
  <c r="J482" i="59"/>
  <c r="J483" i="59"/>
  <c r="J484" i="59"/>
  <c r="J485" i="59"/>
  <c r="J486" i="59"/>
  <c r="J487" i="59"/>
  <c r="J488" i="59"/>
  <c r="J489" i="59"/>
  <c r="J490" i="59"/>
  <c r="J491" i="59"/>
  <c r="J492" i="59"/>
  <c r="J493" i="59"/>
  <c r="J494" i="59"/>
  <c r="J495" i="59"/>
  <c r="J496" i="59"/>
  <c r="H497" i="59"/>
  <c r="F498" i="59"/>
  <c r="I498" i="59"/>
  <c r="J498" i="59" s="1"/>
  <c r="F499" i="59"/>
  <c r="I499" i="59"/>
  <c r="J499" i="59" s="1"/>
  <c r="F500" i="59"/>
  <c r="H500" i="59"/>
  <c r="I500" i="59"/>
  <c r="F501" i="59"/>
  <c r="J501" i="59"/>
  <c r="F502" i="59"/>
  <c r="J502" i="59"/>
  <c r="F503" i="59"/>
  <c r="J503" i="59"/>
  <c r="F504" i="59"/>
  <c r="J504" i="59"/>
  <c r="F505" i="59"/>
  <c r="I505" i="59"/>
  <c r="J505" i="59" s="1"/>
  <c r="F506" i="59"/>
  <c r="I506" i="59"/>
  <c r="J506" i="59" s="1"/>
  <c r="F507" i="59"/>
  <c r="I507" i="59"/>
  <c r="J507" i="59" s="1"/>
  <c r="H508" i="59"/>
  <c r="F509" i="59"/>
  <c r="I509" i="59"/>
  <c r="J509" i="59" s="1"/>
  <c r="F510" i="59"/>
  <c r="I510" i="59"/>
  <c r="J510" i="59" s="1"/>
  <c r="F511" i="59"/>
  <c r="I511" i="59"/>
  <c r="J511" i="59" s="1"/>
  <c r="F512" i="59"/>
  <c r="I512" i="59"/>
  <c r="J512" i="59" s="1"/>
  <c r="F513" i="59"/>
  <c r="I513" i="59"/>
  <c r="J513" i="59" s="1"/>
  <c r="F514" i="59"/>
  <c r="I514" i="59"/>
  <c r="J514" i="59" s="1"/>
  <c r="F515" i="59"/>
  <c r="J515" i="59"/>
  <c r="F516" i="59"/>
  <c r="J516" i="59"/>
  <c r="F517" i="59"/>
  <c r="J517" i="59"/>
  <c r="F518" i="59"/>
  <c r="J518" i="59"/>
  <c r="F519" i="59"/>
  <c r="J519" i="59"/>
  <c r="F520" i="59"/>
  <c r="J520" i="59"/>
  <c r="F521" i="59"/>
  <c r="J521" i="59"/>
  <c r="F522" i="59"/>
  <c r="J522" i="59"/>
  <c r="F523" i="59"/>
  <c r="I523" i="59"/>
  <c r="J523" i="59" s="1"/>
  <c r="F524" i="59"/>
  <c r="I524" i="59"/>
  <c r="J524" i="59" s="1"/>
  <c r="F525" i="59"/>
  <c r="I525" i="59"/>
  <c r="J525" i="59" s="1"/>
  <c r="I526" i="59"/>
  <c r="J526" i="59" s="1"/>
  <c r="I527" i="59"/>
  <c r="J527" i="59" s="1"/>
  <c r="I528" i="59"/>
  <c r="J528" i="59" s="1"/>
  <c r="I529" i="59"/>
  <c r="J529" i="59" s="1"/>
  <c r="I530" i="59"/>
  <c r="J530" i="59" s="1"/>
  <c r="I531" i="59"/>
  <c r="J531" i="59" s="1"/>
  <c r="I532" i="59"/>
  <c r="J532" i="59" s="1"/>
  <c r="I533" i="59"/>
  <c r="J533" i="59" s="1"/>
  <c r="I534" i="59"/>
  <c r="J534" i="59" s="1"/>
  <c r="I535" i="59"/>
  <c r="J535" i="59" s="1"/>
  <c r="H536" i="59"/>
  <c r="I536" i="59"/>
  <c r="H537" i="59"/>
  <c r="I537" i="59"/>
  <c r="H538" i="59"/>
  <c r="I538" i="59"/>
  <c r="H539" i="59"/>
  <c r="I539" i="59"/>
  <c r="H540" i="59"/>
  <c r="I540" i="59"/>
  <c r="H541" i="59"/>
  <c r="I541" i="59"/>
  <c r="H542" i="59"/>
  <c r="I542" i="59"/>
  <c r="H543" i="59"/>
  <c r="I543" i="59"/>
  <c r="H544" i="59"/>
  <c r="I544" i="59"/>
  <c r="H545" i="59"/>
  <c r="I545" i="59"/>
  <c r="H546" i="59"/>
  <c r="I546" i="59"/>
  <c r="H547" i="59"/>
  <c r="I547" i="59"/>
  <c r="H548" i="59"/>
  <c r="I548" i="59"/>
  <c r="H549" i="59"/>
  <c r="I549" i="59"/>
  <c r="H550" i="59"/>
  <c r="I550" i="59"/>
  <c r="H551" i="59"/>
  <c r="I551" i="59"/>
  <c r="H552" i="59"/>
  <c r="I552" i="59"/>
  <c r="H553" i="59"/>
  <c r="I553" i="59"/>
  <c r="H554" i="59"/>
  <c r="I554" i="59"/>
  <c r="H555" i="59"/>
  <c r="I555" i="59"/>
  <c r="H556" i="59"/>
  <c r="I556" i="59"/>
  <c r="H557" i="59"/>
  <c r="I557" i="59"/>
  <c r="H558" i="59"/>
  <c r="I558" i="59"/>
  <c r="H559" i="59"/>
  <c r="I559" i="59"/>
  <c r="H560" i="59"/>
  <c r="I560" i="59"/>
  <c r="L561" i="59"/>
  <c r="F562" i="59"/>
  <c r="I562" i="59"/>
  <c r="J562" i="59" s="1"/>
  <c r="F563" i="59"/>
  <c r="I563" i="59"/>
  <c r="J563" i="59" s="1"/>
  <c r="F564" i="59"/>
  <c r="I564" i="59"/>
  <c r="J564" i="59" s="1"/>
  <c r="F565" i="59"/>
  <c r="I565" i="59"/>
  <c r="J565" i="59" s="1"/>
  <c r="F566" i="59"/>
  <c r="I566" i="59"/>
  <c r="J566" i="59" s="1"/>
  <c r="F567" i="59"/>
  <c r="I567" i="59"/>
  <c r="J567" i="59" s="1"/>
  <c r="F568" i="59"/>
  <c r="I568" i="59"/>
  <c r="J568" i="59" s="1"/>
  <c r="F569" i="59"/>
  <c r="I569" i="59"/>
  <c r="J569" i="59" s="1"/>
  <c r="F570" i="59"/>
  <c r="I570" i="59"/>
  <c r="J570" i="59" s="1"/>
  <c r="F571" i="59"/>
  <c r="I571" i="59"/>
  <c r="J571" i="59" s="1"/>
  <c r="F572" i="59"/>
  <c r="I572" i="59"/>
  <c r="J572" i="59" s="1"/>
  <c r="F573" i="59"/>
  <c r="I573" i="59"/>
  <c r="J573" i="59" s="1"/>
  <c r="F574" i="59"/>
  <c r="I574" i="59"/>
  <c r="J574" i="59" s="1"/>
  <c r="F575" i="59"/>
  <c r="I575" i="59"/>
  <c r="J575" i="59" s="1"/>
  <c r="H576" i="59"/>
  <c r="L576" i="59"/>
  <c r="F577" i="59"/>
  <c r="I577" i="59"/>
  <c r="J577" i="59" s="1"/>
  <c r="F578" i="59"/>
  <c r="I578" i="59"/>
  <c r="J578" i="59" s="1"/>
  <c r="F579" i="59"/>
  <c r="I579" i="59"/>
  <c r="J579" i="59" s="1"/>
  <c r="F580" i="59"/>
  <c r="J580" i="59"/>
  <c r="F581" i="59"/>
  <c r="J581" i="59"/>
  <c r="F582" i="59"/>
  <c r="J582" i="59"/>
  <c r="F583" i="59"/>
  <c r="J583" i="59"/>
  <c r="F584" i="59"/>
  <c r="J584" i="59"/>
  <c r="F585" i="59"/>
  <c r="J585" i="59"/>
  <c r="F586" i="59"/>
  <c r="J586" i="59"/>
  <c r="F587" i="59"/>
  <c r="J587" i="59"/>
  <c r="F588" i="59"/>
  <c r="I588" i="59"/>
  <c r="J588" i="59" s="1"/>
  <c r="F589" i="59"/>
  <c r="I589" i="59"/>
  <c r="J589" i="59" s="1"/>
  <c r="F590" i="59"/>
  <c r="I590" i="59"/>
  <c r="J590" i="59" s="1"/>
  <c r="H591" i="59"/>
  <c r="F592" i="59"/>
  <c r="I592" i="59"/>
  <c r="J592" i="59" s="1"/>
  <c r="F593" i="59"/>
  <c r="I593" i="59"/>
  <c r="J593" i="59" s="1"/>
  <c r="F594" i="59"/>
  <c r="I594" i="59"/>
  <c r="J594" i="59" s="1"/>
  <c r="F595" i="59"/>
  <c r="J595" i="59"/>
  <c r="F596" i="59"/>
  <c r="J596" i="59"/>
  <c r="F597" i="59"/>
  <c r="J597" i="59"/>
  <c r="F598" i="59"/>
  <c r="J598" i="59"/>
  <c r="F599" i="59"/>
  <c r="J599" i="59"/>
  <c r="F600" i="59"/>
  <c r="J600" i="59"/>
  <c r="F601" i="59"/>
  <c r="J601" i="59"/>
  <c r="F602" i="59"/>
  <c r="J602" i="59"/>
  <c r="F603" i="59"/>
  <c r="J603" i="59"/>
  <c r="F604" i="59"/>
  <c r="J604" i="59"/>
  <c r="F605" i="59"/>
  <c r="J605" i="59"/>
  <c r="H606" i="59"/>
  <c r="F607" i="59"/>
  <c r="I607" i="59"/>
  <c r="J607" i="59" s="1"/>
  <c r="F608" i="59"/>
  <c r="I608" i="59"/>
  <c r="J608" i="59" s="1"/>
  <c r="F609" i="59"/>
  <c r="I609" i="59"/>
  <c r="J609" i="59" s="1"/>
  <c r="F610" i="59"/>
  <c r="J610" i="59"/>
  <c r="F611" i="59"/>
  <c r="J611" i="59"/>
  <c r="F612" i="59"/>
  <c r="J612" i="59"/>
  <c r="F613" i="59"/>
  <c r="J613" i="59"/>
  <c r="F614" i="59"/>
  <c r="J614" i="59"/>
  <c r="F615" i="59"/>
  <c r="J615" i="59"/>
  <c r="H616" i="59"/>
  <c r="H618" i="59" s="1"/>
  <c r="F617" i="59"/>
  <c r="J617" i="59"/>
  <c r="J618" i="59" s="1"/>
  <c r="O618" i="59" s="1"/>
  <c r="C619" i="59"/>
  <c r="H619" i="59"/>
  <c r="I619" i="59"/>
  <c r="C620" i="59"/>
  <c r="H620" i="59"/>
  <c r="I620" i="59"/>
  <c r="C621" i="59"/>
  <c r="H621" i="59"/>
  <c r="I621" i="59"/>
  <c r="C622" i="59"/>
  <c r="F622" i="59"/>
  <c r="H622" i="59"/>
  <c r="I622" i="59"/>
  <c r="C623" i="59"/>
  <c r="F623" i="59"/>
  <c r="H623" i="59"/>
  <c r="I623" i="59"/>
  <c r="C624" i="59"/>
  <c r="F624" i="59"/>
  <c r="H624" i="59"/>
  <c r="I624" i="59"/>
  <c r="C625" i="59"/>
  <c r="H625" i="59"/>
  <c r="I625" i="59"/>
  <c r="C626" i="59"/>
  <c r="F626" i="59"/>
  <c r="H626" i="59"/>
  <c r="I626" i="59"/>
  <c r="C627" i="59"/>
  <c r="H627" i="59"/>
  <c r="I627" i="59"/>
  <c r="C628" i="59"/>
  <c r="H628" i="59"/>
  <c r="I628" i="59"/>
  <c r="C629" i="59"/>
  <c r="H629" i="59"/>
  <c r="I629" i="59"/>
  <c r="C630" i="59"/>
  <c r="H630" i="59"/>
  <c r="I630" i="59"/>
  <c r="C631" i="59"/>
  <c r="H631" i="59"/>
  <c r="I631" i="59"/>
  <c r="C632" i="59"/>
  <c r="H632" i="59"/>
  <c r="I632" i="59"/>
  <c r="C633" i="59"/>
  <c r="F633" i="59"/>
  <c r="H633" i="59"/>
  <c r="I633" i="59"/>
  <c r="C634" i="59"/>
  <c r="H634" i="59"/>
  <c r="I634" i="59"/>
  <c r="C635" i="59"/>
  <c r="H635" i="59"/>
  <c r="I635" i="59"/>
  <c r="F637" i="59"/>
  <c r="H637" i="59"/>
  <c r="I637" i="59"/>
  <c r="F638" i="59"/>
  <c r="H638" i="59"/>
  <c r="I638" i="59"/>
  <c r="F639" i="59"/>
  <c r="H639" i="59"/>
  <c r="I639" i="59"/>
  <c r="F640" i="59"/>
  <c r="H640" i="59"/>
  <c r="I640" i="59"/>
  <c r="F641" i="59"/>
  <c r="H641" i="59"/>
  <c r="I641" i="59"/>
  <c r="F642" i="59"/>
  <c r="H642" i="59"/>
  <c r="I642" i="59"/>
  <c r="L643" i="59"/>
  <c r="F644" i="59"/>
  <c r="H644" i="59"/>
  <c r="I644" i="59"/>
  <c r="F645" i="59"/>
  <c r="H645" i="59"/>
  <c r="I645" i="59"/>
  <c r="F646" i="59"/>
  <c r="H646" i="59"/>
  <c r="I646" i="59"/>
  <c r="F647" i="59"/>
  <c r="H647" i="59"/>
  <c r="I647" i="59"/>
  <c r="F648" i="59"/>
  <c r="H648" i="59"/>
  <c r="I648" i="59"/>
  <c r="F649" i="59"/>
  <c r="H649" i="59"/>
  <c r="I649" i="59"/>
  <c r="F650" i="59"/>
  <c r="H650" i="59"/>
  <c r="I650" i="59"/>
  <c r="F651" i="59"/>
  <c r="H651" i="59"/>
  <c r="I651" i="59"/>
  <c r="F652" i="59"/>
  <c r="H652" i="59"/>
  <c r="I652" i="59"/>
  <c r="H653" i="59"/>
  <c r="I653" i="59"/>
  <c r="H654" i="59"/>
  <c r="I654" i="59"/>
  <c r="H655" i="59"/>
  <c r="I655" i="59"/>
  <c r="H656" i="59"/>
  <c r="I656" i="59"/>
  <c r="H657" i="59"/>
  <c r="I657" i="59"/>
  <c r="H658" i="59"/>
  <c r="I658" i="59"/>
  <c r="L659" i="59"/>
  <c r="F660" i="59"/>
  <c r="H660" i="59"/>
  <c r="I660" i="59"/>
  <c r="F661" i="59"/>
  <c r="H661" i="59"/>
  <c r="I661" i="59"/>
  <c r="F662" i="59"/>
  <c r="H662" i="59"/>
  <c r="I662" i="59"/>
  <c r="F663" i="59"/>
  <c r="H663" i="59"/>
  <c r="I663" i="59"/>
  <c r="F664" i="59"/>
  <c r="H664" i="59"/>
  <c r="I664" i="59"/>
  <c r="F665" i="59"/>
  <c r="H665" i="59"/>
  <c r="I665" i="59"/>
  <c r="F666" i="59"/>
  <c r="H666" i="59"/>
  <c r="I666" i="59"/>
  <c r="F668" i="59"/>
  <c r="H668" i="59"/>
  <c r="I668" i="59"/>
  <c r="F669" i="59"/>
  <c r="H669" i="59"/>
  <c r="I669" i="59"/>
  <c r="F670" i="59"/>
  <c r="H670" i="59"/>
  <c r="I670" i="59"/>
  <c r="F671" i="59"/>
  <c r="H671" i="59"/>
  <c r="I671" i="59"/>
  <c r="F672" i="59"/>
  <c r="H672" i="59"/>
  <c r="I672" i="59"/>
  <c r="F673" i="59"/>
  <c r="H673" i="59"/>
  <c r="I673" i="59"/>
  <c r="F674" i="59"/>
  <c r="H674" i="59"/>
  <c r="I674" i="59"/>
  <c r="F676" i="59"/>
  <c r="I676" i="59"/>
  <c r="J676" i="59" s="1"/>
  <c r="F677" i="59"/>
  <c r="I677" i="59"/>
  <c r="J677" i="59" s="1"/>
  <c r="H678" i="59"/>
  <c r="L678" i="59"/>
  <c r="I679" i="59"/>
  <c r="J679" i="59" s="1"/>
  <c r="I680" i="59"/>
  <c r="J680" i="59" s="1"/>
  <c r="I681" i="59"/>
  <c r="J681" i="59" s="1"/>
  <c r="I682" i="59"/>
  <c r="J682" i="59" s="1"/>
  <c r="I683" i="59"/>
  <c r="J683" i="59" s="1"/>
  <c r="I684" i="59"/>
  <c r="J684" i="59" s="1"/>
  <c r="I685" i="59"/>
  <c r="J685" i="59" s="1"/>
  <c r="I686" i="59"/>
  <c r="J686" i="59" s="1"/>
  <c r="I687" i="59"/>
  <c r="J687" i="59" s="1"/>
  <c r="H688" i="59"/>
  <c r="I689" i="59"/>
  <c r="J689" i="59" s="1"/>
  <c r="I690" i="59"/>
  <c r="J690" i="59" s="1"/>
  <c r="I691" i="59"/>
  <c r="J691" i="59" s="1"/>
  <c r="I692" i="59"/>
  <c r="J692" i="59" s="1"/>
  <c r="I693" i="59"/>
  <c r="J693" i="59" s="1"/>
  <c r="I694" i="59"/>
  <c r="J694" i="59" s="1"/>
  <c r="I695" i="59"/>
  <c r="J695" i="59" s="1"/>
  <c r="I696" i="59"/>
  <c r="J696" i="59" s="1"/>
  <c r="I697" i="59"/>
  <c r="J697" i="59" s="1"/>
  <c r="H698" i="59"/>
  <c r="J699" i="59"/>
  <c r="J700" i="59"/>
  <c r="F701" i="59"/>
  <c r="J701" i="59"/>
  <c r="J702" i="59"/>
  <c r="F703" i="59"/>
  <c r="J703" i="59"/>
  <c r="J704" i="59"/>
  <c r="J705" i="59"/>
  <c r="J706" i="59"/>
  <c r="J707" i="59"/>
  <c r="J708" i="59"/>
  <c r="J709" i="59"/>
  <c r="J710" i="59"/>
  <c r="J711" i="59"/>
  <c r="J712" i="59"/>
  <c r="J713" i="59"/>
  <c r="J714" i="59"/>
  <c r="H715" i="59"/>
  <c r="H716" i="59"/>
  <c r="I716" i="59" s="1"/>
  <c r="J716" i="59" s="1"/>
  <c r="H717" i="59"/>
  <c r="I717" i="59" s="1"/>
  <c r="J717" i="59" s="1"/>
  <c r="H718" i="59"/>
  <c r="I718" i="59" s="1"/>
  <c r="J718" i="59" s="1"/>
  <c r="H719" i="59"/>
  <c r="I719" i="59" s="1"/>
  <c r="J719" i="59" s="1"/>
  <c r="H720" i="59"/>
  <c r="I720" i="59" s="1"/>
  <c r="J720" i="59" s="1"/>
  <c r="H721" i="59"/>
  <c r="I721" i="59" s="1"/>
  <c r="J721" i="59" s="1"/>
  <c r="H722" i="59"/>
  <c r="I722" i="59" s="1"/>
  <c r="J722" i="59" s="1"/>
  <c r="H723" i="59"/>
  <c r="J723" i="59" s="1"/>
  <c r="H724" i="59"/>
  <c r="J724" i="59" s="1"/>
  <c r="F725" i="59"/>
  <c r="H725" i="59"/>
  <c r="J725" i="59" s="1"/>
  <c r="Q725" i="59"/>
  <c r="H726" i="59"/>
  <c r="J726" i="59" s="1"/>
  <c r="Q726" i="59"/>
  <c r="H727" i="59"/>
  <c r="J727" i="59" s="1"/>
  <c r="Q727" i="59"/>
  <c r="H728" i="59"/>
  <c r="J728" i="59" s="1"/>
  <c r="Q728" i="59"/>
  <c r="H729" i="59"/>
  <c r="J729" i="59" s="1"/>
  <c r="S729" i="59"/>
  <c r="H730" i="59"/>
  <c r="J730" i="59" s="1"/>
  <c r="Q730" i="59"/>
  <c r="H731" i="59"/>
  <c r="J731" i="59" s="1"/>
  <c r="Q731" i="59"/>
  <c r="H732" i="59"/>
  <c r="J732" i="59" s="1"/>
  <c r="Q732" i="59"/>
  <c r="H733" i="59"/>
  <c r="J733" i="59" s="1"/>
  <c r="L733" i="59"/>
  <c r="Q733" i="59"/>
  <c r="R733" i="59" s="1"/>
  <c r="S733" i="59" s="1"/>
  <c r="H735" i="59"/>
  <c r="J736" i="59"/>
  <c r="N736" i="59"/>
  <c r="J737" i="59"/>
  <c r="J738" i="59"/>
  <c r="J739" i="59"/>
  <c r="J740" i="59"/>
  <c r="F741" i="59"/>
  <c r="J741" i="59"/>
  <c r="J742" i="59"/>
  <c r="J743" i="59"/>
  <c r="J744" i="59"/>
  <c r="J745" i="59"/>
  <c r="J746" i="59"/>
  <c r="H747" i="59"/>
  <c r="F748" i="59"/>
  <c r="J748" i="59"/>
  <c r="F749" i="59"/>
  <c r="J749" i="59"/>
  <c r="F750" i="59"/>
  <c r="J750" i="59"/>
  <c r="F751" i="59"/>
  <c r="J751" i="59"/>
  <c r="J752" i="59"/>
  <c r="J753" i="59"/>
  <c r="J754" i="59"/>
  <c r="J755" i="59"/>
  <c r="J756" i="59"/>
  <c r="J757" i="59"/>
  <c r="J758" i="59"/>
  <c r="J759" i="59"/>
  <c r="J760" i="59"/>
  <c r="J761" i="59"/>
  <c r="J762" i="59"/>
  <c r="J763" i="59"/>
  <c r="J764" i="59"/>
  <c r="J765" i="59"/>
  <c r="J766" i="59"/>
  <c r="J767" i="59"/>
  <c r="J768" i="59"/>
  <c r="J769" i="59"/>
  <c r="J770" i="59"/>
  <c r="J771" i="59"/>
  <c r="J772" i="59"/>
  <c r="J773" i="59"/>
  <c r="J774" i="59"/>
  <c r="J775" i="59"/>
  <c r="J776" i="59"/>
  <c r="J777" i="59"/>
  <c r="J778" i="59"/>
  <c r="J779" i="59"/>
  <c r="J780" i="59"/>
  <c r="J781" i="59"/>
  <c r="J782" i="59"/>
  <c r="J783" i="59"/>
  <c r="H784" i="59"/>
  <c r="F785" i="59"/>
  <c r="I785" i="59"/>
  <c r="J785" i="59" s="1"/>
  <c r="F786" i="59"/>
  <c r="I786" i="59"/>
  <c r="J786" i="59" s="1"/>
  <c r="J787" i="59"/>
  <c r="J788" i="59"/>
  <c r="F789" i="59"/>
  <c r="J789" i="59"/>
  <c r="F790" i="59"/>
  <c r="J790" i="59"/>
  <c r="F791" i="59"/>
  <c r="J791" i="59"/>
  <c r="F792" i="59"/>
  <c r="I792" i="59"/>
  <c r="J792" i="59" s="1"/>
  <c r="F793" i="59"/>
  <c r="J793" i="59"/>
  <c r="H794" i="59"/>
  <c r="F795" i="59"/>
  <c r="I795" i="59"/>
  <c r="J795" i="59" s="1"/>
  <c r="F796" i="59"/>
  <c r="I796" i="59"/>
  <c r="J796" i="59" s="1"/>
  <c r="F797" i="59"/>
  <c r="I797" i="59"/>
  <c r="J797" i="59" s="1"/>
  <c r="F798" i="59"/>
  <c r="J798" i="59"/>
  <c r="F799" i="59"/>
  <c r="J799" i="59"/>
  <c r="F800" i="59"/>
  <c r="J800" i="59"/>
  <c r="H801" i="59"/>
  <c r="J802" i="59"/>
  <c r="J803" i="59"/>
  <c r="J804" i="59"/>
  <c r="J805" i="59"/>
  <c r="J806" i="59"/>
  <c r="J807" i="59"/>
  <c r="J808" i="59"/>
  <c r="J809" i="59"/>
  <c r="J810" i="59"/>
  <c r="J811" i="59"/>
  <c r="J812" i="59"/>
  <c r="J813" i="59"/>
  <c r="J814" i="59"/>
  <c r="J815" i="59"/>
  <c r="J816" i="59"/>
  <c r="J817" i="59"/>
  <c r="J818" i="59"/>
  <c r="H819" i="59"/>
  <c r="J820" i="59"/>
  <c r="J821" i="59"/>
  <c r="I822" i="59"/>
  <c r="J822" i="59" s="1"/>
  <c r="I823" i="59"/>
  <c r="J823" i="59" s="1"/>
  <c r="I824" i="59"/>
  <c r="J824" i="59" s="1"/>
  <c r="I825" i="59"/>
  <c r="J825" i="59" s="1"/>
  <c r="I826" i="59"/>
  <c r="J826" i="59" s="1"/>
  <c r="J827" i="59"/>
  <c r="J828" i="59"/>
  <c r="J829" i="59"/>
  <c r="J830" i="59"/>
  <c r="J831" i="59"/>
  <c r="J832" i="59"/>
  <c r="H833" i="59"/>
  <c r="J834" i="59"/>
  <c r="J835" i="59"/>
  <c r="J836" i="59"/>
  <c r="J837" i="59"/>
  <c r="J838" i="59"/>
  <c r="J839" i="59"/>
  <c r="J840" i="59"/>
  <c r="J841" i="59"/>
  <c r="J842" i="59"/>
  <c r="J843" i="59"/>
  <c r="H844" i="59"/>
  <c r="H845" i="59"/>
  <c r="I845" i="59"/>
  <c r="H846" i="59"/>
  <c r="I846" i="59"/>
  <c r="H847" i="59"/>
  <c r="I847" i="59"/>
  <c r="H848" i="59"/>
  <c r="I848" i="59"/>
  <c r="J849" i="59"/>
  <c r="F851" i="59"/>
  <c r="J851" i="59"/>
  <c r="F852" i="59"/>
  <c r="J852" i="59"/>
  <c r="F853" i="59"/>
  <c r="J853" i="59"/>
  <c r="F854" i="59"/>
  <c r="J854" i="59"/>
  <c r="H855" i="59"/>
  <c r="J855" i="59"/>
  <c r="O855" i="59" s="1"/>
  <c r="F856" i="59"/>
  <c r="J856" i="59"/>
  <c r="H857" i="59"/>
  <c r="J857" i="59"/>
  <c r="O857" i="59" s="1"/>
  <c r="J858" i="59"/>
  <c r="J859" i="59"/>
  <c r="J860" i="59"/>
  <c r="J861" i="59"/>
  <c r="J862" i="59"/>
  <c r="J863" i="59"/>
  <c r="J864" i="59"/>
  <c r="J865" i="59"/>
  <c r="J866" i="59"/>
  <c r="J867" i="59"/>
  <c r="J868" i="59"/>
  <c r="J869" i="59"/>
  <c r="J870" i="59"/>
  <c r="J871" i="59"/>
  <c r="J872" i="59"/>
  <c r="J873" i="59"/>
  <c r="J874" i="59"/>
  <c r="J875" i="59"/>
  <c r="J876" i="59"/>
  <c r="J877" i="59"/>
  <c r="J878" i="59"/>
  <c r="J879" i="59"/>
  <c r="H880" i="59"/>
  <c r="F881" i="59"/>
  <c r="J881" i="59"/>
  <c r="F882" i="59"/>
  <c r="J882" i="59"/>
  <c r="F883" i="59"/>
  <c r="J884" i="59"/>
  <c r="F884" i="59"/>
  <c r="J883" i="59"/>
  <c r="J886" i="59"/>
  <c r="F887" i="59"/>
  <c r="D887" i="59" s="1"/>
  <c r="H887" i="59"/>
  <c r="J887" i="59" s="1"/>
  <c r="F888" i="59"/>
  <c r="D888" i="59" s="1"/>
  <c r="H888" i="59"/>
  <c r="J888" i="59" s="1"/>
  <c r="F889" i="59"/>
  <c r="H889" i="59"/>
  <c r="J889" i="59" s="1"/>
  <c r="F890" i="59"/>
  <c r="H890" i="59"/>
  <c r="J890" i="59" s="1"/>
  <c r="F891" i="59"/>
  <c r="H891" i="59"/>
  <c r="J891" i="59" s="1"/>
  <c r="F892" i="59"/>
  <c r="H892" i="59"/>
  <c r="J892" i="59" s="1"/>
  <c r="F893" i="59"/>
  <c r="J893" i="59"/>
  <c r="F894" i="59"/>
  <c r="J894" i="59"/>
  <c r="F895" i="59"/>
  <c r="J895" i="59"/>
  <c r="F896" i="59"/>
  <c r="J896" i="59"/>
  <c r="F897" i="59"/>
  <c r="J897" i="59"/>
  <c r="F898" i="59"/>
  <c r="J898" i="59"/>
  <c r="F899" i="59"/>
  <c r="D899" i="59" s="1"/>
  <c r="J899" i="59"/>
  <c r="F900" i="59"/>
  <c r="D900" i="59" s="1"/>
  <c r="H900" i="59"/>
  <c r="J900" i="59" s="1"/>
  <c r="F901" i="59"/>
  <c r="H901" i="59"/>
  <c r="J901" i="59" s="1"/>
  <c r="F902" i="59"/>
  <c r="H902" i="59"/>
  <c r="J902" i="59" s="1"/>
  <c r="F903" i="59"/>
  <c r="H903" i="59"/>
  <c r="J903" i="59" s="1"/>
  <c r="F904" i="59"/>
  <c r="H904" i="59"/>
  <c r="J904" i="59" s="1"/>
  <c r="J906" i="59"/>
  <c r="J907" i="59"/>
  <c r="J908" i="59"/>
  <c r="J909" i="59"/>
  <c r="J910" i="59"/>
  <c r="J911" i="59"/>
  <c r="F913" i="59"/>
  <c r="J913" i="59"/>
  <c r="J915" i="59"/>
  <c r="J916" i="59"/>
  <c r="J917" i="59"/>
  <c r="J918" i="59"/>
  <c r="J919" i="59"/>
  <c r="J920" i="59"/>
  <c r="J921" i="59"/>
  <c r="J922" i="59"/>
  <c r="F923" i="59"/>
  <c r="J923" i="59"/>
  <c r="F925" i="59"/>
  <c r="J925" i="59"/>
  <c r="J927" i="59"/>
  <c r="J928" i="59" s="1"/>
  <c r="O928" i="59" s="1"/>
  <c r="J929" i="59"/>
  <c r="J930" i="59"/>
  <c r="J931" i="59"/>
  <c r="J932" i="59"/>
  <c r="J933" i="59"/>
  <c r="J934" i="59"/>
  <c r="J935" i="59"/>
  <c r="J936" i="59"/>
  <c r="J937" i="59"/>
  <c r="J938" i="59"/>
  <c r="J939" i="59"/>
  <c r="J940" i="59"/>
  <c r="J941" i="59"/>
  <c r="J942" i="59"/>
  <c r="J943" i="59"/>
  <c r="J944" i="59"/>
  <c r="J945" i="59"/>
  <c r="J946" i="59"/>
  <c r="J947" i="59"/>
  <c r="J948" i="59"/>
  <c r="J949" i="59"/>
  <c r="J950" i="59"/>
  <c r="J951" i="59"/>
  <c r="J952" i="59"/>
  <c r="J953" i="59"/>
  <c r="J954" i="59"/>
  <c r="J955" i="59"/>
  <c r="J956" i="59"/>
  <c r="J957" i="59"/>
  <c r="J958" i="59"/>
  <c r="J959" i="59"/>
  <c r="J960" i="59"/>
  <c r="J961" i="59"/>
  <c r="J962" i="59"/>
  <c r="J963" i="59"/>
  <c r="J964" i="59"/>
  <c r="J965" i="59"/>
  <c r="J966" i="59"/>
  <c r="J967" i="59"/>
  <c r="J968" i="59"/>
  <c r="J969" i="59"/>
  <c r="J970" i="59"/>
  <c r="J971" i="59"/>
  <c r="J972" i="59"/>
  <c r="J973" i="59"/>
  <c r="J974" i="59"/>
  <c r="J975" i="59"/>
  <c r="J976" i="59"/>
  <c r="J977" i="59"/>
  <c r="J978" i="59"/>
  <c r="J979" i="59"/>
  <c r="J980" i="59"/>
  <c r="J981" i="59"/>
  <c r="J982" i="59"/>
  <c r="J983" i="59"/>
  <c r="J984" i="59"/>
  <c r="J985" i="59"/>
  <c r="J986" i="59"/>
  <c r="J987" i="59"/>
  <c r="J988" i="59"/>
  <c r="J989" i="59"/>
  <c r="J990" i="59"/>
  <c r="J991" i="59"/>
  <c r="J992" i="59"/>
  <c r="J993" i="59"/>
  <c r="J994" i="59"/>
  <c r="J995" i="59"/>
  <c r="J996" i="59"/>
  <c r="J997" i="59"/>
  <c r="J998" i="59"/>
  <c r="J999" i="59"/>
  <c r="J1000" i="59"/>
  <c r="J1001" i="59"/>
  <c r="J1002" i="59"/>
  <c r="J1003" i="59"/>
  <c r="J1004" i="59"/>
  <c r="J1005" i="59"/>
  <c r="J1006" i="59"/>
  <c r="J1007" i="59"/>
  <c r="J1008" i="59"/>
  <c r="J1009" i="59"/>
  <c r="J1010" i="59"/>
  <c r="J1011" i="59"/>
  <c r="J1012" i="59"/>
  <c r="J1013" i="59"/>
  <c r="J1014" i="59"/>
  <c r="J1015" i="59"/>
  <c r="J1016" i="59"/>
  <c r="J1017" i="59"/>
  <c r="J1018" i="59"/>
  <c r="J1019" i="59"/>
  <c r="J1020" i="59"/>
  <c r="J1021" i="59"/>
  <c r="J1022" i="59"/>
  <c r="J1023" i="59"/>
  <c r="J1024" i="59"/>
  <c r="J1025" i="59"/>
  <c r="J1026" i="59"/>
  <c r="J1027" i="59"/>
  <c r="J1028" i="59"/>
  <c r="J1029" i="59"/>
  <c r="J1030" i="59"/>
  <c r="J1031" i="59"/>
  <c r="J1032" i="59"/>
  <c r="J1033" i="59"/>
  <c r="J1034" i="59"/>
  <c r="J1035" i="59"/>
  <c r="J1036" i="59"/>
  <c r="J1037" i="59"/>
  <c r="J1038" i="59"/>
  <c r="J1039" i="59"/>
  <c r="J1040" i="59"/>
  <c r="J1041" i="59"/>
  <c r="J1042" i="59"/>
  <c r="J1043" i="59"/>
  <c r="J1044" i="59"/>
  <c r="J1045" i="59"/>
  <c r="J1046" i="59"/>
  <c r="J1047" i="59"/>
  <c r="J1048" i="59"/>
  <c r="J1049" i="59"/>
  <c r="J1050" i="59"/>
  <c r="J1051" i="59"/>
  <c r="J1052" i="59"/>
  <c r="J1053" i="59"/>
  <c r="J1054" i="59"/>
  <c r="J1055" i="59"/>
  <c r="J1056" i="59"/>
  <c r="J1057" i="59"/>
  <c r="J1058" i="59"/>
  <c r="J1059" i="59"/>
  <c r="J1060" i="59"/>
  <c r="J1061" i="59"/>
  <c r="J1062" i="59"/>
  <c r="J1063" i="59"/>
  <c r="J1064" i="59"/>
  <c r="J1065" i="59"/>
  <c r="J1066" i="59"/>
  <c r="K1067" i="59"/>
  <c r="L1067" i="59"/>
  <c r="J1068" i="59"/>
  <c r="J1069" i="59"/>
  <c r="J1070" i="59"/>
  <c r="J1071" i="59"/>
  <c r="J1072" i="59"/>
  <c r="J1073" i="59"/>
  <c r="J1074" i="59"/>
  <c r="J1075" i="59"/>
  <c r="J1076" i="59"/>
  <c r="J1077" i="59"/>
  <c r="J1078" i="59"/>
  <c r="J1079" i="59"/>
  <c r="J1080" i="59"/>
  <c r="J1081" i="59"/>
  <c r="J1082" i="59"/>
  <c r="J1083" i="59"/>
  <c r="J1084" i="59"/>
  <c r="J1085" i="59"/>
  <c r="F1086" i="59"/>
  <c r="J1086" i="59"/>
  <c r="J1087" i="59"/>
  <c r="J1088" i="59"/>
  <c r="J1089" i="59"/>
  <c r="J1090" i="59"/>
  <c r="J1091" i="59"/>
  <c r="J1092" i="59"/>
  <c r="J1093" i="59"/>
  <c r="J1094" i="59"/>
  <c r="J1095" i="59"/>
  <c r="J1096" i="59"/>
  <c r="J1097" i="59"/>
  <c r="H1098" i="59"/>
  <c r="F1099" i="59"/>
  <c r="J1099" i="59"/>
  <c r="F1100" i="59"/>
  <c r="J1100" i="59"/>
  <c r="F1101" i="59"/>
  <c r="J1101" i="59"/>
  <c r="F1102" i="59"/>
  <c r="J1102" i="59"/>
  <c r="F1103" i="59"/>
  <c r="J1103" i="59"/>
  <c r="F1104" i="59"/>
  <c r="J1104" i="59"/>
  <c r="F1105" i="59"/>
  <c r="J1105" i="59"/>
  <c r="F1106" i="59"/>
  <c r="J1106" i="59"/>
  <c r="J1107" i="59"/>
  <c r="H1108" i="59"/>
  <c r="J1109" i="59"/>
  <c r="J1110" i="59"/>
  <c r="J1111" i="59"/>
  <c r="H1112" i="59"/>
  <c r="J1113" i="59"/>
  <c r="J1114" i="59"/>
  <c r="J1115" i="59"/>
  <c r="J1116" i="59"/>
  <c r="J1117" i="59"/>
  <c r="J1118" i="59"/>
  <c r="J1119" i="59"/>
  <c r="J1120" i="59"/>
  <c r="J1121" i="59"/>
  <c r="J1122" i="59"/>
  <c r="J1123" i="59"/>
  <c r="J1124" i="59"/>
  <c r="J1125" i="59"/>
  <c r="J1126" i="59"/>
  <c r="J1127" i="59"/>
  <c r="J1128" i="59"/>
  <c r="J1129" i="59"/>
  <c r="J1130" i="59"/>
  <c r="J1131" i="59"/>
  <c r="J1132" i="59"/>
  <c r="J1133" i="59"/>
  <c r="J1134" i="59"/>
  <c r="J1135" i="59"/>
  <c r="J1136" i="59"/>
  <c r="J1137" i="59"/>
  <c r="J1138" i="59"/>
  <c r="J1139" i="59"/>
  <c r="J1140" i="59"/>
  <c r="J1141" i="59"/>
  <c r="J1142" i="59"/>
  <c r="J1143" i="59"/>
  <c r="J1144" i="59"/>
  <c r="J1145" i="59"/>
  <c r="J1146" i="59"/>
  <c r="J1147" i="59"/>
  <c r="J1148" i="59"/>
  <c r="J1149" i="59"/>
  <c r="J1150" i="59"/>
  <c r="J1151" i="59"/>
  <c r="J1152" i="59"/>
  <c r="J1153" i="59"/>
  <c r="J1154" i="59"/>
  <c r="J1155" i="59"/>
  <c r="J1156" i="59"/>
  <c r="J1157" i="59"/>
  <c r="J1158" i="59"/>
  <c r="J1159" i="59"/>
  <c r="J1160" i="59"/>
  <c r="J1161" i="59"/>
  <c r="J1162" i="59"/>
  <c r="J1163" i="59"/>
  <c r="J1164" i="59"/>
  <c r="J1165" i="59"/>
  <c r="J1166" i="59"/>
  <c r="J1167" i="59"/>
  <c r="J1168" i="59"/>
  <c r="J1169" i="59"/>
  <c r="J1170" i="59"/>
  <c r="J1171" i="59"/>
  <c r="J1172" i="59"/>
  <c r="J1173" i="59"/>
  <c r="J1174" i="59"/>
  <c r="J1175" i="59"/>
  <c r="J1176" i="59"/>
  <c r="J1177" i="59"/>
  <c r="J1178" i="59"/>
  <c r="J1179" i="59"/>
  <c r="J1180" i="59"/>
  <c r="J1181" i="59"/>
  <c r="J1182" i="59"/>
  <c r="J1183" i="59"/>
  <c r="J1184" i="59"/>
  <c r="J1185" i="59"/>
  <c r="J1186" i="59"/>
  <c r="J1187" i="59"/>
  <c r="J1188" i="59"/>
  <c r="H1189" i="59"/>
  <c r="K1189" i="59"/>
  <c r="L1189" i="59"/>
  <c r="F1190" i="59"/>
  <c r="D1190" i="59" s="1"/>
  <c r="J1190" i="59"/>
  <c r="D1191" i="59"/>
  <c r="J1191" i="59"/>
  <c r="D1192" i="59"/>
  <c r="J1192" i="59"/>
  <c r="D1193" i="59"/>
  <c r="J1193" i="59"/>
  <c r="D1194" i="59"/>
  <c r="J1194" i="59"/>
  <c r="D1195" i="59"/>
  <c r="J1195" i="59"/>
  <c r="D1196" i="59"/>
  <c r="J1196" i="59"/>
  <c r="D1197" i="59"/>
  <c r="J1197" i="59"/>
  <c r="D1198" i="59"/>
  <c r="J1198" i="59"/>
  <c r="D1199" i="59"/>
  <c r="J1199" i="59"/>
  <c r="D1200" i="59"/>
  <c r="J1200" i="59"/>
  <c r="D1201" i="59"/>
  <c r="J1201" i="59"/>
  <c r="D1202" i="59"/>
  <c r="J1202" i="59"/>
  <c r="D1203" i="59"/>
  <c r="J1203" i="59"/>
  <c r="D1204" i="59"/>
  <c r="J1204" i="59"/>
  <c r="D1205" i="59"/>
  <c r="J1205" i="59"/>
  <c r="D1206" i="59"/>
  <c r="J1206" i="59"/>
  <c r="D1207" i="59"/>
  <c r="J1207" i="59"/>
  <c r="D1208" i="59"/>
  <c r="J1208" i="59"/>
  <c r="D1209" i="59"/>
  <c r="C1209" i="59" s="1"/>
  <c r="J1209" i="59"/>
  <c r="D1210" i="59"/>
  <c r="J1210" i="59"/>
  <c r="D1211" i="59"/>
  <c r="J1211" i="59"/>
  <c r="D1212" i="59"/>
  <c r="J1212" i="59"/>
  <c r="D1213" i="59"/>
  <c r="J1213" i="59"/>
  <c r="D1214" i="59"/>
  <c r="J1214" i="59"/>
  <c r="D1215" i="59"/>
  <c r="J1215" i="59"/>
  <c r="D1216" i="59"/>
  <c r="J1216" i="59"/>
  <c r="D1217" i="59"/>
  <c r="J1217" i="59"/>
  <c r="D1218" i="59"/>
  <c r="J1218" i="59"/>
  <c r="D1219" i="59"/>
  <c r="J1219" i="59"/>
  <c r="D1220" i="59"/>
  <c r="J1220" i="59"/>
  <c r="D1221" i="59"/>
  <c r="C1221" i="59" s="1"/>
  <c r="J1221" i="59"/>
  <c r="F1222" i="59"/>
  <c r="J1222" i="59"/>
  <c r="F1223" i="59"/>
  <c r="J1223" i="59"/>
  <c r="F1224" i="59"/>
  <c r="J1224" i="59"/>
  <c r="F1225" i="59"/>
  <c r="J1225" i="59"/>
  <c r="F1226" i="59"/>
  <c r="J1226" i="59"/>
  <c r="F1227" i="59"/>
  <c r="J1227" i="59"/>
  <c r="F1228" i="59"/>
  <c r="J1228" i="59"/>
  <c r="F1229" i="59"/>
  <c r="I1229" i="59"/>
  <c r="J1229" i="59" s="1"/>
  <c r="F1230" i="59"/>
  <c r="I1230" i="59"/>
  <c r="J1230" i="59" s="1"/>
  <c r="F1231" i="59"/>
  <c r="I1231" i="59"/>
  <c r="J1231" i="59" s="1"/>
  <c r="F1232" i="59"/>
  <c r="I1232" i="59"/>
  <c r="J1232" i="59" s="1"/>
  <c r="F1233" i="59"/>
  <c r="I1233" i="59"/>
  <c r="J1233" i="59" s="1"/>
  <c r="F1234" i="59"/>
  <c r="I1234" i="59"/>
  <c r="J1234" i="59" s="1"/>
  <c r="F1235" i="59"/>
  <c r="I1235" i="59"/>
  <c r="J1235" i="59" s="1"/>
  <c r="F1236" i="59"/>
  <c r="I1236" i="59"/>
  <c r="J1236" i="59" s="1"/>
  <c r="F1237" i="59"/>
  <c r="I1237" i="59"/>
  <c r="J1237" i="59" s="1"/>
  <c r="F1238" i="59"/>
  <c r="I1238" i="59"/>
  <c r="J1238" i="59" s="1"/>
  <c r="F1239" i="59"/>
  <c r="I1239" i="59"/>
  <c r="J1239" i="59" s="1"/>
  <c r="F1240" i="59"/>
  <c r="I1240" i="59"/>
  <c r="J1240" i="59" s="1"/>
  <c r="F1241" i="59"/>
  <c r="I1241" i="59"/>
  <c r="J1241" i="59" s="1"/>
  <c r="F1242" i="59"/>
  <c r="I1242" i="59"/>
  <c r="J1242" i="59" s="1"/>
  <c r="F1243" i="59"/>
  <c r="I1243" i="59"/>
  <c r="J1243" i="59" s="1"/>
  <c r="F1244" i="59"/>
  <c r="I1244" i="59"/>
  <c r="J1244" i="59" s="1"/>
  <c r="F1245" i="59"/>
  <c r="I1245" i="59"/>
  <c r="J1245" i="59" s="1"/>
  <c r="F1246" i="59"/>
  <c r="I1246" i="59"/>
  <c r="J1246" i="59" s="1"/>
  <c r="F1247" i="59"/>
  <c r="I1247" i="59"/>
  <c r="J1247" i="59" s="1"/>
  <c r="F1248" i="59"/>
  <c r="J1248" i="59"/>
  <c r="F1249" i="59"/>
  <c r="J1249" i="59"/>
  <c r="F1250" i="59"/>
  <c r="J1250" i="59"/>
  <c r="J1251" i="59"/>
  <c r="F1252" i="59"/>
  <c r="J1252" i="59"/>
  <c r="F1253" i="59"/>
  <c r="J1253" i="59"/>
  <c r="F1254" i="59"/>
  <c r="J1254" i="59"/>
  <c r="F1255" i="59"/>
  <c r="J1255" i="59"/>
  <c r="F1256" i="59"/>
  <c r="J1256" i="59"/>
  <c r="H1257" i="59"/>
  <c r="F1258" i="59"/>
  <c r="I1258" i="59"/>
  <c r="J1258" i="59" s="1"/>
  <c r="F1259" i="59"/>
  <c r="I1259" i="59"/>
  <c r="J1259" i="59" s="1"/>
  <c r="H1260" i="59"/>
  <c r="M1260" i="59"/>
  <c r="F1261" i="59"/>
  <c r="H1261" i="59"/>
  <c r="I1261" i="59"/>
  <c r="F1262" i="59"/>
  <c r="H1262" i="59"/>
  <c r="I1262" i="59"/>
  <c r="F1263" i="59"/>
  <c r="H1263" i="59"/>
  <c r="I1263" i="59"/>
  <c r="F1264" i="59"/>
  <c r="H1264" i="59"/>
  <c r="I1264" i="59"/>
  <c r="H1265" i="59"/>
  <c r="I1265" i="59"/>
  <c r="F1266" i="59"/>
  <c r="H1266" i="59"/>
  <c r="I1266" i="59"/>
  <c r="F1267" i="59"/>
  <c r="H1267" i="59"/>
  <c r="I1267" i="59"/>
  <c r="F1268" i="59"/>
  <c r="H1268" i="59"/>
  <c r="I1268" i="59"/>
  <c r="F1269" i="59"/>
  <c r="H1269" i="59"/>
  <c r="I1269" i="59"/>
  <c r="F1270" i="59"/>
  <c r="H1270" i="59"/>
  <c r="I1270" i="59"/>
  <c r="F1271" i="59"/>
  <c r="H1271" i="59"/>
  <c r="I1271" i="59"/>
  <c r="F1272" i="59"/>
  <c r="H1272" i="59"/>
  <c r="I1272" i="59"/>
  <c r="F1273" i="59"/>
  <c r="H1273" i="59"/>
  <c r="I1273" i="59"/>
  <c r="F1274" i="59"/>
  <c r="H1274" i="59"/>
  <c r="I1274" i="59"/>
  <c r="L1275" i="59"/>
  <c r="F1276" i="59"/>
  <c r="I1276" i="59"/>
  <c r="J1276" i="59" s="1"/>
  <c r="F1277" i="59"/>
  <c r="I1277" i="59"/>
  <c r="J1277" i="59" s="1"/>
  <c r="F1278" i="59"/>
  <c r="I1278" i="59"/>
  <c r="J1278" i="59" s="1"/>
  <c r="F1279" i="59"/>
  <c r="I1279" i="59"/>
  <c r="J1279" i="59" s="1"/>
  <c r="F1280" i="59"/>
  <c r="I1280" i="59"/>
  <c r="J1280" i="59" s="1"/>
  <c r="F1281" i="59"/>
  <c r="I1281" i="59"/>
  <c r="J1281" i="59" s="1"/>
  <c r="I1282" i="59"/>
  <c r="J1282" i="59" s="1"/>
  <c r="I1283" i="59"/>
  <c r="J1283" i="59" s="1"/>
  <c r="I1284" i="59"/>
  <c r="J1284" i="59" s="1"/>
  <c r="I1285" i="59"/>
  <c r="J1285" i="59" s="1"/>
  <c r="I1286" i="59"/>
  <c r="J1286" i="59" s="1"/>
  <c r="I1287" i="59"/>
  <c r="J1287" i="59" s="1"/>
  <c r="I1288" i="59"/>
  <c r="J1288" i="59" s="1"/>
  <c r="I1289" i="59"/>
  <c r="J1289" i="59" s="1"/>
  <c r="F1290" i="59"/>
  <c r="J1290" i="59"/>
  <c r="F1291" i="59"/>
  <c r="J1291" i="59"/>
  <c r="F1292" i="59"/>
  <c r="J1292" i="59"/>
  <c r="H1293" i="59"/>
  <c r="F1294" i="59"/>
  <c r="J1294" i="59"/>
  <c r="F1295" i="59"/>
  <c r="J1295" i="59"/>
  <c r="H1296" i="59"/>
  <c r="J1296" i="59"/>
  <c r="O1296" i="59" s="1"/>
  <c r="L1298" i="59"/>
  <c r="M1298" i="59"/>
  <c r="N1298" i="59"/>
  <c r="F1299" i="59"/>
  <c r="F1300" i="59" s="1"/>
  <c r="F1301" i="59" s="1"/>
  <c r="M1300" i="59"/>
  <c r="N1300" i="59" s="1"/>
  <c r="H1304" i="59"/>
  <c r="I1304" i="59"/>
  <c r="J1304" i="59"/>
  <c r="K1304" i="59"/>
  <c r="L1304" i="59"/>
  <c r="M1304" i="59"/>
  <c r="D2" i="65"/>
  <c r="D3" i="65"/>
  <c r="B4" i="65"/>
  <c r="D4" i="65"/>
  <c r="D5" i="65"/>
  <c r="D6" i="65"/>
  <c r="D7" i="65"/>
  <c r="D8" i="65"/>
  <c r="D9" i="65"/>
  <c r="D10" i="65"/>
  <c r="D11" i="65"/>
  <c r="D12" i="65"/>
  <c r="D13" i="65"/>
  <c r="E13" i="65" s="1"/>
  <c r="D14" i="65"/>
  <c r="E14" i="65" s="1"/>
  <c r="D15" i="65"/>
  <c r="E15" i="65" s="1"/>
  <c r="D16" i="65"/>
  <c r="E16" i="65" s="1"/>
  <c r="D17" i="65"/>
  <c r="E17" i="65" s="1"/>
  <c r="D18" i="65"/>
  <c r="E18" i="65" s="1"/>
  <c r="D19" i="65"/>
  <c r="E19" i="65" s="1"/>
  <c r="B29" i="65"/>
  <c r="B31" i="65"/>
  <c r="B47" i="65"/>
  <c r="B53" i="65"/>
  <c r="D53" i="65"/>
  <c r="E53" i="65"/>
  <c r="B54" i="65"/>
  <c r="D54" i="65"/>
  <c r="E54" i="65"/>
  <c r="B55" i="65"/>
  <c r="D55" i="65"/>
  <c r="E55" i="65"/>
  <c r="B56" i="65"/>
  <c r="D56" i="65"/>
  <c r="E56" i="65"/>
  <c r="B57" i="65"/>
  <c r="D57" i="65"/>
  <c r="E57" i="65"/>
  <c r="B58" i="65"/>
  <c r="D58" i="65"/>
  <c r="E58" i="65"/>
  <c r="B59" i="65"/>
  <c r="D59" i="65"/>
  <c r="E59" i="65"/>
  <c r="D60" i="65"/>
  <c r="E60" i="65"/>
  <c r="D61" i="65"/>
  <c r="E61" i="65"/>
  <c r="D62" i="65"/>
  <c r="E62" i="65"/>
  <c r="B63" i="65"/>
  <c r="D63" i="65"/>
  <c r="E63" i="65"/>
  <c r="B64" i="65"/>
  <c r="D64" i="65"/>
  <c r="E64" i="65"/>
  <c r="B65" i="65"/>
  <c r="D65" i="65"/>
  <c r="E65" i="65"/>
  <c r="D66" i="65"/>
  <c r="E66" i="65"/>
  <c r="B67" i="65"/>
  <c r="D67" i="65"/>
  <c r="E67" i="65"/>
  <c r="D68" i="65"/>
  <c r="E68" i="65"/>
  <c r="D69" i="65"/>
  <c r="E69" i="65"/>
  <c r="D70" i="65"/>
  <c r="E70" i="65"/>
  <c r="D71" i="65"/>
  <c r="E71" i="65"/>
  <c r="D72" i="65"/>
  <c r="E72" i="65"/>
  <c r="D73" i="65"/>
  <c r="E73" i="65"/>
  <c r="B74" i="65"/>
  <c r="D74" i="65"/>
  <c r="E74" i="65"/>
  <c r="D75" i="65"/>
  <c r="E75" i="65"/>
  <c r="D76" i="65"/>
  <c r="E76" i="65"/>
  <c r="B77" i="65"/>
  <c r="D77" i="65"/>
  <c r="E77" i="65"/>
  <c r="B78" i="65"/>
  <c r="D78" i="65"/>
  <c r="E78" i="65"/>
  <c r="B79" i="65"/>
  <c r="D79" i="65"/>
  <c r="E79" i="65"/>
  <c r="B80" i="65"/>
  <c r="D80" i="65"/>
  <c r="E80" i="65"/>
  <c r="B81" i="65"/>
  <c r="D81" i="65"/>
  <c r="E81" i="65"/>
  <c r="B82" i="65"/>
  <c r="D82" i="65"/>
  <c r="E82" i="65"/>
  <c r="B83" i="65"/>
  <c r="D83" i="65"/>
  <c r="E83" i="65"/>
  <c r="B84" i="65"/>
  <c r="D84" i="65"/>
  <c r="E84" i="65"/>
  <c r="B85" i="65"/>
  <c r="D85" i="65"/>
  <c r="E85" i="65"/>
  <c r="B86" i="65"/>
  <c r="D86" i="65"/>
  <c r="E86" i="65"/>
  <c r="B87" i="65"/>
  <c r="D87" i="65"/>
  <c r="E87" i="65"/>
  <c r="B88" i="65"/>
  <c r="D88" i="65"/>
  <c r="E88" i="65"/>
  <c r="B89" i="65"/>
  <c r="D89" i="65"/>
  <c r="E89" i="65"/>
  <c r="B90" i="65"/>
  <c r="D90" i="65"/>
  <c r="E90" i="65"/>
  <c r="B91" i="65"/>
  <c r="D91" i="65"/>
  <c r="E91" i="65"/>
  <c r="B92" i="65"/>
  <c r="D92" i="65"/>
  <c r="E92" i="65"/>
  <c r="B93" i="65"/>
  <c r="D93" i="65"/>
  <c r="E93" i="65"/>
  <c r="B94" i="65"/>
  <c r="D94" i="65"/>
  <c r="E94" i="65"/>
  <c r="B95" i="65"/>
  <c r="D95" i="65"/>
  <c r="E95" i="65"/>
  <c r="B96" i="65"/>
  <c r="D96" i="65"/>
  <c r="E96" i="65"/>
  <c r="B97" i="65"/>
  <c r="D97" i="65"/>
  <c r="E97" i="65"/>
  <c r="B98" i="65"/>
  <c r="D98" i="65"/>
  <c r="E98" i="65"/>
  <c r="B99" i="65"/>
  <c r="E99" i="65"/>
  <c r="B117" i="65"/>
  <c r="B100" i="65"/>
  <c r="E100" i="65"/>
  <c r="B101" i="65"/>
  <c r="E101" i="65"/>
  <c r="B102" i="65"/>
  <c r="D102" i="65"/>
  <c r="E102" i="65"/>
  <c r="B103" i="65"/>
  <c r="D103" i="65"/>
  <c r="E103" i="65"/>
  <c r="B104" i="65"/>
  <c r="D104" i="65"/>
  <c r="E104" i="65"/>
  <c r="B105" i="65"/>
  <c r="D105" i="65"/>
  <c r="E105" i="65"/>
  <c r="D106" i="65"/>
  <c r="E106" i="65"/>
  <c r="B107" i="65"/>
  <c r="D107" i="65"/>
  <c r="E107" i="65"/>
  <c r="B108" i="65"/>
  <c r="E108" i="65"/>
  <c r="B116" i="65"/>
  <c r="D116" i="65"/>
  <c r="E116" i="65"/>
  <c r="B109" i="65"/>
  <c r="D109" i="65"/>
  <c r="E109" i="65"/>
  <c r="B110" i="65"/>
  <c r="D110" i="65"/>
  <c r="E110" i="65"/>
  <c r="B111" i="65"/>
  <c r="D111" i="65"/>
  <c r="E111" i="65"/>
  <c r="B112" i="65"/>
  <c r="D112" i="65"/>
  <c r="E112" i="65"/>
  <c r="B113" i="65"/>
  <c r="D113" i="65"/>
  <c r="E113" i="65"/>
  <c r="B114" i="65"/>
  <c r="D114" i="65"/>
  <c r="E114" i="65"/>
  <c r="B115" i="65"/>
  <c r="D115" i="65"/>
  <c r="E115" i="65"/>
  <c r="B118" i="65"/>
  <c r="E118" i="65"/>
  <c r="B119" i="65"/>
  <c r="E119" i="65"/>
  <c r="B120" i="65"/>
  <c r="E120" i="65"/>
  <c r="B121" i="65"/>
  <c r="E121" i="65"/>
  <c r="B122" i="65"/>
  <c r="E122" i="65"/>
  <c r="B123" i="65"/>
  <c r="E123" i="65"/>
  <c r="E124" i="65"/>
  <c r="E125" i="65"/>
  <c r="E126" i="65"/>
  <c r="E127" i="65"/>
  <c r="E128" i="65"/>
  <c r="E129" i="65"/>
  <c r="E130" i="65"/>
  <c r="E131" i="65"/>
  <c r="B132" i="65"/>
  <c r="B133" i="65"/>
  <c r="B134" i="65"/>
  <c r="B135" i="65"/>
  <c r="B136" i="65"/>
  <c r="B137" i="65"/>
  <c r="E137" i="65"/>
  <c r="B138" i="65"/>
  <c r="D139" i="65"/>
  <c r="D140" i="65"/>
  <c r="B143" i="65"/>
  <c r="B144" i="65"/>
  <c r="B145" i="65"/>
  <c r="B146" i="65"/>
  <c r="B147" i="65"/>
  <c r="B148" i="65"/>
  <c r="B149" i="65"/>
  <c r="B150" i="65"/>
  <c r="B151" i="65"/>
  <c r="B152" i="65"/>
  <c r="B153" i="65"/>
  <c r="B154" i="65"/>
  <c r="B155" i="65"/>
  <c r="B156" i="65"/>
  <c r="B159" i="65"/>
  <c r="B160" i="65"/>
  <c r="B161" i="65"/>
  <c r="B162" i="65"/>
  <c r="B163" i="65"/>
  <c r="B164" i="65"/>
  <c r="B165" i="65"/>
  <c r="B166" i="65"/>
  <c r="B167" i="65"/>
  <c r="B168" i="65"/>
  <c r="B210" i="65"/>
  <c r="B211" i="65"/>
  <c r="B212" i="65"/>
  <c r="B213" i="65"/>
  <c r="B214" i="65"/>
  <c r="D214" i="65"/>
  <c r="B215" i="65"/>
  <c r="D215" i="65"/>
  <c r="B216" i="65"/>
  <c r="D216" i="65"/>
  <c r="B217" i="65"/>
  <c r="D217" i="65"/>
  <c r="B218" i="65"/>
  <c r="D218" i="65"/>
  <c r="B219" i="65"/>
  <c r="D219" i="65"/>
  <c r="B220" i="65"/>
  <c r="D220" i="65"/>
  <c r="B221" i="65"/>
  <c r="D221" i="65"/>
  <c r="B222" i="65"/>
  <c r="D222" i="65"/>
  <c r="B223" i="65"/>
  <c r="D223" i="65"/>
  <c r="B224" i="65"/>
  <c r="D224" i="65"/>
  <c r="B225" i="65"/>
  <c r="D225" i="65"/>
  <c r="B226" i="65"/>
  <c r="D226" i="65"/>
  <c r="B227" i="65"/>
  <c r="D227" i="65"/>
  <c r="B228" i="65"/>
  <c r="D228" i="65"/>
  <c r="B229" i="65"/>
  <c r="D229" i="65"/>
  <c r="B230" i="65"/>
  <c r="D230" i="65"/>
  <c r="B231" i="65"/>
  <c r="D231" i="65"/>
  <c r="B232" i="65"/>
  <c r="D232" i="65"/>
  <c r="B233" i="65"/>
  <c r="D233" i="65"/>
  <c r="B234" i="65"/>
  <c r="D234" i="65"/>
  <c r="B235" i="65"/>
  <c r="D235" i="65"/>
  <c r="B236" i="65"/>
  <c r="D236" i="65"/>
  <c r="B237" i="65"/>
  <c r="D237" i="65"/>
  <c r="B238" i="65"/>
  <c r="D238" i="65"/>
  <c r="B239" i="65"/>
  <c r="D239" i="65"/>
  <c r="B240" i="65"/>
  <c r="D240" i="65"/>
  <c r="B241" i="65"/>
  <c r="D241" i="65"/>
  <c r="B242" i="65"/>
  <c r="D242" i="65"/>
  <c r="B243" i="65"/>
  <c r="D243" i="65"/>
  <c r="B244" i="65"/>
  <c r="D244" i="65"/>
  <c r="B245" i="65"/>
  <c r="D245" i="65"/>
  <c r="B246" i="65"/>
  <c r="D246" i="65"/>
  <c r="B247" i="65"/>
  <c r="D247" i="65"/>
  <c r="B248" i="65"/>
  <c r="D248" i="65"/>
  <c r="B249" i="65"/>
  <c r="D249" i="65"/>
  <c r="B250" i="65"/>
  <c r="D250" i="65"/>
  <c r="B251" i="65"/>
  <c r="D251" i="65"/>
  <c r="B252" i="65"/>
  <c r="D252" i="65"/>
  <c r="B253" i="65"/>
  <c r="D253" i="65"/>
  <c r="B254" i="65"/>
  <c r="D254" i="65"/>
  <c r="B255" i="65"/>
  <c r="D255" i="65"/>
  <c r="B256" i="65"/>
  <c r="D256" i="65"/>
  <c r="B257" i="65"/>
  <c r="D257" i="65"/>
  <c r="B258" i="65"/>
  <c r="D258" i="65"/>
  <c r="B259" i="65"/>
  <c r="D259" i="65"/>
  <c r="B260" i="65"/>
  <c r="D260" i="65"/>
  <c r="B261" i="65"/>
  <c r="D261" i="65"/>
  <c r="B262" i="65"/>
  <c r="D262" i="65"/>
  <c r="B263" i="65"/>
  <c r="D263" i="65"/>
  <c r="B264" i="65"/>
  <c r="D264" i="65"/>
  <c r="B265" i="65"/>
  <c r="D265" i="65"/>
  <c r="B266" i="65"/>
  <c r="D266" i="65"/>
  <c r="B267" i="65"/>
  <c r="D267" i="65"/>
  <c r="B268" i="65"/>
  <c r="D268" i="65"/>
  <c r="B269" i="65"/>
  <c r="D269" i="65"/>
  <c r="B270" i="65"/>
  <c r="D270" i="65"/>
  <c r="B271" i="65"/>
  <c r="D271" i="65"/>
  <c r="B272" i="65"/>
  <c r="D272" i="65"/>
  <c r="B273" i="65"/>
  <c r="D273" i="65"/>
  <c r="B274" i="65"/>
  <c r="D274" i="65"/>
  <c r="B275" i="65"/>
  <c r="D275" i="65"/>
  <c r="B276" i="65"/>
  <c r="D276" i="65"/>
  <c r="B277" i="65"/>
  <c r="D277" i="65"/>
  <c r="B278" i="65"/>
  <c r="D278" i="65"/>
  <c r="B279" i="65"/>
  <c r="D279" i="65"/>
  <c r="B302" i="65"/>
  <c r="B303" i="65"/>
  <c r="B304" i="65"/>
  <c r="B305" i="65"/>
  <c r="B306" i="65"/>
  <c r="B307" i="65"/>
  <c r="B308" i="65"/>
  <c r="B309" i="65"/>
  <c r="B310" i="65"/>
  <c r="B311" i="65"/>
  <c r="B312" i="65"/>
  <c r="B313" i="65"/>
  <c r="B314" i="65"/>
  <c r="B315" i="65"/>
  <c r="B316" i="65"/>
  <c r="B317" i="65"/>
  <c r="B318" i="65"/>
  <c r="B319" i="65"/>
  <c r="B320" i="65"/>
  <c r="B336" i="65"/>
  <c r="B337" i="65"/>
  <c r="B338" i="65"/>
  <c r="B339" i="65"/>
  <c r="B340" i="65"/>
  <c r="B341" i="65"/>
  <c r="B342" i="65"/>
  <c r="B343" i="65"/>
  <c r="B344" i="65"/>
  <c r="B345" i="65"/>
  <c r="B346" i="65"/>
  <c r="B347" i="65"/>
  <c r="D359" i="65"/>
  <c r="E359" i="65"/>
  <c r="D360" i="65"/>
  <c r="E360" i="65"/>
  <c r="D361" i="65"/>
  <c r="E361" i="65"/>
  <c r="D362" i="65"/>
  <c r="E362" i="65"/>
  <c r="B364" i="65"/>
  <c r="E364" i="65"/>
  <c r="B365" i="65"/>
  <c r="E365" i="65"/>
  <c r="B366" i="65"/>
  <c r="E366" i="65"/>
  <c r="B367" i="65"/>
  <c r="E367" i="65"/>
  <c r="B368" i="65"/>
  <c r="E368" i="65"/>
  <c r="B369" i="65"/>
  <c r="E369" i="65"/>
  <c r="B370" i="65"/>
  <c r="B371" i="65"/>
  <c r="B372" i="65"/>
  <c r="B373" i="65"/>
  <c r="B374" i="65"/>
  <c r="B375" i="65"/>
  <c r="B376" i="65"/>
  <c r="B377" i="65"/>
  <c r="B378" i="65"/>
  <c r="E378" i="65"/>
  <c r="B379" i="65"/>
  <c r="E379" i="65"/>
  <c r="B380" i="65"/>
  <c r="E380" i="65"/>
  <c r="E381" i="65"/>
  <c r="E382" i="65"/>
  <c r="E383" i="65"/>
  <c r="E384" i="65"/>
  <c r="E385" i="65"/>
  <c r="E386" i="65"/>
  <c r="E387" i="65"/>
  <c r="E388" i="65"/>
  <c r="E389" i="65"/>
  <c r="E390" i="65"/>
  <c r="D391" i="65"/>
  <c r="E391" i="65"/>
  <c r="D392" i="65"/>
  <c r="E392" i="65"/>
  <c r="D393" i="65"/>
  <c r="E393" i="65"/>
  <c r="D394" i="65"/>
  <c r="E394" i="65"/>
  <c r="D395" i="65"/>
  <c r="E395" i="65"/>
  <c r="D396" i="65"/>
  <c r="E396" i="65"/>
  <c r="D397" i="65"/>
  <c r="E397" i="65"/>
  <c r="D398" i="65"/>
  <c r="E398" i="65"/>
  <c r="D399" i="65"/>
  <c r="E399" i="65"/>
  <c r="D400" i="65"/>
  <c r="E400" i="65"/>
  <c r="D401" i="65"/>
  <c r="E401" i="65"/>
  <c r="D402" i="65"/>
  <c r="E402" i="65"/>
  <c r="D403" i="65"/>
  <c r="E403" i="65"/>
  <c r="D404" i="65"/>
  <c r="E404" i="65"/>
  <c r="D405" i="65"/>
  <c r="E405" i="65"/>
  <c r="D406" i="65"/>
  <c r="E406" i="65"/>
  <c r="D407" i="65"/>
  <c r="E407" i="65"/>
  <c r="D408" i="65"/>
  <c r="E408" i="65"/>
  <c r="D409" i="65"/>
  <c r="E409" i="65"/>
  <c r="D410" i="65"/>
  <c r="E410" i="65"/>
  <c r="D411" i="65"/>
  <c r="E411" i="65"/>
  <c r="D412" i="65"/>
  <c r="E412" i="65"/>
  <c r="D413" i="65"/>
  <c r="E413" i="65"/>
  <c r="D414" i="65"/>
  <c r="E414" i="65"/>
  <c r="D415" i="65"/>
  <c r="E415" i="65"/>
  <c r="B416" i="65"/>
  <c r="E416" i="65"/>
  <c r="B417" i="65"/>
  <c r="E417" i="65"/>
  <c r="B418" i="65"/>
  <c r="E418" i="65"/>
  <c r="B419" i="65"/>
  <c r="B420" i="65"/>
  <c r="B421" i="65"/>
  <c r="B422" i="65"/>
  <c r="E422" i="65"/>
  <c r="B423" i="65"/>
  <c r="E423" i="65"/>
  <c r="B424" i="65"/>
  <c r="E424" i="65"/>
  <c r="B425" i="65"/>
  <c r="E425" i="65"/>
  <c r="B426" i="65"/>
  <c r="E426" i="65"/>
  <c r="B427" i="65"/>
  <c r="E427" i="65"/>
  <c r="B428" i="65"/>
  <c r="E428" i="65"/>
  <c r="B429" i="65"/>
  <c r="E429" i="65"/>
  <c r="B430" i="65"/>
  <c r="E430" i="65"/>
  <c r="B431" i="65"/>
  <c r="E431" i="65"/>
  <c r="B432" i="65"/>
  <c r="E432" i="65"/>
  <c r="B433" i="65"/>
  <c r="E433" i="65"/>
  <c r="B434" i="65"/>
  <c r="E434" i="65"/>
  <c r="B435" i="65"/>
  <c r="E435" i="65"/>
  <c r="B456" i="65"/>
  <c r="E456" i="65"/>
  <c r="B457" i="65"/>
  <c r="E457" i="65"/>
  <c r="B458" i="65"/>
  <c r="D458" i="65"/>
  <c r="B459" i="65"/>
  <c r="B460" i="65"/>
  <c r="B461" i="65"/>
  <c r="B462" i="65"/>
  <c r="B463" i="65"/>
  <c r="B464" i="65"/>
  <c r="E464" i="65"/>
  <c r="B465" i="65"/>
  <c r="E465" i="65"/>
  <c r="B466" i="65"/>
  <c r="E466" i="65"/>
  <c r="B467" i="65"/>
  <c r="D467" i="65"/>
  <c r="E467" i="65"/>
  <c r="B468" i="65"/>
  <c r="D468" i="65"/>
  <c r="E468" i="65"/>
  <c r="B469" i="65"/>
  <c r="D469" i="65"/>
  <c r="E469" i="65"/>
  <c r="B470" i="65"/>
  <c r="D470" i="65"/>
  <c r="E470" i="65"/>
  <c r="B471" i="65"/>
  <c r="D471" i="65"/>
  <c r="E471" i="65"/>
  <c r="B472" i="65"/>
  <c r="D472" i="65"/>
  <c r="E472" i="65"/>
  <c r="B473" i="65"/>
  <c r="D473" i="65"/>
  <c r="E473" i="65"/>
  <c r="B474" i="65"/>
  <c r="D474" i="65"/>
  <c r="E474" i="65"/>
  <c r="B525" i="65"/>
  <c r="B526" i="65"/>
  <c r="B527" i="65"/>
  <c r="B528" i="65"/>
  <c r="E614" i="65"/>
  <c r="E615" i="65"/>
  <c r="E616" i="65"/>
  <c r="B626" i="65"/>
  <c r="E626" i="65"/>
  <c r="B627" i="65"/>
  <c r="E627" i="65"/>
  <c r="B628" i="65"/>
  <c r="E628" i="65"/>
  <c r="B629" i="65"/>
  <c r="B630" i="65"/>
  <c r="B631" i="65"/>
  <c r="B632" i="65"/>
  <c r="E632" i="65"/>
  <c r="B633" i="65"/>
  <c r="E633" i="65"/>
  <c r="B634" i="65"/>
  <c r="E634" i="65"/>
  <c r="B635" i="65"/>
  <c r="E635" i="65"/>
  <c r="B636" i="65"/>
  <c r="E636" i="65"/>
  <c r="B637" i="65"/>
  <c r="E637" i="65"/>
  <c r="B638" i="65"/>
  <c r="B639" i="65"/>
  <c r="B640" i="65"/>
  <c r="B641" i="65"/>
  <c r="B642" i="65"/>
  <c r="B643" i="65"/>
  <c r="B644" i="65"/>
  <c r="B645" i="65"/>
  <c r="B646" i="65"/>
  <c r="E646" i="65"/>
  <c r="B647" i="65"/>
  <c r="E647" i="65"/>
  <c r="B648" i="65"/>
  <c r="E648" i="65"/>
  <c r="B649" i="65"/>
  <c r="B650" i="65"/>
  <c r="B651" i="65"/>
  <c r="B652" i="65"/>
  <c r="B653" i="65"/>
  <c r="B654" i="65"/>
  <c r="B655" i="65"/>
  <c r="B656" i="65"/>
  <c r="B657" i="65"/>
  <c r="B658" i="65"/>
  <c r="B659" i="65"/>
  <c r="B660" i="65"/>
  <c r="B661" i="65"/>
  <c r="B662" i="65"/>
  <c r="B663" i="65"/>
  <c r="B695" i="65"/>
  <c r="B696" i="65"/>
  <c r="B697" i="65"/>
  <c r="B698" i="65"/>
  <c r="B699" i="65"/>
  <c r="B700" i="65"/>
  <c r="B701" i="65"/>
  <c r="B702" i="65"/>
  <c r="E702" i="65"/>
  <c r="B703" i="65"/>
  <c r="E703" i="65"/>
  <c r="B704" i="65"/>
  <c r="E704" i="65"/>
  <c r="B705" i="65"/>
  <c r="E705" i="65"/>
  <c r="B706" i="65"/>
  <c r="E706" i="65"/>
  <c r="B707" i="65"/>
  <c r="E707" i="65"/>
  <c r="B708" i="65"/>
  <c r="E708" i="65"/>
  <c r="B709" i="65"/>
  <c r="E709" i="65"/>
  <c r="B710" i="65"/>
  <c r="E710" i="65"/>
  <c r="B711" i="65"/>
  <c r="E711" i="65"/>
  <c r="B712" i="65"/>
  <c r="E712" i="65"/>
  <c r="B713" i="65"/>
  <c r="E713" i="65"/>
  <c r="B714" i="65"/>
  <c r="E714" i="65"/>
  <c r="B715" i="65"/>
  <c r="E715" i="65"/>
  <c r="B716" i="65"/>
  <c r="E716" i="65"/>
  <c r="B717" i="65"/>
  <c r="E717" i="65"/>
  <c r="B718" i="65"/>
  <c r="E718" i="65"/>
  <c r="B719" i="65"/>
  <c r="E719" i="65"/>
  <c r="B720" i="65"/>
  <c r="E720" i="65"/>
  <c r="B721" i="65"/>
  <c r="B722" i="65"/>
  <c r="B723" i="65"/>
  <c r="B724" i="65"/>
  <c r="D724" i="65"/>
  <c r="B725" i="65"/>
  <c r="B726" i="65"/>
  <c r="B727" i="65"/>
  <c r="B728" i="65"/>
  <c r="D728" i="65"/>
  <c r="B729" i="65"/>
  <c r="B730" i="65"/>
  <c r="E730" i="65"/>
  <c r="B731" i="65"/>
  <c r="E731" i="65"/>
  <c r="B732" i="65"/>
  <c r="B739" i="65"/>
  <c r="B740" i="65"/>
  <c r="B741" i="65"/>
  <c r="B742" i="65"/>
  <c r="B743" i="65"/>
  <c r="B744" i="65"/>
  <c r="B745" i="65"/>
  <c r="B746" i="65"/>
  <c r="B747" i="65"/>
  <c r="B748" i="65"/>
  <c r="B749" i="65"/>
  <c r="B750" i="65"/>
  <c r="B751" i="65"/>
  <c r="B752" i="65"/>
  <c r="D752" i="65"/>
  <c r="B753" i="65"/>
  <c r="D753" i="65"/>
  <c r="B754" i="65"/>
  <c r="B755" i="65"/>
  <c r="B756" i="65"/>
  <c r="B757" i="65"/>
  <c r="B758" i="65"/>
  <c r="B771" i="65"/>
  <c r="B772" i="65"/>
  <c r="B773" i="65"/>
  <c r="B774" i="65"/>
  <c r="B776" i="65"/>
  <c r="B777" i="65"/>
  <c r="B778" i="65"/>
  <c r="B779" i="65"/>
  <c r="B780" i="65"/>
  <c r="B782" i="65"/>
  <c r="B783" i="65"/>
  <c r="B784" i="65"/>
  <c r="B785" i="65"/>
  <c r="B787" i="65"/>
  <c r="B786" i="65"/>
  <c r="B788" i="65"/>
  <c r="B789" i="65"/>
  <c r="B791" i="65"/>
  <c r="D791" i="65"/>
  <c r="B792" i="65"/>
  <c r="D792" i="65"/>
  <c r="B793" i="65"/>
  <c r="D793" i="65"/>
  <c r="B794" i="65"/>
  <c r="D794" i="65"/>
  <c r="B795" i="65"/>
  <c r="D795" i="65"/>
  <c r="B796" i="65"/>
  <c r="D796" i="65"/>
  <c r="B797" i="65"/>
  <c r="B798" i="65"/>
  <c r="B799" i="65"/>
  <c r="B800" i="65"/>
  <c r="B801" i="65"/>
  <c r="B802" i="65"/>
  <c r="B803" i="65"/>
  <c r="B804" i="65"/>
  <c r="D804" i="65"/>
  <c r="B805" i="65"/>
  <c r="D805" i="65"/>
  <c r="B806" i="65"/>
  <c r="D806" i="65"/>
  <c r="B807" i="65"/>
  <c r="D807" i="65"/>
  <c r="B808" i="65"/>
  <c r="D808" i="65"/>
  <c r="B809" i="65"/>
  <c r="B810" i="65"/>
  <c r="B818" i="65"/>
  <c r="B819" i="65"/>
  <c r="B820" i="65"/>
  <c r="B821" i="65"/>
  <c r="B822" i="65"/>
  <c r="B823" i="65"/>
  <c r="B824" i="65"/>
  <c r="B825" i="65"/>
  <c r="B826" i="65"/>
  <c r="B827" i="65"/>
  <c r="B828" i="65"/>
  <c r="B829" i="65"/>
  <c r="B834" i="65"/>
  <c r="B835" i="65"/>
  <c r="B836" i="65"/>
  <c r="B837" i="65"/>
  <c r="B838" i="65"/>
  <c r="B839" i="65"/>
  <c r="B840" i="65"/>
  <c r="B841" i="65"/>
  <c r="B842" i="65"/>
  <c r="B843" i="65"/>
  <c r="B844" i="65"/>
  <c r="B845" i="65"/>
  <c r="B849" i="65"/>
  <c r="B850" i="65"/>
  <c r="B851" i="65"/>
  <c r="B852" i="65"/>
  <c r="B853" i="65"/>
  <c r="B854" i="65"/>
  <c r="B856" i="65"/>
  <c r="B857" i="65"/>
  <c r="B859" i="65"/>
  <c r="B860" i="65"/>
  <c r="B861" i="65"/>
  <c r="B862" i="65"/>
  <c r="B863" i="65"/>
  <c r="B886" i="65"/>
  <c r="B887" i="65"/>
  <c r="B888" i="65"/>
  <c r="B890" i="65"/>
  <c r="B891" i="65"/>
  <c r="B893" i="65"/>
  <c r="B894" i="65"/>
  <c r="B895" i="65"/>
  <c r="B896" i="65"/>
  <c r="B897" i="65"/>
  <c r="B898" i="65"/>
  <c r="B899" i="65"/>
  <c r="B900" i="65"/>
  <c r="B901" i="65"/>
  <c r="B902" i="65"/>
  <c r="B903" i="65"/>
  <c r="B904" i="65"/>
  <c r="B905" i="65"/>
  <c r="B906" i="65"/>
  <c r="E914" i="65"/>
  <c r="B928" i="65"/>
  <c r="B929" i="65"/>
  <c r="B930" i="65"/>
  <c r="B931" i="65"/>
  <c r="B932" i="65"/>
  <c r="B933" i="65"/>
  <c r="B934" i="65"/>
  <c r="B943" i="65"/>
  <c r="B1039" i="65"/>
  <c r="B1040" i="65"/>
  <c r="B1041" i="65"/>
  <c r="B1042" i="65"/>
  <c r="B1043" i="65"/>
  <c r="B1044" i="65"/>
  <c r="B1045" i="65"/>
  <c r="B1046" i="65"/>
  <c r="B1047" i="65"/>
  <c r="B1048" i="65"/>
  <c r="B1065" i="65"/>
  <c r="E1066" i="65"/>
  <c r="B1190" i="65"/>
  <c r="A1" i="61"/>
  <c r="A2" i="61"/>
  <c r="A3" i="61"/>
  <c r="A5" i="61"/>
  <c r="A6" i="61"/>
  <c r="A8" i="61"/>
  <c r="A9" i="61"/>
  <c r="A10" i="61"/>
  <c r="A11" i="61"/>
  <c r="A12" i="61"/>
  <c r="A13" i="61"/>
  <c r="A14" i="61"/>
  <c r="A15" i="61"/>
  <c r="A16" i="61"/>
  <c r="A18" i="61"/>
  <c r="A19" i="61"/>
  <c r="A20" i="61"/>
  <c r="A21" i="61"/>
  <c r="A22" i="61"/>
  <c r="A24" i="61"/>
  <c r="A25" i="61"/>
  <c r="A26" i="61"/>
  <c r="A27" i="61"/>
  <c r="A28" i="61"/>
  <c r="A29" i="61"/>
  <c r="A30" i="61"/>
  <c r="A31" i="61"/>
  <c r="A32" i="61"/>
  <c r="A33" i="61"/>
  <c r="A34" i="61"/>
  <c r="A35" i="61"/>
  <c r="A36" i="61"/>
  <c r="A37" i="61"/>
  <c r="A38" i="61"/>
  <c r="A39" i="61"/>
  <c r="A40" i="61"/>
  <c r="A41" i="61"/>
  <c r="A42" i="61"/>
  <c r="A43" i="61"/>
  <c r="A45" i="61"/>
  <c r="A46" i="61"/>
  <c r="A51" i="61"/>
  <c r="A52" i="61"/>
  <c r="D52" i="61"/>
  <c r="A53" i="61"/>
  <c r="D53" i="61"/>
  <c r="A62" i="61"/>
  <c r="A63" i="61"/>
  <c r="A64" i="61"/>
  <c r="A65" i="61"/>
  <c r="A67" i="61"/>
  <c r="A68" i="61"/>
  <c r="A86" i="61"/>
  <c r="A87" i="61"/>
  <c r="A88" i="61"/>
  <c r="A89" i="61"/>
  <c r="A90" i="61"/>
  <c r="A113" i="61"/>
  <c r="A114" i="61"/>
  <c r="A115" i="61"/>
  <c r="A116" i="61"/>
  <c r="A117" i="61"/>
  <c r="A118" i="61"/>
  <c r="A120" i="61"/>
  <c r="A121" i="61"/>
  <c r="A123" i="61"/>
  <c r="A124" i="61"/>
  <c r="A125" i="61"/>
  <c r="A126" i="61"/>
  <c r="A129" i="61"/>
  <c r="A130" i="61"/>
  <c r="A131" i="61"/>
  <c r="A132" i="61"/>
  <c r="A133" i="61"/>
  <c r="A134" i="61"/>
  <c r="A135" i="61"/>
  <c r="A137" i="61"/>
  <c r="A138" i="61"/>
  <c r="A139" i="61"/>
  <c r="A140" i="61"/>
  <c r="A141" i="61"/>
  <c r="A142" i="61"/>
  <c r="A143" i="61"/>
  <c r="A144" i="61"/>
  <c r="A146" i="61"/>
  <c r="A147" i="61"/>
  <c r="A148" i="61"/>
  <c r="A149" i="61"/>
  <c r="A150" i="61"/>
  <c r="A151" i="61"/>
  <c r="A152" i="61"/>
  <c r="A153" i="61"/>
  <c r="I5" i="66"/>
  <c r="I6" i="66"/>
  <c r="I7" i="66"/>
  <c r="I8" i="66"/>
  <c r="I9" i="66"/>
  <c r="I10" i="66"/>
  <c r="I11" i="66"/>
  <c r="I12" i="66"/>
  <c r="I13" i="66"/>
  <c r="I14" i="66"/>
  <c r="I15" i="66"/>
  <c r="I16" i="66"/>
  <c r="I17" i="66"/>
  <c r="I18" i="66"/>
  <c r="I20" i="66"/>
  <c r="I21" i="66"/>
  <c r="I22" i="66"/>
  <c r="I23" i="66"/>
  <c r="I24" i="66"/>
  <c r="I26" i="66"/>
  <c r="I27" i="66"/>
  <c r="I28" i="66"/>
  <c r="I29" i="66"/>
  <c r="I30" i="66"/>
  <c r="I31" i="66"/>
  <c r="I32" i="66"/>
  <c r="I33" i="66"/>
  <c r="I34" i="66"/>
  <c r="I35" i="66"/>
  <c r="C3" i="67"/>
  <c r="D3" i="67"/>
  <c r="E3" i="67"/>
  <c r="F3" i="67"/>
  <c r="G3" i="67"/>
  <c r="H3" i="67"/>
  <c r="I3" i="67"/>
  <c r="J3" i="67"/>
  <c r="K3" i="67"/>
  <c r="L3" i="67"/>
  <c r="M3" i="67"/>
  <c r="N3" i="67"/>
  <c r="O3" i="67"/>
  <c r="P3" i="67"/>
  <c r="Q3" i="67"/>
  <c r="R3" i="67"/>
  <c r="S3" i="67"/>
  <c r="T3" i="67"/>
  <c r="U3" i="67"/>
  <c r="V3" i="67"/>
  <c r="W3" i="67"/>
  <c r="X3" i="67"/>
  <c r="Y3" i="67"/>
  <c r="Z3" i="67"/>
  <c r="AA3" i="67"/>
  <c r="AB3" i="67"/>
  <c r="AC3" i="67"/>
  <c r="AD3" i="67"/>
  <c r="AE3" i="67"/>
  <c r="AF3" i="67"/>
  <c r="AG3" i="67"/>
  <c r="AH3" i="67"/>
  <c r="AI3" i="67"/>
  <c r="C4" i="67"/>
  <c r="C5" i="67"/>
  <c r="C6" i="67"/>
  <c r="C7" i="67"/>
  <c r="C8" i="67"/>
  <c r="C9" i="67"/>
  <c r="C10" i="67"/>
  <c r="C11" i="67"/>
  <c r="C12" i="67"/>
  <c r="C13" i="67"/>
  <c r="C14" i="67"/>
  <c r="C15" i="67"/>
  <c r="C16" i="67"/>
  <c r="C17" i="67"/>
  <c r="C18" i="67"/>
  <c r="C19" i="67"/>
  <c r="C20" i="67"/>
  <c r="C21" i="67"/>
  <c r="C22" i="67"/>
  <c r="C23" i="67"/>
  <c r="C24" i="67"/>
  <c r="C25" i="67"/>
  <c r="C26" i="67"/>
  <c r="C27" i="67"/>
  <c r="C28" i="67"/>
  <c r="C29" i="67"/>
  <c r="C30" i="67"/>
  <c r="C31" i="67"/>
  <c r="C32" i="67"/>
  <c r="C33" i="67"/>
  <c r="C34" i="67"/>
  <c r="C35" i="67"/>
  <c r="C36" i="67"/>
  <c r="C37" i="67"/>
  <c r="C38" i="67"/>
  <c r="C39" i="67"/>
  <c r="C40" i="67"/>
  <c r="C41" i="67"/>
  <c r="C42" i="67"/>
  <c r="C43" i="67"/>
  <c r="C44" i="67"/>
  <c r="C45" i="67"/>
  <c r="C46" i="67"/>
  <c r="C47" i="67"/>
  <c r="C48" i="67"/>
  <c r="C49" i="67"/>
  <c r="C50" i="67"/>
  <c r="C51" i="67"/>
  <c r="C52" i="67"/>
  <c r="C53" i="67"/>
  <c r="C54" i="67"/>
  <c r="C55" i="67"/>
  <c r="C56" i="67"/>
  <c r="C57" i="67"/>
  <c r="C58" i="67"/>
  <c r="C59" i="67"/>
  <c r="C60" i="67"/>
  <c r="C61" i="67"/>
  <c r="C62" i="67"/>
  <c r="C63" i="67"/>
  <c r="C64" i="67"/>
  <c r="C65" i="67"/>
  <c r="C66" i="67"/>
  <c r="C67" i="67"/>
  <c r="C68" i="67"/>
  <c r="C69" i="67"/>
  <c r="C70" i="67"/>
  <c r="C71" i="67"/>
  <c r="C72" i="67"/>
  <c r="C73" i="67"/>
  <c r="C74" i="67"/>
  <c r="C75" i="67"/>
  <c r="C76" i="67"/>
  <c r="C77" i="67"/>
  <c r="C78" i="67"/>
  <c r="C79" i="67"/>
  <c r="C80" i="67"/>
  <c r="C81" i="67"/>
  <c r="C82" i="67"/>
  <c r="C83" i="67"/>
  <c r="C84" i="67"/>
  <c r="C85" i="67"/>
  <c r="C86" i="67"/>
  <c r="C87" i="67"/>
  <c r="C88" i="67"/>
  <c r="C89" i="67"/>
  <c r="C90" i="67"/>
  <c r="C91" i="67"/>
  <c r="C92" i="67"/>
  <c r="C93" i="67"/>
  <c r="C94" i="67"/>
  <c r="C95" i="67"/>
  <c r="C96" i="67"/>
  <c r="C97" i="67"/>
  <c r="C98" i="67"/>
  <c r="C99" i="67"/>
  <c r="C100" i="67"/>
  <c r="C101" i="67"/>
  <c r="C102" i="67"/>
  <c r="C103" i="67"/>
  <c r="C104" i="67"/>
  <c r="C105" i="67"/>
  <c r="C106" i="67"/>
  <c r="C107" i="67"/>
  <c r="C108" i="67"/>
  <c r="C109" i="67"/>
  <c r="C110" i="67"/>
  <c r="C111" i="67"/>
  <c r="C112" i="67"/>
  <c r="C113" i="67"/>
  <c r="C114" i="67"/>
  <c r="C115" i="67"/>
  <c r="C116" i="67"/>
  <c r="C117" i="67"/>
  <c r="C118" i="67"/>
  <c r="C119" i="67"/>
  <c r="C120" i="67"/>
  <c r="C121" i="67"/>
  <c r="C122" i="67"/>
  <c r="C123" i="67"/>
  <c r="C124" i="67"/>
  <c r="C125" i="67"/>
  <c r="C126" i="67"/>
  <c r="C127" i="67"/>
  <c r="C128" i="67"/>
  <c r="C129" i="67"/>
  <c r="C130" i="67"/>
  <c r="C131" i="67"/>
  <c r="C132" i="67"/>
  <c r="C133" i="67"/>
  <c r="C134" i="67"/>
  <c r="C135" i="67"/>
  <c r="C136" i="67"/>
  <c r="C137" i="67"/>
  <c r="C138" i="67"/>
  <c r="C139" i="67"/>
  <c r="C140" i="67"/>
  <c r="C141" i="67"/>
  <c r="C142" i="67"/>
  <c r="C143" i="67"/>
  <c r="C144" i="67"/>
  <c r="C145" i="67"/>
  <c r="C146" i="67"/>
  <c r="C147" i="67"/>
  <c r="C148" i="67"/>
  <c r="C149" i="67"/>
  <c r="C150" i="67"/>
  <c r="C151" i="67"/>
  <c r="C152" i="67"/>
  <c r="C153" i="67"/>
  <c r="C154" i="67"/>
  <c r="C155" i="67"/>
  <c r="C156" i="67"/>
  <c r="C157" i="67"/>
  <c r="C158" i="67"/>
  <c r="C159" i="67"/>
  <c r="C160" i="67"/>
  <c r="C161" i="67"/>
  <c r="C162" i="67"/>
  <c r="C163" i="67"/>
  <c r="C164" i="67"/>
  <c r="C165" i="67"/>
  <c r="C166" i="67"/>
  <c r="C167" i="67"/>
  <c r="C168" i="67"/>
  <c r="C169" i="67"/>
  <c r="C170" i="67"/>
  <c r="C171" i="67"/>
  <c r="C172" i="67"/>
  <c r="C173" i="67"/>
  <c r="C174" i="67"/>
  <c r="C175" i="67"/>
  <c r="C176" i="67"/>
  <c r="C177" i="67"/>
  <c r="C178" i="67"/>
  <c r="C179" i="67"/>
  <c r="C180" i="67"/>
  <c r="C181" i="67"/>
  <c r="C182" i="67"/>
  <c r="C183" i="67"/>
  <c r="C184" i="67"/>
  <c r="C185" i="67"/>
  <c r="C186" i="67"/>
  <c r="C187" i="67"/>
  <c r="C188" i="67"/>
  <c r="C189" i="67"/>
  <c r="C190" i="67"/>
  <c r="C191" i="67"/>
  <c r="C192" i="67"/>
  <c r="C193" i="67"/>
  <c r="C194" i="67"/>
  <c r="C195" i="67"/>
  <c r="C196" i="67"/>
  <c r="C197" i="67"/>
  <c r="C198" i="67"/>
  <c r="C199" i="67"/>
  <c r="C200" i="67"/>
  <c r="C201" i="67"/>
  <c r="C202" i="67"/>
  <c r="C203" i="67"/>
  <c r="C204" i="67"/>
  <c r="C205" i="67"/>
  <c r="C206" i="67"/>
  <c r="C207" i="67"/>
  <c r="C208" i="67"/>
  <c r="C209" i="67"/>
  <c r="C210" i="67"/>
  <c r="C211" i="67"/>
  <c r="C212" i="67"/>
  <c r="C213" i="67"/>
  <c r="C214" i="67"/>
  <c r="C215" i="67"/>
  <c r="C216" i="67"/>
  <c r="C217" i="67"/>
  <c r="C218" i="67"/>
  <c r="C219" i="67"/>
  <c r="C220" i="67"/>
  <c r="C221" i="67"/>
  <c r="C222" i="67"/>
  <c r="C223" i="67"/>
  <c r="C224" i="67"/>
  <c r="C225" i="67"/>
  <c r="C226" i="67"/>
  <c r="C227" i="67"/>
  <c r="C228" i="67"/>
  <c r="C229" i="67"/>
  <c r="C230" i="67"/>
  <c r="C231" i="67"/>
  <c r="C232" i="67"/>
  <c r="C233" i="67"/>
  <c r="C234" i="67"/>
  <c r="C235" i="67"/>
  <c r="C236" i="67"/>
  <c r="C237" i="67"/>
  <c r="C238" i="67"/>
  <c r="C239" i="67"/>
  <c r="C240" i="67"/>
  <c r="C241" i="67"/>
  <c r="C242" i="67"/>
  <c r="C243" i="67"/>
  <c r="C244" i="67"/>
  <c r="C245" i="67"/>
  <c r="C246" i="67"/>
  <c r="C247" i="67"/>
  <c r="C248" i="67"/>
  <c r="C249" i="67"/>
  <c r="C250" i="67"/>
  <c r="C251" i="67"/>
  <c r="C252" i="67"/>
  <c r="C253" i="67"/>
  <c r="C254" i="67"/>
  <c r="C255" i="67"/>
  <c r="C256" i="67"/>
  <c r="C257" i="67"/>
  <c r="C258" i="67"/>
  <c r="C259" i="67"/>
  <c r="C260" i="67"/>
  <c r="C261" i="67"/>
  <c r="C262" i="67"/>
  <c r="C263" i="67"/>
  <c r="C264" i="67"/>
  <c r="C265" i="67"/>
  <c r="C266" i="67"/>
  <c r="C267" i="67"/>
  <c r="C268" i="67"/>
  <c r="C269" i="67"/>
  <c r="C270" i="67"/>
  <c r="C271" i="67"/>
  <c r="C272" i="67"/>
  <c r="C273" i="67"/>
  <c r="C274" i="67"/>
  <c r="C275" i="67"/>
  <c r="C276" i="67"/>
  <c r="C277" i="67"/>
  <c r="C278" i="67"/>
  <c r="C279" i="67"/>
  <c r="C280" i="67"/>
  <c r="C281" i="67"/>
  <c r="C282" i="67"/>
  <c r="C283" i="67"/>
  <c r="C284" i="67"/>
  <c r="C285" i="67"/>
  <c r="C286" i="67"/>
  <c r="C287" i="67"/>
  <c r="C288" i="67"/>
  <c r="C289" i="67"/>
  <c r="C290" i="67"/>
  <c r="C291" i="67"/>
  <c r="C292" i="67"/>
  <c r="C293" i="67"/>
  <c r="C294" i="67"/>
  <c r="C295" i="67"/>
  <c r="C296" i="67"/>
  <c r="C297" i="67"/>
  <c r="C298" i="67"/>
  <c r="C299" i="67"/>
  <c r="C300" i="67"/>
  <c r="C301" i="67"/>
  <c r="C302" i="67"/>
  <c r="C303" i="67"/>
  <c r="C304" i="67"/>
  <c r="C305" i="67"/>
  <c r="C306" i="67"/>
  <c r="C307" i="67"/>
  <c r="C308" i="67"/>
  <c r="C309" i="67"/>
  <c r="C310" i="67"/>
  <c r="C311" i="67"/>
  <c r="C312" i="67"/>
  <c r="C313" i="67"/>
  <c r="C314" i="67"/>
  <c r="C315" i="67"/>
  <c r="C316" i="67"/>
  <c r="C317" i="67"/>
  <c r="C318" i="67"/>
  <c r="C319" i="67"/>
  <c r="C320" i="67"/>
  <c r="C321" i="67"/>
  <c r="C322" i="67"/>
  <c r="C323" i="67"/>
  <c r="C324" i="67"/>
  <c r="C325" i="67"/>
  <c r="C326" i="67"/>
  <c r="C327" i="67"/>
  <c r="C328" i="67"/>
  <c r="C329" i="67"/>
  <c r="C330" i="67"/>
  <c r="C331" i="67"/>
  <c r="C332" i="67"/>
  <c r="C333" i="67"/>
  <c r="C334" i="67"/>
  <c r="C335" i="67"/>
  <c r="C336" i="67"/>
  <c r="C337" i="67"/>
  <c r="C338" i="67"/>
  <c r="C339" i="67"/>
  <c r="C340" i="67"/>
  <c r="C341" i="67"/>
  <c r="C342" i="67"/>
  <c r="C343" i="67"/>
  <c r="C344" i="67"/>
  <c r="C345" i="67"/>
  <c r="C346" i="67"/>
  <c r="C347" i="67"/>
  <c r="C348" i="67"/>
  <c r="C349" i="67"/>
  <c r="C350" i="67"/>
  <c r="C351" i="67"/>
  <c r="C352" i="67"/>
  <c r="C353" i="67"/>
  <c r="C354" i="67"/>
  <c r="C355" i="67"/>
  <c r="C356" i="67"/>
  <c r="C357" i="67"/>
  <c r="C358" i="67"/>
  <c r="C359" i="67"/>
  <c r="C360" i="67"/>
  <c r="C361" i="67"/>
  <c r="C362" i="67"/>
  <c r="C363" i="67"/>
  <c r="C364" i="67"/>
  <c r="C365" i="67"/>
  <c r="B2" i="62"/>
  <c r="D2" i="62"/>
  <c r="B3" i="62"/>
  <c r="D3" i="62"/>
  <c r="E3" i="62"/>
  <c r="B4" i="62"/>
  <c r="D4" i="62"/>
  <c r="B5" i="62"/>
  <c r="D5" i="62"/>
  <c r="B6" i="62"/>
  <c r="D6" i="62"/>
  <c r="B7" i="62"/>
  <c r="D7" i="62"/>
  <c r="B8" i="62"/>
  <c r="D8" i="62"/>
  <c r="B9" i="62"/>
  <c r="D9" i="62"/>
  <c r="B10" i="62"/>
  <c r="D10" i="62"/>
  <c r="B11" i="62"/>
  <c r="D11" i="62"/>
  <c r="B12" i="62"/>
  <c r="D12" i="62"/>
  <c r="D14" i="62"/>
  <c r="D16" i="62"/>
  <c r="D17" i="62"/>
  <c r="D18" i="62"/>
  <c r="D19" i="62"/>
  <c r="D20" i="62"/>
  <c r="D21" i="62"/>
  <c r="D22" i="62"/>
  <c r="D23" i="62"/>
  <c r="E23" i="62"/>
  <c r="D24" i="62"/>
  <c r="E24" i="62"/>
  <c r="D25" i="62"/>
  <c r="E25" i="62"/>
  <c r="D26" i="62"/>
  <c r="E26" i="62"/>
  <c r="D27" i="62"/>
  <c r="D28" i="62"/>
  <c r="D29" i="62"/>
  <c r="D30" i="62"/>
  <c r="D31" i="62"/>
  <c r="D32" i="62"/>
  <c r="E32" i="62"/>
  <c r="D33" i="62"/>
  <c r="E33" i="62"/>
  <c r="D34" i="62"/>
  <c r="E34" i="62"/>
  <c r="D35" i="62"/>
  <c r="E35" i="62"/>
  <c r="D36" i="62"/>
  <c r="E36" i="62"/>
  <c r="D37" i="62"/>
  <c r="E37" i="62"/>
  <c r="D38" i="62"/>
  <c r="E38" i="62"/>
  <c r="B40" i="62"/>
  <c r="C40" i="62"/>
  <c r="D40" i="62"/>
  <c r="E40" i="62"/>
  <c r="C41" i="62"/>
  <c r="C1198" i="59" l="1"/>
  <c r="J845" i="59"/>
  <c r="J304" i="59"/>
  <c r="O304" i="59" s="1"/>
  <c r="J228" i="59"/>
  <c r="O228" i="59" s="1"/>
  <c r="J1274" i="59"/>
  <c r="J1272" i="59"/>
  <c r="J1270" i="59"/>
  <c r="J1268" i="59"/>
  <c r="J1266" i="59"/>
  <c r="J1263" i="59"/>
  <c r="J1261" i="59"/>
  <c r="J784" i="59"/>
  <c r="O784" i="59" s="1"/>
  <c r="J632" i="59"/>
  <c r="J630" i="59"/>
  <c r="J628" i="59"/>
  <c r="J626" i="59"/>
  <c r="J550" i="59"/>
  <c r="J542" i="59"/>
  <c r="J538" i="59"/>
  <c r="J536" i="59"/>
  <c r="J412" i="59"/>
  <c r="O412" i="59" s="1"/>
  <c r="J255" i="59"/>
  <c r="O255" i="59" s="1"/>
  <c r="J252" i="59"/>
  <c r="O252" i="59" s="1"/>
  <c r="J497" i="59"/>
  <c r="O497" i="59" s="1"/>
  <c r="J847" i="59"/>
  <c r="J846" i="59"/>
  <c r="J674" i="59"/>
  <c r="J672" i="59"/>
  <c r="J670" i="59"/>
  <c r="J668" i="59"/>
  <c r="J631" i="59"/>
  <c r="J629" i="59"/>
  <c r="J627" i="59"/>
  <c r="J623" i="59"/>
  <c r="J621" i="59"/>
  <c r="J619" i="59"/>
  <c r="J558" i="59"/>
  <c r="J554" i="59"/>
  <c r="J552" i="59"/>
  <c r="J551" i="59"/>
  <c r="J457" i="59"/>
  <c r="J455" i="59"/>
  <c r="J453" i="59"/>
  <c r="J451" i="59"/>
  <c r="J387" i="59"/>
  <c r="O387" i="59" s="1"/>
  <c r="J819" i="59"/>
  <c r="O819" i="59" s="1"/>
  <c r="J500" i="59"/>
  <c r="J456" i="59"/>
  <c r="J454" i="59"/>
  <c r="J452" i="59"/>
  <c r="J450" i="59"/>
  <c r="J476" i="59" s="1"/>
  <c r="O476" i="59" s="1"/>
  <c r="J359" i="59"/>
  <c r="O359" i="59" s="1"/>
  <c r="J326" i="59"/>
  <c r="O326" i="59" s="1"/>
  <c r="H202" i="59"/>
  <c r="J844" i="59"/>
  <c r="O844" i="59" s="1"/>
  <c r="H734" i="59"/>
  <c r="R732" i="59"/>
  <c r="S732" i="59" s="1"/>
  <c r="R730" i="59"/>
  <c r="S730" i="59" s="1"/>
  <c r="H659" i="59"/>
  <c r="J642" i="59"/>
  <c r="J640" i="59"/>
  <c r="J638" i="59"/>
  <c r="J635" i="59"/>
  <c r="J633" i="59"/>
  <c r="B633" i="59"/>
  <c r="J624" i="59"/>
  <c r="B624" i="59"/>
  <c r="J620" i="59"/>
  <c r="J560" i="59"/>
  <c r="J559" i="59"/>
  <c r="H561" i="59"/>
  <c r="J546" i="59"/>
  <c r="J544" i="59"/>
  <c r="J543" i="59"/>
  <c r="O331" i="59"/>
  <c r="J135" i="59"/>
  <c r="O135" i="59" s="1"/>
  <c r="H1275" i="59"/>
  <c r="J698" i="59"/>
  <c r="O698" i="59" s="1"/>
  <c r="J1264" i="59"/>
  <c r="J1262" i="59"/>
  <c r="O736" i="59"/>
  <c r="R731" i="59"/>
  <c r="S731" i="59" s="1"/>
  <c r="R727" i="59"/>
  <c r="S727" i="59" s="1"/>
  <c r="R725" i="59"/>
  <c r="S725" i="59" s="1"/>
  <c r="J673" i="59"/>
  <c r="J671" i="59"/>
  <c r="J669" i="59"/>
  <c r="J666" i="59"/>
  <c r="J664" i="59"/>
  <c r="J662" i="59"/>
  <c r="J660" i="59"/>
  <c r="J651" i="59"/>
  <c r="J649" i="59"/>
  <c r="J647" i="59"/>
  <c r="J645" i="59"/>
  <c r="J634" i="59"/>
  <c r="J625" i="59"/>
  <c r="J622" i="59"/>
  <c r="B622" i="59"/>
  <c r="J556" i="59"/>
  <c r="J555" i="59"/>
  <c r="J548" i="59"/>
  <c r="J547" i="59"/>
  <c r="J540" i="59"/>
  <c r="J539" i="59"/>
  <c r="H476" i="59"/>
  <c r="J369" i="59"/>
  <c r="O369" i="59" s="1"/>
  <c r="J107" i="59"/>
  <c r="O107" i="59" s="1"/>
  <c r="J31" i="59"/>
  <c r="O31" i="59" s="1"/>
  <c r="J1189" i="59"/>
  <c r="O1189" i="59" s="1"/>
  <c r="H643" i="59"/>
  <c r="J447" i="59"/>
  <c r="O447" i="59" s="1"/>
  <c r="J310" i="59"/>
  <c r="O310" i="59" s="1"/>
  <c r="J122" i="59"/>
  <c r="O122" i="59" s="1"/>
  <c r="J99" i="59"/>
  <c r="O99" i="59" s="1"/>
  <c r="K1298" i="59"/>
  <c r="J848" i="59"/>
  <c r="J794" i="59"/>
  <c r="O794" i="59" s="1"/>
  <c r="H667" i="59"/>
  <c r="J636" i="59"/>
  <c r="O636" i="59" s="1"/>
  <c r="J1273" i="59"/>
  <c r="J1271" i="59"/>
  <c r="J1269" i="59"/>
  <c r="J1267" i="59"/>
  <c r="J1265" i="59"/>
  <c r="J1260" i="59"/>
  <c r="O1260" i="59" s="1"/>
  <c r="J1112" i="59"/>
  <c r="O1112" i="59" s="1"/>
  <c r="J1108" i="59"/>
  <c r="O1108" i="59" s="1"/>
  <c r="J1098" i="59"/>
  <c r="O1098" i="59" s="1"/>
  <c r="J1067" i="59"/>
  <c r="O1067" i="59" s="1"/>
  <c r="J880" i="59"/>
  <c r="O880" i="59" s="1"/>
  <c r="J850" i="59"/>
  <c r="O850" i="59" s="1"/>
  <c r="H850" i="59"/>
  <c r="J801" i="59"/>
  <c r="O801" i="59" s="1"/>
  <c r="J747" i="59"/>
  <c r="O747" i="59" s="1"/>
  <c r="R728" i="59"/>
  <c r="S728" i="59" s="1"/>
  <c r="R726" i="59"/>
  <c r="S726" i="59" s="1"/>
  <c r="J715" i="59"/>
  <c r="O715" i="59" s="1"/>
  <c r="H636" i="59"/>
  <c r="J616" i="59"/>
  <c r="O616" i="59" s="1"/>
  <c r="J606" i="59"/>
  <c r="O606" i="59" s="1"/>
  <c r="J233" i="59"/>
  <c r="O233" i="59" s="1"/>
  <c r="J225" i="59"/>
  <c r="O225" i="59" s="1"/>
  <c r="J128" i="59"/>
  <c r="O128" i="59" s="1"/>
  <c r="O84" i="59"/>
  <c r="J24" i="59"/>
  <c r="O24" i="59" s="1"/>
  <c r="H675" i="59"/>
  <c r="J665" i="59"/>
  <c r="J663" i="59"/>
  <c r="J661" i="59"/>
  <c r="J667" i="59" s="1"/>
  <c r="O667" i="59" s="1"/>
  <c r="J652" i="59"/>
  <c r="J650" i="59"/>
  <c r="J648" i="59"/>
  <c r="J646" i="59"/>
  <c r="J659" i="59" s="1"/>
  <c r="O659" i="59" s="1"/>
  <c r="J644" i="59"/>
  <c r="J641" i="59"/>
  <c r="J639" i="59"/>
  <c r="J637" i="59"/>
  <c r="J643" i="59" s="1"/>
  <c r="O643" i="59" s="1"/>
  <c r="B626" i="59"/>
  <c r="B623" i="59"/>
  <c r="J557" i="59"/>
  <c r="J553" i="59"/>
  <c r="J549" i="59"/>
  <c r="J545" i="59"/>
  <c r="J541" i="59"/>
  <c r="J537" i="59"/>
  <c r="J561" i="59" s="1"/>
  <c r="O561" i="59" s="1"/>
  <c r="J419" i="59"/>
  <c r="O419" i="59" s="1"/>
  <c r="N1301" i="59"/>
  <c r="J1293" i="59"/>
  <c r="O1293" i="59" s="1"/>
  <c r="J1275" i="59"/>
  <c r="O1275" i="59" s="1"/>
  <c r="J926" i="59"/>
  <c r="O926" i="59" s="1"/>
  <c r="J833" i="59"/>
  <c r="O833" i="59" s="1"/>
  <c r="J734" i="59"/>
  <c r="O734" i="59" s="1"/>
  <c r="J688" i="59"/>
  <c r="O688" i="59" s="1"/>
  <c r="J1257" i="59"/>
  <c r="O1257" i="59" s="1"/>
  <c r="J678" i="59"/>
  <c r="O678" i="59" s="1"/>
  <c r="H926" i="59"/>
  <c r="J576" i="59"/>
  <c r="O576" i="59" s="1"/>
  <c r="J591" i="59"/>
  <c r="O591" i="59" s="1"/>
  <c r="J508" i="59"/>
  <c r="O508" i="59" s="1"/>
  <c r="J202" i="59"/>
  <c r="J675" i="59" l="1"/>
  <c r="O675" i="59" s="1"/>
  <c r="O202" i="59"/>
  <c r="O1298" i="59" s="1"/>
  <c r="J1298" i="59"/>
  <c r="J1299" i="59" l="1"/>
  <c r="N1299" i="59"/>
</calcChain>
</file>

<file path=xl/comments1.xml><?xml version="1.0" encoding="utf-8"?>
<comments xmlns="http://schemas.openxmlformats.org/spreadsheetml/2006/main">
  <authors>
    <author>作者</author>
  </authors>
  <commentList>
    <comment ref="F27" authorId="0">
      <text>
        <r>
          <rPr>
            <b/>
            <sz val="9"/>
            <color indexed="81"/>
            <rFont val="Tahoma"/>
            <family val="2"/>
          </rPr>
          <t>0.25~0.375 inch</t>
        </r>
      </text>
    </comment>
    <comment ref="F28" authorId="0">
      <text>
        <r>
          <rPr>
            <b/>
            <sz val="9"/>
            <color indexed="81"/>
            <rFont val="Tahoma"/>
            <family val="2"/>
          </rPr>
          <t>0.75 inch</t>
        </r>
      </text>
    </comment>
    <comment ref="F29" authorId="0">
      <text>
        <r>
          <rPr>
            <b/>
            <sz val="9"/>
            <color indexed="81"/>
            <rFont val="Tahoma"/>
            <family val="2"/>
          </rPr>
          <t>0.5 inch</t>
        </r>
      </text>
    </comment>
  </commentList>
</comments>
</file>

<file path=xl/comments2.xml><?xml version="1.0" encoding="utf-8"?>
<comments xmlns="http://schemas.openxmlformats.org/spreadsheetml/2006/main">
  <authors>
    <author>作者</author>
  </authors>
  <commentList>
    <comment ref="C2" authorId="0">
      <text>
        <r>
          <rPr>
            <b/>
            <sz val="9"/>
            <color indexed="81"/>
            <rFont val="宋体"/>
            <charset val="134"/>
          </rPr>
          <t>內</t>
        </r>
        <r>
          <rPr>
            <b/>
            <sz val="9"/>
            <color indexed="81"/>
            <rFont val="Tahoma"/>
            <family val="2"/>
          </rPr>
          <t>9*10</t>
        </r>
      </text>
    </comment>
    <comment ref="C3" authorId="0">
      <text>
        <r>
          <rPr>
            <b/>
            <sz val="9"/>
            <color indexed="81"/>
            <rFont val="宋体"/>
            <charset val="134"/>
          </rPr>
          <t>內</t>
        </r>
        <r>
          <rPr>
            <b/>
            <sz val="9"/>
            <color indexed="81"/>
            <rFont val="Tahoma"/>
            <family val="2"/>
          </rPr>
          <t>9*11.5</t>
        </r>
      </text>
    </comment>
    <comment ref="C5" authorId="0">
      <text>
        <r>
          <rPr>
            <b/>
            <sz val="9"/>
            <color indexed="81"/>
            <rFont val="宋体"/>
            <charset val="134"/>
          </rPr>
          <t>內</t>
        </r>
        <r>
          <rPr>
            <b/>
            <sz val="9"/>
            <color indexed="81"/>
            <rFont val="Tahoma"/>
            <family val="2"/>
          </rPr>
          <t>11*20</t>
        </r>
      </text>
    </comment>
    <comment ref="C6" authorId="0">
      <text>
        <r>
          <rPr>
            <b/>
            <sz val="9"/>
            <color indexed="81"/>
            <rFont val="宋体"/>
            <charset val="134"/>
          </rPr>
          <t>內</t>
        </r>
        <r>
          <rPr>
            <b/>
            <sz val="9"/>
            <color indexed="81"/>
            <rFont val="Tahoma"/>
            <family val="2"/>
          </rPr>
          <t>11.5*15</t>
        </r>
      </text>
    </comment>
    <comment ref="C7" authorId="0">
      <text>
        <r>
          <rPr>
            <b/>
            <sz val="9"/>
            <color indexed="81"/>
            <rFont val="宋体"/>
            <charset val="134"/>
          </rPr>
          <t>內</t>
        </r>
        <r>
          <rPr>
            <b/>
            <sz val="9"/>
            <color indexed="81"/>
            <rFont val="Tahoma"/>
            <family val="2"/>
          </rPr>
          <t>12.5*17</t>
        </r>
      </text>
    </comment>
    <comment ref="B8" authorId="0">
      <text>
        <r>
          <rPr>
            <b/>
            <sz val="9"/>
            <color indexed="81"/>
            <rFont val="宋体"/>
            <charset val="134"/>
          </rPr>
          <t>估算</t>
        </r>
      </text>
    </comment>
    <comment ref="C9" authorId="0">
      <text>
        <r>
          <rPr>
            <b/>
            <sz val="9"/>
            <color indexed="81"/>
            <rFont val="Tahoma"/>
            <family val="2"/>
          </rPr>
          <t>dv-10:</t>
        </r>
        <r>
          <rPr>
            <sz val="9"/>
            <color indexed="81"/>
            <rFont val="Tahoma"/>
            <family val="2"/>
          </rPr>
          <t xml:space="preserve">
</t>
        </r>
      </text>
    </comment>
    <comment ref="C10" authorId="0">
      <text>
        <r>
          <rPr>
            <b/>
            <sz val="9"/>
            <color indexed="81"/>
            <rFont val="宋体"/>
            <charset val="134"/>
          </rPr>
          <t>內</t>
        </r>
        <r>
          <rPr>
            <b/>
            <sz val="9"/>
            <color indexed="81"/>
            <rFont val="Tahoma"/>
            <family val="2"/>
          </rPr>
          <t>17.5*24</t>
        </r>
      </text>
    </comment>
    <comment ref="C11" authorId="0">
      <text>
        <r>
          <rPr>
            <b/>
            <sz val="9"/>
            <color indexed="81"/>
            <rFont val="宋体"/>
            <charset val="134"/>
          </rPr>
          <t>原定</t>
        </r>
        <r>
          <rPr>
            <b/>
            <sz val="9"/>
            <color indexed="81"/>
            <rFont val="Tahoma"/>
            <family val="2"/>
          </rPr>
          <t xml:space="preserve">23*30 x 180p x 9
</t>
        </r>
        <r>
          <rPr>
            <b/>
            <sz val="9"/>
            <color indexed="81"/>
            <rFont val="宋体"/>
            <charset val="134"/>
          </rPr>
          <t xml:space="preserve">工廠缺貨改發
</t>
        </r>
        <r>
          <rPr>
            <b/>
            <sz val="9"/>
            <color indexed="81"/>
            <rFont val="Tahoma"/>
            <family val="2"/>
          </rPr>
          <t>23*30 x 180p x 1
+ 23*28 x 190p 8</t>
        </r>
        <r>
          <rPr>
            <b/>
            <sz val="9"/>
            <color indexed="81"/>
            <rFont val="宋体"/>
            <charset val="134"/>
          </rPr>
          <t xml:space="preserve">
內</t>
        </r>
        <r>
          <rPr>
            <b/>
            <sz val="9"/>
            <color indexed="81"/>
            <rFont val="Tahoma"/>
            <family val="2"/>
          </rPr>
          <t>20*26</t>
        </r>
      </text>
    </comment>
    <comment ref="C12" authorId="0">
      <text>
        <r>
          <rPr>
            <b/>
            <sz val="9"/>
            <color indexed="81"/>
            <rFont val="宋体"/>
            <charset val="134"/>
          </rPr>
          <t>內</t>
        </r>
        <r>
          <rPr>
            <b/>
            <sz val="9"/>
            <color indexed="81"/>
            <rFont val="Tahoma"/>
            <family val="2"/>
          </rPr>
          <t>23*29</t>
        </r>
      </text>
    </comment>
    <comment ref="C13" authorId="0">
      <text>
        <r>
          <rPr>
            <b/>
            <sz val="9"/>
            <color indexed="81"/>
            <rFont val="宋体"/>
            <charset val="134"/>
          </rPr>
          <t>內</t>
        </r>
        <r>
          <rPr>
            <b/>
            <sz val="9"/>
            <color indexed="81"/>
            <rFont val="Tahoma"/>
            <family val="2"/>
          </rPr>
          <t>10.5*22.5</t>
        </r>
      </text>
    </comment>
    <comment ref="C14" authorId="0">
      <text>
        <r>
          <rPr>
            <b/>
            <sz val="9"/>
            <color indexed="81"/>
            <rFont val="宋体"/>
            <charset val="134"/>
          </rPr>
          <t>內</t>
        </r>
        <r>
          <rPr>
            <b/>
            <sz val="9"/>
            <color indexed="81"/>
            <rFont val="Tahoma"/>
            <family val="2"/>
          </rPr>
          <t>12.5*24</t>
        </r>
      </text>
    </comment>
    <comment ref="C15" authorId="0">
      <text>
        <r>
          <rPr>
            <b/>
            <sz val="9"/>
            <color indexed="81"/>
            <rFont val="宋体"/>
            <charset val="134"/>
          </rPr>
          <t>內</t>
        </r>
        <r>
          <rPr>
            <b/>
            <sz val="9"/>
            <color indexed="81"/>
            <rFont val="Tahoma"/>
            <family val="2"/>
          </rPr>
          <t>12*17.5</t>
        </r>
      </text>
    </comment>
    <comment ref="C16" authorId="0">
      <text>
        <r>
          <rPr>
            <b/>
            <sz val="9"/>
            <color indexed="81"/>
            <rFont val="宋体"/>
            <charset val="134"/>
          </rPr>
          <t>內</t>
        </r>
        <r>
          <rPr>
            <b/>
            <sz val="9"/>
            <color indexed="81"/>
            <rFont val="Tahoma"/>
            <family val="2"/>
          </rPr>
          <t>9*15</t>
        </r>
      </text>
    </comment>
    <comment ref="C17" authorId="0">
      <text>
        <r>
          <rPr>
            <b/>
            <sz val="9"/>
            <color indexed="81"/>
            <rFont val="宋体"/>
            <charset val="134"/>
          </rPr>
          <t>內</t>
        </r>
        <r>
          <rPr>
            <b/>
            <sz val="9"/>
            <color indexed="81"/>
            <rFont val="Tahoma"/>
            <family val="2"/>
          </rPr>
          <t>17.5*20.5</t>
        </r>
      </text>
    </comment>
    <comment ref="C18" authorId="0">
      <text>
        <r>
          <rPr>
            <b/>
            <sz val="9"/>
            <color indexed="81"/>
            <rFont val="宋体"/>
            <charset val="134"/>
          </rPr>
          <t>內</t>
        </r>
        <r>
          <rPr>
            <b/>
            <sz val="9"/>
            <color indexed="81"/>
            <rFont val="Tahoma"/>
            <family val="2"/>
          </rPr>
          <t>7*13</t>
        </r>
      </text>
    </comment>
    <comment ref="C19" authorId="0">
      <text>
        <r>
          <rPr>
            <b/>
            <sz val="9"/>
            <color indexed="81"/>
            <rFont val="宋体"/>
            <charset val="134"/>
          </rPr>
          <t>內</t>
        </r>
        <r>
          <rPr>
            <b/>
            <sz val="9"/>
            <color indexed="81"/>
            <rFont val="Tahoma"/>
            <family val="2"/>
          </rPr>
          <t>22.5*29.5</t>
        </r>
      </text>
    </comment>
    <comment ref="C20" authorId="0">
      <text>
        <r>
          <rPr>
            <b/>
            <sz val="9"/>
            <color indexed="81"/>
            <rFont val="宋体"/>
            <charset val="134"/>
          </rPr>
          <t>定作</t>
        </r>
      </text>
    </comment>
    <comment ref="C21" authorId="0">
      <text>
        <r>
          <rPr>
            <b/>
            <sz val="9"/>
            <color indexed="81"/>
            <rFont val="宋体"/>
            <charset val="134"/>
          </rPr>
          <t>定作</t>
        </r>
      </text>
    </comment>
    <comment ref="C22" authorId="0">
      <text>
        <r>
          <rPr>
            <b/>
            <sz val="9"/>
            <color indexed="81"/>
            <rFont val="宋体"/>
            <charset val="134"/>
          </rPr>
          <t>定作</t>
        </r>
      </text>
    </comment>
    <comment ref="C23" authorId="0">
      <text>
        <r>
          <rPr>
            <b/>
            <sz val="9"/>
            <color indexed="81"/>
            <rFont val="宋体"/>
            <charset val="134"/>
          </rPr>
          <t>定作</t>
        </r>
        <r>
          <rPr>
            <b/>
            <sz val="9"/>
            <color indexed="81"/>
            <rFont val="Tahoma"/>
            <family val="2"/>
          </rPr>
          <t xml:space="preserve">6.5cm*8cm
</t>
        </r>
        <r>
          <rPr>
            <b/>
            <sz val="9"/>
            <color indexed="81"/>
            <rFont val="宋体"/>
            <charset val="134"/>
          </rPr>
          <t>工廠作錯為</t>
        </r>
        <r>
          <rPr>
            <b/>
            <sz val="9"/>
            <color indexed="81"/>
            <rFont val="Tahoma"/>
            <family val="2"/>
          </rPr>
          <t>5cm*8cm</t>
        </r>
      </text>
    </comment>
    <comment ref="C24" authorId="0">
      <text>
        <r>
          <rPr>
            <b/>
            <sz val="9"/>
            <color indexed="81"/>
            <rFont val="宋体"/>
            <charset val="134"/>
          </rPr>
          <t>定作</t>
        </r>
      </text>
    </comment>
    <comment ref="C25" authorId="0">
      <text>
        <r>
          <rPr>
            <b/>
            <sz val="9"/>
            <color indexed="81"/>
            <rFont val="宋体"/>
            <charset val="134"/>
          </rPr>
          <t>定作</t>
        </r>
      </text>
    </comment>
    <comment ref="C26" authorId="0">
      <text>
        <r>
          <rPr>
            <b/>
            <sz val="9"/>
            <color indexed="81"/>
            <rFont val="宋体"/>
            <charset val="134"/>
          </rPr>
          <t>工廠作錯為</t>
        </r>
        <r>
          <rPr>
            <b/>
            <sz val="9"/>
            <color indexed="81"/>
            <rFont val="Tahoma"/>
            <family val="2"/>
          </rPr>
          <t xml:space="preserve">5cm*8cm
</t>
        </r>
        <r>
          <rPr>
            <b/>
            <sz val="9"/>
            <color indexed="81"/>
            <rFont val="宋体"/>
            <charset val="134"/>
          </rPr>
          <t>重新定作</t>
        </r>
        <r>
          <rPr>
            <b/>
            <sz val="9"/>
            <color indexed="81"/>
            <rFont val="Tahoma"/>
            <family val="2"/>
          </rPr>
          <t xml:space="preserve">6.5cm*8cm
</t>
        </r>
      </text>
    </comment>
    <comment ref="C27" authorId="0">
      <text>
        <r>
          <rPr>
            <b/>
            <sz val="9"/>
            <color indexed="81"/>
            <rFont val="宋体"/>
            <charset val="134"/>
          </rPr>
          <t>定</t>
        </r>
        <r>
          <rPr>
            <b/>
            <sz val="9"/>
            <color indexed="81"/>
            <rFont val="Tahoma"/>
            <family val="2"/>
          </rPr>
          <t xml:space="preserve">8*10
</t>
        </r>
        <r>
          <rPr>
            <b/>
            <sz val="9"/>
            <color indexed="81"/>
            <rFont val="宋体"/>
            <charset val="134"/>
          </rPr>
          <t>作錯尺寸只留</t>
        </r>
        <r>
          <rPr>
            <b/>
            <sz val="9"/>
            <color indexed="81"/>
            <rFont val="Tahoma"/>
            <family val="2"/>
          </rPr>
          <t>8*8</t>
        </r>
      </text>
    </comment>
    <comment ref="C31" authorId="0">
      <text>
        <r>
          <rPr>
            <b/>
            <sz val="9"/>
            <color indexed="81"/>
            <rFont val="宋体"/>
            <charset val="134"/>
          </rPr>
          <t>內</t>
        </r>
        <r>
          <rPr>
            <b/>
            <sz val="9"/>
            <color indexed="81"/>
            <rFont val="Tahoma"/>
            <family val="2"/>
          </rPr>
          <t>13*14</t>
        </r>
      </text>
    </comment>
    <comment ref="C32" authorId="0">
      <text>
        <r>
          <rPr>
            <b/>
            <sz val="9"/>
            <color indexed="81"/>
            <rFont val="宋体"/>
            <charset val="134"/>
          </rPr>
          <t>內</t>
        </r>
        <r>
          <rPr>
            <b/>
            <sz val="9"/>
            <color indexed="81"/>
            <rFont val="Tahoma"/>
            <family val="2"/>
          </rPr>
          <t xml:space="preserve">12.5*18.5
</t>
        </r>
      </text>
    </comment>
    <comment ref="C33" authorId="0">
      <text>
        <r>
          <rPr>
            <b/>
            <sz val="9"/>
            <color indexed="81"/>
            <rFont val="宋体"/>
            <charset val="134"/>
          </rPr>
          <t>內</t>
        </r>
        <r>
          <rPr>
            <b/>
            <sz val="9"/>
            <color indexed="81"/>
            <rFont val="Tahoma"/>
            <family val="2"/>
          </rPr>
          <t>12.5*24</t>
        </r>
      </text>
    </comment>
    <comment ref="C34" authorId="0">
      <text>
        <r>
          <rPr>
            <b/>
            <sz val="9"/>
            <color indexed="81"/>
            <rFont val="宋体"/>
            <charset val="134"/>
          </rPr>
          <t>內</t>
        </r>
        <r>
          <rPr>
            <b/>
            <sz val="9"/>
            <color indexed="81"/>
            <rFont val="Tahoma"/>
            <family val="2"/>
          </rPr>
          <t>14*14</t>
        </r>
      </text>
    </comment>
    <comment ref="C35" authorId="0">
      <text>
        <r>
          <rPr>
            <b/>
            <sz val="9"/>
            <color indexed="81"/>
            <rFont val="宋体"/>
            <charset val="134"/>
          </rPr>
          <t>內</t>
        </r>
        <r>
          <rPr>
            <b/>
            <sz val="9"/>
            <color indexed="81"/>
            <rFont val="Tahoma"/>
            <family val="2"/>
          </rPr>
          <t>14.5*19</t>
        </r>
      </text>
    </comment>
    <comment ref="C36" authorId="0">
      <text>
        <r>
          <rPr>
            <b/>
            <sz val="9"/>
            <color indexed="81"/>
            <rFont val="宋体"/>
            <charset val="134"/>
          </rPr>
          <t>內</t>
        </r>
        <r>
          <rPr>
            <b/>
            <sz val="9"/>
            <color indexed="81"/>
            <rFont val="Tahoma"/>
            <family val="2"/>
          </rPr>
          <t>14.5*23.5</t>
        </r>
      </text>
    </comment>
    <comment ref="C37" authorId="0">
      <text>
        <r>
          <rPr>
            <b/>
            <sz val="9"/>
            <color indexed="81"/>
            <rFont val="宋体"/>
            <charset val="134"/>
          </rPr>
          <t>內</t>
        </r>
        <r>
          <rPr>
            <b/>
            <sz val="9"/>
            <color indexed="81"/>
            <rFont val="Tahoma"/>
            <family val="2"/>
          </rPr>
          <t>19.5*24</t>
        </r>
      </text>
    </comment>
    <comment ref="C38" authorId="0">
      <text>
        <r>
          <rPr>
            <b/>
            <sz val="9"/>
            <color indexed="81"/>
            <rFont val="宋体"/>
            <charset val="134"/>
          </rPr>
          <t>內</t>
        </r>
        <r>
          <rPr>
            <b/>
            <sz val="9"/>
            <color indexed="81"/>
            <rFont val="Tahoma"/>
            <family val="2"/>
          </rPr>
          <t>19.5*28</t>
        </r>
      </text>
    </comment>
    <comment ref="C39" authorId="0">
      <text>
        <r>
          <rPr>
            <b/>
            <sz val="9"/>
            <color indexed="81"/>
            <rFont val="宋体"/>
            <charset val="134"/>
          </rPr>
          <t>內</t>
        </r>
        <r>
          <rPr>
            <b/>
            <sz val="9"/>
            <color indexed="81"/>
            <rFont val="Tahoma"/>
            <family val="2"/>
          </rPr>
          <t>24.5*24</t>
        </r>
      </text>
    </comment>
    <comment ref="C40" authorId="0">
      <text>
        <r>
          <rPr>
            <b/>
            <sz val="9"/>
            <color indexed="81"/>
            <rFont val="宋体"/>
            <charset val="134"/>
          </rPr>
          <t>內</t>
        </r>
        <r>
          <rPr>
            <b/>
            <sz val="9"/>
            <color indexed="81"/>
            <rFont val="Tahoma"/>
            <family val="2"/>
          </rPr>
          <t>24*29</t>
        </r>
      </text>
    </comment>
    <comment ref="C42" authorId="0">
      <text>
        <r>
          <rPr>
            <b/>
            <sz val="9"/>
            <color indexed="81"/>
            <rFont val="宋体"/>
            <charset val="134"/>
          </rPr>
          <t>內</t>
        </r>
        <r>
          <rPr>
            <b/>
            <sz val="9"/>
            <color indexed="81"/>
            <rFont val="Tahoma"/>
            <family val="2"/>
          </rPr>
          <t>29.5*34</t>
        </r>
      </text>
    </comment>
    <comment ref="B53" authorId="0">
      <text>
        <r>
          <rPr>
            <b/>
            <sz val="9"/>
            <color indexed="81"/>
            <rFont val="Tahoma"/>
            <family val="2"/>
          </rPr>
          <t xml:space="preserve">7g/1000pcs
</t>
        </r>
      </text>
    </comment>
    <comment ref="B54" authorId="0">
      <text>
        <r>
          <rPr>
            <b/>
            <sz val="9"/>
            <color indexed="81"/>
            <rFont val="Tahoma"/>
            <family val="2"/>
          </rPr>
          <t xml:space="preserve">118g/1000pcs
</t>
        </r>
      </text>
    </comment>
    <comment ref="B55" authorId="0">
      <text>
        <r>
          <rPr>
            <b/>
            <sz val="9"/>
            <color indexed="81"/>
            <rFont val="Tahoma"/>
            <family val="2"/>
          </rPr>
          <t xml:space="preserve">282g/2000pcs
</t>
        </r>
      </text>
    </comment>
    <comment ref="B56" authorId="0">
      <text>
        <r>
          <rPr>
            <b/>
            <sz val="9"/>
            <color indexed="81"/>
            <rFont val="Tahoma"/>
            <family val="2"/>
          </rPr>
          <t>466g/1000pcs</t>
        </r>
      </text>
    </comment>
    <comment ref="B57" authorId="0">
      <text>
        <r>
          <rPr>
            <b/>
            <sz val="9"/>
            <color indexed="81"/>
            <rFont val="Tahoma"/>
            <family val="2"/>
          </rPr>
          <t>290g/1000pcs</t>
        </r>
      </text>
    </comment>
    <comment ref="B58" authorId="0">
      <text>
        <r>
          <rPr>
            <b/>
            <sz val="9"/>
            <color indexed="81"/>
            <rFont val="Tahoma"/>
            <family val="2"/>
          </rPr>
          <t>360g/1000pcs</t>
        </r>
      </text>
    </comment>
    <comment ref="B60" authorId="0">
      <text>
        <r>
          <rPr>
            <b/>
            <sz val="9"/>
            <color indexed="81"/>
            <rFont val="宋体"/>
            <charset val="134"/>
          </rPr>
          <t xml:space="preserve">按面積計算
</t>
        </r>
        <r>
          <rPr>
            <b/>
            <sz val="9"/>
            <color indexed="81"/>
            <rFont val="Tahoma"/>
            <family val="2"/>
          </rPr>
          <t>1cm*1cm=0.006g</t>
        </r>
      </text>
    </comment>
    <comment ref="B61" authorId="0">
      <text>
        <r>
          <rPr>
            <b/>
            <sz val="9"/>
            <color indexed="81"/>
            <rFont val="宋体"/>
            <charset val="134"/>
          </rPr>
          <t xml:space="preserve">按面積計算
</t>
        </r>
        <r>
          <rPr>
            <b/>
            <sz val="9"/>
            <color indexed="81"/>
            <rFont val="Tahoma"/>
            <family val="2"/>
          </rPr>
          <t>1cm*1cm=0.006g</t>
        </r>
      </text>
    </comment>
    <comment ref="B62" authorId="0">
      <text>
        <r>
          <rPr>
            <b/>
            <sz val="9"/>
            <color indexed="81"/>
            <rFont val="宋体"/>
            <charset val="134"/>
          </rPr>
          <t xml:space="preserve">按面積計算
</t>
        </r>
        <r>
          <rPr>
            <b/>
            <sz val="9"/>
            <color indexed="81"/>
            <rFont val="Tahoma"/>
            <family val="2"/>
          </rPr>
          <t>1cm*1cm=0.006g</t>
        </r>
      </text>
    </comment>
    <comment ref="C62" authorId="0">
      <text>
        <r>
          <rPr>
            <b/>
            <sz val="9"/>
            <color indexed="81"/>
            <rFont val="宋体"/>
            <charset val="134"/>
          </rPr>
          <t>內</t>
        </r>
        <r>
          <rPr>
            <b/>
            <sz val="9"/>
            <color indexed="81"/>
            <rFont val="Tahoma"/>
            <family val="2"/>
          </rPr>
          <t>7.4*10</t>
        </r>
      </text>
    </comment>
    <comment ref="C63" authorId="0">
      <text>
        <r>
          <rPr>
            <b/>
            <sz val="9"/>
            <color indexed="81"/>
            <rFont val="宋体"/>
            <charset val="134"/>
          </rPr>
          <t>內</t>
        </r>
        <r>
          <rPr>
            <b/>
            <sz val="9"/>
            <color indexed="81"/>
            <rFont val="Tahoma"/>
            <family val="2"/>
          </rPr>
          <t>8.2*9</t>
        </r>
      </text>
    </comment>
    <comment ref="C64" authorId="0">
      <text>
        <r>
          <rPr>
            <b/>
            <sz val="9"/>
            <color indexed="81"/>
            <rFont val="宋体"/>
            <charset val="134"/>
          </rPr>
          <t>內</t>
        </r>
        <r>
          <rPr>
            <b/>
            <sz val="9"/>
            <color indexed="81"/>
            <rFont val="Tahoma"/>
            <family val="2"/>
          </rPr>
          <t>9.5*16</t>
        </r>
      </text>
    </comment>
    <comment ref="C65" authorId="0">
      <text>
        <r>
          <rPr>
            <b/>
            <sz val="9"/>
            <color indexed="81"/>
            <rFont val="宋体"/>
            <charset val="134"/>
          </rPr>
          <t>內</t>
        </r>
        <r>
          <rPr>
            <b/>
            <sz val="9"/>
            <color indexed="81"/>
            <rFont val="Tahoma"/>
            <family val="2"/>
          </rPr>
          <t xml:space="preserve">10.5*15
</t>
        </r>
        <r>
          <rPr>
            <b/>
            <sz val="9"/>
            <color indexed="81"/>
            <rFont val="宋体"/>
            <charset val="134"/>
          </rPr>
          <t>包和風用</t>
        </r>
        <r>
          <rPr>
            <b/>
            <sz val="9"/>
            <color indexed="81"/>
            <rFont val="Tahoma"/>
            <family val="2"/>
          </rPr>
          <t>22</t>
        </r>
        <r>
          <rPr>
            <b/>
            <sz val="9"/>
            <color indexed="81"/>
            <rFont val="宋体"/>
            <charset val="134"/>
          </rPr>
          <t>個</t>
        </r>
      </text>
    </comment>
    <comment ref="B66" authorId="0">
      <text>
        <r>
          <rPr>
            <b/>
            <sz val="9"/>
            <color indexed="81"/>
            <rFont val="宋体"/>
            <charset val="134"/>
          </rPr>
          <t xml:space="preserve">按面積計算
</t>
        </r>
        <r>
          <rPr>
            <b/>
            <sz val="9"/>
            <color indexed="81"/>
            <rFont val="Tahoma"/>
            <family val="2"/>
          </rPr>
          <t>1cm*1cm=0.006g</t>
        </r>
      </text>
    </comment>
    <comment ref="C66" authorId="0">
      <text>
        <r>
          <rPr>
            <b/>
            <sz val="9"/>
            <color indexed="81"/>
            <rFont val="宋体"/>
            <charset val="134"/>
          </rPr>
          <t>內</t>
        </r>
        <r>
          <rPr>
            <b/>
            <sz val="9"/>
            <color indexed="81"/>
            <rFont val="Tahoma"/>
            <family val="2"/>
          </rPr>
          <t>11.5*18</t>
        </r>
      </text>
    </comment>
    <comment ref="C67" authorId="0">
      <text>
        <r>
          <rPr>
            <b/>
            <sz val="9"/>
            <color indexed="81"/>
            <rFont val="宋体"/>
            <charset val="134"/>
          </rPr>
          <t>內</t>
        </r>
        <r>
          <rPr>
            <b/>
            <sz val="9"/>
            <color indexed="81"/>
            <rFont val="Tahoma"/>
            <family val="2"/>
          </rPr>
          <t>12.5*20</t>
        </r>
      </text>
    </comment>
    <comment ref="D67" authorId="0">
      <text>
        <r>
          <rPr>
            <b/>
            <sz val="9"/>
            <color indexed="81"/>
            <rFont val="宋体"/>
            <charset val="134"/>
          </rPr>
          <t>包彩帶用</t>
        </r>
        <r>
          <rPr>
            <b/>
            <sz val="9"/>
            <color indexed="81"/>
            <rFont val="Tahoma"/>
            <family val="2"/>
          </rPr>
          <t>-30x</t>
        </r>
      </text>
    </comment>
    <comment ref="E67" authorId="0">
      <text>
        <r>
          <rPr>
            <b/>
            <sz val="9"/>
            <color indexed="81"/>
            <rFont val="宋体"/>
            <charset val="134"/>
          </rPr>
          <t>包彩帶用</t>
        </r>
        <r>
          <rPr>
            <b/>
            <sz val="9"/>
            <color indexed="81"/>
            <rFont val="Tahoma"/>
            <family val="2"/>
          </rPr>
          <t>-30x</t>
        </r>
      </text>
    </comment>
    <comment ref="B68" authorId="0">
      <text>
        <r>
          <rPr>
            <b/>
            <sz val="9"/>
            <color indexed="81"/>
            <rFont val="宋体"/>
            <charset val="134"/>
          </rPr>
          <t xml:space="preserve">按面積計算
</t>
        </r>
        <r>
          <rPr>
            <b/>
            <sz val="9"/>
            <color indexed="81"/>
            <rFont val="Tahoma"/>
            <family val="2"/>
          </rPr>
          <t>1cm*1cm=0.006g</t>
        </r>
      </text>
    </comment>
    <comment ref="C68" authorId="0">
      <text>
        <r>
          <rPr>
            <b/>
            <sz val="9"/>
            <color indexed="81"/>
            <rFont val="宋体"/>
            <charset val="134"/>
          </rPr>
          <t>內</t>
        </r>
        <r>
          <rPr>
            <b/>
            <sz val="9"/>
            <color indexed="81"/>
            <rFont val="Tahoma"/>
            <family val="2"/>
          </rPr>
          <t>13.3*25</t>
        </r>
      </text>
    </comment>
    <comment ref="B69" authorId="0">
      <text>
        <r>
          <rPr>
            <b/>
            <sz val="9"/>
            <color indexed="81"/>
            <rFont val="宋体"/>
            <charset val="134"/>
          </rPr>
          <t xml:space="preserve">按面積計算
</t>
        </r>
        <r>
          <rPr>
            <b/>
            <sz val="9"/>
            <color indexed="81"/>
            <rFont val="Tahoma"/>
            <family val="2"/>
          </rPr>
          <t>1cm*1cm=0.006g</t>
        </r>
      </text>
    </comment>
    <comment ref="C69" authorId="0">
      <text>
        <r>
          <rPr>
            <b/>
            <sz val="9"/>
            <color indexed="81"/>
            <rFont val="宋体"/>
            <charset val="134"/>
          </rPr>
          <t>內</t>
        </r>
        <r>
          <rPr>
            <b/>
            <sz val="9"/>
            <color indexed="81"/>
            <rFont val="Tahoma"/>
            <family val="2"/>
          </rPr>
          <t>14.3*21</t>
        </r>
      </text>
    </comment>
    <comment ref="B70" authorId="0">
      <text>
        <r>
          <rPr>
            <b/>
            <sz val="9"/>
            <color indexed="81"/>
            <rFont val="宋体"/>
            <charset val="134"/>
          </rPr>
          <t xml:space="preserve">按面積計算
</t>
        </r>
        <r>
          <rPr>
            <b/>
            <sz val="9"/>
            <color indexed="81"/>
            <rFont val="Tahoma"/>
            <family val="2"/>
          </rPr>
          <t>1cm*1cm=0.006g</t>
        </r>
      </text>
    </comment>
    <comment ref="C70" authorId="0">
      <text>
        <r>
          <rPr>
            <b/>
            <sz val="9"/>
            <color indexed="81"/>
            <rFont val="宋体"/>
            <charset val="134"/>
          </rPr>
          <t>內</t>
        </r>
        <r>
          <rPr>
            <b/>
            <sz val="9"/>
            <color indexed="81"/>
            <rFont val="Tahoma"/>
            <family val="2"/>
          </rPr>
          <t>17.5*30</t>
        </r>
      </text>
    </comment>
    <comment ref="B71" authorId="0">
      <text>
        <r>
          <rPr>
            <b/>
            <sz val="9"/>
            <color indexed="81"/>
            <rFont val="宋体"/>
            <charset val="134"/>
          </rPr>
          <t xml:space="preserve">按面積計算
</t>
        </r>
        <r>
          <rPr>
            <b/>
            <sz val="9"/>
            <color indexed="81"/>
            <rFont val="Tahoma"/>
            <family val="2"/>
          </rPr>
          <t>1cm*1cm=0.006g</t>
        </r>
      </text>
    </comment>
    <comment ref="C71" authorId="0">
      <text>
        <r>
          <rPr>
            <b/>
            <sz val="9"/>
            <color indexed="81"/>
            <rFont val="宋体"/>
            <charset val="134"/>
          </rPr>
          <t>洞+內</t>
        </r>
        <r>
          <rPr>
            <b/>
            <sz val="9"/>
            <color indexed="81"/>
            <rFont val="Tahoma"/>
            <family val="2"/>
          </rPr>
          <t>19.3*26</t>
        </r>
      </text>
    </comment>
    <comment ref="B72" authorId="0">
      <text>
        <r>
          <rPr>
            <b/>
            <sz val="9"/>
            <color indexed="81"/>
            <rFont val="宋体"/>
            <charset val="134"/>
          </rPr>
          <t xml:space="preserve">按面積計算
</t>
        </r>
        <r>
          <rPr>
            <b/>
            <sz val="9"/>
            <color indexed="81"/>
            <rFont val="Tahoma"/>
            <family val="2"/>
          </rPr>
          <t>1cm*1cm=0.006g</t>
        </r>
      </text>
    </comment>
    <comment ref="C72" authorId="0">
      <text>
        <r>
          <rPr>
            <b/>
            <sz val="9"/>
            <color indexed="81"/>
            <rFont val="宋体"/>
            <charset val="134"/>
          </rPr>
          <t>洞</t>
        </r>
        <r>
          <rPr>
            <b/>
            <sz val="9"/>
            <color indexed="81"/>
            <rFont val="Tahoma"/>
            <family val="2"/>
          </rPr>
          <t>+</t>
        </r>
        <r>
          <rPr>
            <b/>
            <sz val="9"/>
            <color indexed="81"/>
            <rFont val="宋体"/>
            <charset val="134"/>
          </rPr>
          <t>內</t>
        </r>
        <r>
          <rPr>
            <b/>
            <sz val="9"/>
            <color indexed="81"/>
            <rFont val="Tahoma"/>
            <family val="2"/>
          </rPr>
          <t>19.3*30</t>
        </r>
      </text>
    </comment>
    <comment ref="B73" authorId="0">
      <text>
        <r>
          <rPr>
            <b/>
            <sz val="9"/>
            <color indexed="81"/>
            <rFont val="宋体"/>
            <charset val="134"/>
          </rPr>
          <t xml:space="preserve">按面積計算
</t>
        </r>
        <r>
          <rPr>
            <b/>
            <sz val="9"/>
            <color indexed="81"/>
            <rFont val="Tahoma"/>
            <family val="2"/>
          </rPr>
          <t>1cm*1cm=0.006g</t>
        </r>
      </text>
    </comment>
    <comment ref="C73" authorId="0">
      <text>
        <r>
          <rPr>
            <b/>
            <sz val="9"/>
            <color indexed="81"/>
            <rFont val="宋体"/>
            <charset val="134"/>
          </rPr>
          <t>內</t>
        </r>
        <r>
          <rPr>
            <b/>
            <sz val="9"/>
            <color indexed="81"/>
            <rFont val="Tahoma"/>
            <family val="2"/>
          </rPr>
          <t>22.5*32</t>
        </r>
      </text>
    </comment>
    <comment ref="C74" authorId="0">
      <text>
        <r>
          <rPr>
            <b/>
            <sz val="9"/>
            <color indexed="81"/>
            <rFont val="宋体"/>
            <charset val="134"/>
          </rPr>
          <t>洞+內</t>
        </r>
        <r>
          <rPr>
            <b/>
            <sz val="9"/>
            <color indexed="81"/>
            <rFont val="Tahoma"/>
            <family val="2"/>
          </rPr>
          <t>25.3*30</t>
        </r>
      </text>
    </comment>
    <comment ref="B75" authorId="0">
      <text>
        <r>
          <rPr>
            <b/>
            <sz val="9"/>
            <color indexed="81"/>
            <rFont val="宋体"/>
            <charset val="134"/>
          </rPr>
          <t xml:space="preserve">按面積計算
</t>
        </r>
        <r>
          <rPr>
            <b/>
            <sz val="9"/>
            <color indexed="81"/>
            <rFont val="Tahoma"/>
            <family val="2"/>
          </rPr>
          <t>1cm*1cm=0.006g</t>
        </r>
      </text>
    </comment>
    <comment ref="C75" authorId="0">
      <text>
        <r>
          <rPr>
            <b/>
            <sz val="9"/>
            <color indexed="81"/>
            <rFont val="宋体"/>
            <charset val="134"/>
          </rPr>
          <t>洞+內</t>
        </r>
        <r>
          <rPr>
            <b/>
            <sz val="9"/>
            <color indexed="81"/>
            <rFont val="Tahoma"/>
            <family val="2"/>
          </rPr>
          <t>29.3*38</t>
        </r>
      </text>
    </comment>
    <comment ref="B76" authorId="0">
      <text>
        <r>
          <rPr>
            <b/>
            <sz val="9"/>
            <color indexed="81"/>
            <rFont val="宋体"/>
            <charset val="134"/>
          </rPr>
          <t xml:space="preserve">按面積計算
</t>
        </r>
        <r>
          <rPr>
            <b/>
            <sz val="9"/>
            <color indexed="81"/>
            <rFont val="Tahoma"/>
            <family val="2"/>
          </rPr>
          <t>1cm*1cm=0.006g</t>
        </r>
      </text>
    </comment>
    <comment ref="C76" authorId="0">
      <text>
        <r>
          <rPr>
            <b/>
            <sz val="9"/>
            <color indexed="81"/>
            <rFont val="宋体"/>
            <charset val="134"/>
          </rPr>
          <t>洞+內</t>
        </r>
        <r>
          <rPr>
            <b/>
            <sz val="9"/>
            <color indexed="81"/>
            <rFont val="Tahoma"/>
            <family val="2"/>
          </rPr>
          <t>39.3*60</t>
        </r>
      </text>
    </comment>
    <comment ref="C87" authorId="0">
      <text>
        <r>
          <rPr>
            <b/>
            <sz val="9"/>
            <color indexed="81"/>
            <rFont val="宋体"/>
            <charset val="134"/>
          </rPr>
          <t>實際</t>
        </r>
        <r>
          <rPr>
            <b/>
            <sz val="9"/>
            <color indexed="81"/>
            <rFont val="Tahoma"/>
            <family val="2"/>
          </rPr>
          <t>6*15.5cm</t>
        </r>
      </text>
    </comment>
    <comment ref="C89" authorId="0">
      <text>
        <r>
          <rPr>
            <b/>
            <sz val="9"/>
            <color indexed="81"/>
            <rFont val="宋体"/>
            <charset val="134"/>
          </rPr>
          <t>實際</t>
        </r>
        <r>
          <rPr>
            <b/>
            <sz val="9"/>
            <color indexed="81"/>
            <rFont val="Tahoma"/>
            <family val="2"/>
          </rPr>
          <t>6*20.5cm</t>
        </r>
      </text>
    </comment>
    <comment ref="C90" authorId="0">
      <text>
        <r>
          <rPr>
            <b/>
            <sz val="9"/>
            <color indexed="81"/>
            <rFont val="宋体"/>
            <charset val="134"/>
          </rPr>
          <t>實際</t>
        </r>
        <r>
          <rPr>
            <b/>
            <sz val="9"/>
            <color indexed="81"/>
            <rFont val="Tahoma"/>
            <family val="2"/>
          </rPr>
          <t>6*30.5cm</t>
        </r>
      </text>
    </comment>
    <comment ref="C91" authorId="0">
      <text>
        <r>
          <rPr>
            <b/>
            <sz val="9"/>
            <color indexed="81"/>
            <rFont val="宋体"/>
            <charset val="134"/>
          </rPr>
          <t>實際</t>
        </r>
        <r>
          <rPr>
            <b/>
            <sz val="9"/>
            <color indexed="81"/>
            <rFont val="Tahoma"/>
            <family val="2"/>
          </rPr>
          <t>8*19.5cm</t>
        </r>
      </text>
    </comment>
    <comment ref="C95" authorId="0">
      <text>
        <r>
          <rPr>
            <b/>
            <sz val="9"/>
            <color indexed="81"/>
            <rFont val="宋体"/>
            <charset val="134"/>
          </rPr>
          <t>內</t>
        </r>
        <r>
          <rPr>
            <b/>
            <sz val="9"/>
            <color indexed="81"/>
            <rFont val="Tahoma"/>
            <family val="2"/>
          </rPr>
          <t>:5.3*24cm</t>
        </r>
      </text>
    </comment>
    <comment ref="C96" authorId="0">
      <text>
        <r>
          <rPr>
            <b/>
            <sz val="9"/>
            <color indexed="81"/>
            <rFont val="宋体"/>
            <charset val="134"/>
          </rPr>
          <t>內</t>
        </r>
        <r>
          <rPr>
            <b/>
            <sz val="9"/>
            <color indexed="81"/>
            <rFont val="Tahoma"/>
            <family val="2"/>
          </rPr>
          <t>:17.5*26cm</t>
        </r>
      </text>
    </comment>
    <comment ref="C97" authorId="0">
      <text>
        <r>
          <rPr>
            <b/>
            <sz val="9"/>
            <color indexed="81"/>
            <rFont val="宋体"/>
            <charset val="134"/>
          </rPr>
          <t>內</t>
        </r>
        <r>
          <rPr>
            <b/>
            <sz val="9"/>
            <color indexed="81"/>
            <rFont val="Tahoma"/>
            <family val="2"/>
          </rPr>
          <t>:19.5*30cm</t>
        </r>
      </text>
    </comment>
    <comment ref="C98" authorId="0">
      <text>
        <r>
          <rPr>
            <b/>
            <sz val="9"/>
            <color indexed="81"/>
            <rFont val="宋体"/>
            <charset val="134"/>
          </rPr>
          <t>內</t>
        </r>
        <r>
          <rPr>
            <b/>
            <sz val="9"/>
            <color indexed="81"/>
            <rFont val="Tahoma"/>
            <family val="2"/>
          </rPr>
          <t xml:space="preserve">:22*33cm
</t>
        </r>
      </text>
    </comment>
    <comment ref="C100" authorId="0">
      <text>
        <r>
          <rPr>
            <b/>
            <sz val="9"/>
            <color indexed="81"/>
            <rFont val="宋体"/>
            <charset val="134"/>
          </rPr>
          <t>定作</t>
        </r>
      </text>
    </comment>
    <comment ref="C101" authorId="0">
      <text>
        <r>
          <rPr>
            <b/>
            <sz val="9"/>
            <color indexed="81"/>
            <rFont val="宋体"/>
            <charset val="134"/>
          </rPr>
          <t>定作</t>
        </r>
      </text>
    </comment>
    <comment ref="D102"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3"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4"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5"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6" authorId="0">
      <text>
        <r>
          <rPr>
            <b/>
            <sz val="9"/>
            <color indexed="81"/>
            <rFont val="宋体"/>
            <charset val="134"/>
          </rPr>
          <t>換回</t>
        </r>
        <r>
          <rPr>
            <b/>
            <sz val="9"/>
            <color indexed="81"/>
            <rFont val="Tahoma"/>
            <family val="2"/>
          </rPr>
          <t>54</t>
        </r>
        <r>
          <rPr>
            <b/>
            <sz val="9"/>
            <color indexed="81"/>
            <rFont val="宋体"/>
            <charset val="134"/>
          </rPr>
          <t>包
加</t>
        </r>
        <r>
          <rPr>
            <b/>
            <sz val="9"/>
            <color indexed="81"/>
            <rFont val="Tahoma"/>
            <family val="2"/>
          </rPr>
          <t>2</t>
        </r>
        <r>
          <rPr>
            <b/>
            <sz val="9"/>
            <color indexed="81"/>
            <rFont val="宋体"/>
            <charset val="134"/>
          </rPr>
          <t>包</t>
        </r>
        <r>
          <rPr>
            <b/>
            <sz val="9"/>
            <color indexed="81"/>
            <rFont val="Tahoma"/>
            <family val="2"/>
          </rPr>
          <t>sample</t>
        </r>
      </text>
    </comment>
    <comment ref="D107"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9" authorId="0">
      <text>
        <r>
          <rPr>
            <b/>
            <sz val="9"/>
            <color indexed="81"/>
            <rFont val="宋体"/>
            <charset val="134"/>
          </rPr>
          <t>加</t>
        </r>
        <r>
          <rPr>
            <b/>
            <sz val="9"/>
            <color indexed="81"/>
            <rFont val="Tahoma"/>
            <family val="2"/>
          </rPr>
          <t>3</t>
        </r>
        <r>
          <rPr>
            <b/>
            <sz val="9"/>
            <color indexed="81"/>
            <rFont val="宋体"/>
            <charset val="134"/>
          </rPr>
          <t>包</t>
        </r>
        <r>
          <rPr>
            <b/>
            <sz val="9"/>
            <color indexed="81"/>
            <rFont val="Tahoma"/>
            <family val="2"/>
          </rPr>
          <t>sample</t>
        </r>
      </text>
    </comment>
    <comment ref="A116" authorId="0">
      <text>
        <r>
          <rPr>
            <b/>
            <sz val="9"/>
            <color indexed="81"/>
            <rFont val="宋体"/>
            <family val="3"/>
            <charset val="134"/>
          </rPr>
          <t>原重覆錯編</t>
        </r>
        <r>
          <rPr>
            <b/>
            <sz val="9"/>
            <color indexed="81"/>
            <rFont val="Tahoma"/>
            <family val="2"/>
          </rPr>
          <t>:107.10</t>
        </r>
      </text>
    </comment>
    <comment ref="D116" authorId="0">
      <text>
        <r>
          <rPr>
            <b/>
            <sz val="9"/>
            <color indexed="81"/>
            <rFont val="宋体"/>
            <charset val="134"/>
          </rPr>
          <t>加</t>
        </r>
        <r>
          <rPr>
            <b/>
            <sz val="9"/>
            <color indexed="81"/>
            <rFont val="Tahoma"/>
            <family val="2"/>
          </rPr>
          <t>2</t>
        </r>
        <r>
          <rPr>
            <b/>
            <sz val="9"/>
            <color indexed="81"/>
            <rFont val="宋体"/>
            <charset val="134"/>
          </rPr>
          <t>包</t>
        </r>
        <r>
          <rPr>
            <b/>
            <sz val="9"/>
            <color indexed="81"/>
            <rFont val="Tahoma"/>
            <family val="2"/>
          </rPr>
          <t>sample</t>
        </r>
      </text>
    </comment>
    <comment ref="A117" authorId="0">
      <text>
        <r>
          <rPr>
            <b/>
            <sz val="9"/>
            <color indexed="81"/>
            <rFont val="宋体"/>
            <family val="3"/>
            <charset val="134"/>
          </rPr>
          <t>原重覆錯編</t>
        </r>
        <r>
          <rPr>
            <b/>
            <sz val="9"/>
            <color indexed="81"/>
            <rFont val="Tahoma"/>
            <family val="2"/>
          </rPr>
          <t>:107.02</t>
        </r>
      </text>
    </comment>
    <comment ref="D137" authorId="0">
      <text>
        <r>
          <rPr>
            <b/>
            <sz val="9"/>
            <color indexed="81"/>
            <rFont val="宋体"/>
            <charset val="134"/>
          </rPr>
          <t>買</t>
        </r>
        <r>
          <rPr>
            <b/>
            <sz val="9"/>
            <color indexed="81"/>
            <rFont val="Tahoma"/>
            <family val="2"/>
          </rPr>
          <t xml:space="preserve">100
</t>
        </r>
        <r>
          <rPr>
            <b/>
            <sz val="9"/>
            <color indexed="81"/>
            <rFont val="宋体"/>
            <charset val="134"/>
          </rPr>
          <t>出</t>
        </r>
        <r>
          <rPr>
            <b/>
            <sz val="9"/>
            <color indexed="81"/>
            <rFont val="Tahoma"/>
            <family val="2"/>
          </rPr>
          <t>200</t>
        </r>
      </text>
    </comment>
    <comment ref="C21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320" authorId="0">
      <text>
        <r>
          <rPr>
            <b/>
            <sz val="9"/>
            <color indexed="81"/>
            <rFont val="宋体"/>
            <charset val="134"/>
          </rPr>
          <t>發</t>
        </r>
        <r>
          <rPr>
            <b/>
            <sz val="9"/>
            <color indexed="81"/>
            <rFont val="Tahoma"/>
            <family val="2"/>
          </rPr>
          <t>311?</t>
        </r>
      </text>
    </comment>
    <comment ref="C331" authorId="0">
      <text>
        <r>
          <rPr>
            <b/>
            <sz val="9"/>
            <color indexed="81"/>
            <rFont val="宋体"/>
            <charset val="134"/>
          </rPr>
          <t>發成</t>
        </r>
        <r>
          <rPr>
            <b/>
            <sz val="9"/>
            <color indexed="81"/>
            <rFont val="Tahoma"/>
            <family val="2"/>
          </rPr>
          <t xml:space="preserve"> 
N</t>
        </r>
        <r>
          <rPr>
            <b/>
            <sz val="9"/>
            <color indexed="81"/>
            <rFont val="宋体"/>
            <charset val="134"/>
          </rPr>
          <t>橙紅</t>
        </r>
      </text>
    </comment>
    <comment ref="C359" authorId="0">
      <text>
        <r>
          <rPr>
            <b/>
            <sz val="9"/>
            <color indexed="81"/>
            <rFont val="Tahoma"/>
            <family val="2"/>
          </rPr>
          <t>8</t>
        </r>
        <r>
          <rPr>
            <b/>
            <sz val="9"/>
            <color indexed="81"/>
            <rFont val="宋体"/>
            <charset val="134"/>
          </rPr>
          <t xml:space="preserve">件裝分拆
</t>
        </r>
      </text>
    </comment>
    <comment ref="C360" authorId="0">
      <text>
        <r>
          <rPr>
            <b/>
            <sz val="9"/>
            <color indexed="81"/>
            <rFont val="Tahoma"/>
            <family val="2"/>
          </rPr>
          <t>8</t>
        </r>
        <r>
          <rPr>
            <b/>
            <sz val="9"/>
            <color indexed="81"/>
            <rFont val="宋体"/>
            <charset val="134"/>
          </rPr>
          <t xml:space="preserve">件裝分拆
</t>
        </r>
      </text>
    </comment>
    <comment ref="C361" authorId="0">
      <text>
        <r>
          <rPr>
            <b/>
            <sz val="9"/>
            <color indexed="81"/>
            <rFont val="Tahoma"/>
            <family val="2"/>
          </rPr>
          <t>8</t>
        </r>
        <r>
          <rPr>
            <b/>
            <sz val="9"/>
            <color indexed="81"/>
            <rFont val="宋体"/>
            <charset val="134"/>
          </rPr>
          <t xml:space="preserve">件裝分拆
</t>
        </r>
      </text>
    </comment>
    <comment ref="C362" authorId="0">
      <text>
        <r>
          <rPr>
            <b/>
            <sz val="9"/>
            <color indexed="81"/>
            <rFont val="Tahoma"/>
            <family val="2"/>
          </rPr>
          <t>8</t>
        </r>
        <r>
          <rPr>
            <b/>
            <sz val="9"/>
            <color indexed="81"/>
            <rFont val="宋体"/>
            <charset val="134"/>
          </rPr>
          <t xml:space="preserve">件裝分拆
</t>
        </r>
      </text>
    </comment>
    <comment ref="C363" authorId="0">
      <text>
        <r>
          <rPr>
            <b/>
            <sz val="9"/>
            <color indexed="81"/>
            <rFont val="宋体"/>
            <charset val="134"/>
          </rPr>
          <t xml:space="preserve">廠家免費送
</t>
        </r>
      </text>
    </comment>
    <comment ref="E363" authorId="0">
      <text>
        <r>
          <rPr>
            <b/>
            <sz val="9"/>
            <color indexed="81"/>
            <rFont val="宋体"/>
            <charset val="134"/>
          </rPr>
          <t xml:space="preserve">廠家免費送
</t>
        </r>
      </text>
    </comment>
    <comment ref="C364" authorId="0">
      <text>
        <r>
          <rPr>
            <b/>
            <sz val="9"/>
            <color indexed="81"/>
            <rFont val="宋体"/>
            <charset val="134"/>
          </rPr>
          <t xml:space="preserve">勾+毛
</t>
        </r>
      </text>
    </comment>
    <comment ref="C365" authorId="0">
      <text>
        <r>
          <rPr>
            <b/>
            <sz val="9"/>
            <color indexed="81"/>
            <rFont val="宋体"/>
            <charset val="134"/>
          </rPr>
          <t xml:space="preserve">勾+毛
</t>
        </r>
      </text>
    </comment>
    <comment ref="C366" authorId="0">
      <text>
        <r>
          <rPr>
            <b/>
            <sz val="9"/>
            <color indexed="81"/>
            <rFont val="宋体"/>
            <charset val="134"/>
          </rPr>
          <t xml:space="preserve">勾+毛
</t>
        </r>
      </text>
    </comment>
    <comment ref="C367" authorId="0">
      <text>
        <r>
          <rPr>
            <b/>
            <sz val="9"/>
            <color indexed="81"/>
            <rFont val="宋体"/>
            <charset val="134"/>
          </rPr>
          <t xml:space="preserve">勾+毛
</t>
        </r>
      </text>
    </comment>
    <comment ref="C368" authorId="0">
      <text>
        <r>
          <rPr>
            <b/>
            <sz val="9"/>
            <color indexed="81"/>
            <rFont val="宋体"/>
            <charset val="134"/>
          </rPr>
          <t xml:space="preserve">勾+毛
</t>
        </r>
      </text>
    </comment>
    <comment ref="C369" authorId="0">
      <text>
        <r>
          <rPr>
            <b/>
            <sz val="9"/>
            <color indexed="81"/>
            <rFont val="宋体"/>
            <charset val="134"/>
          </rPr>
          <t xml:space="preserve">勾+毛
</t>
        </r>
      </text>
    </comment>
    <comment ref="C370" authorId="0">
      <text>
        <r>
          <rPr>
            <b/>
            <sz val="9"/>
            <color indexed="81"/>
            <rFont val="宋体"/>
            <charset val="134"/>
          </rPr>
          <t xml:space="preserve">勾+毛
</t>
        </r>
      </text>
    </comment>
    <comment ref="C371" authorId="0">
      <text>
        <r>
          <rPr>
            <b/>
            <sz val="9"/>
            <color indexed="81"/>
            <rFont val="宋体"/>
            <charset val="134"/>
          </rPr>
          <t xml:space="preserve">勾+毛
</t>
        </r>
      </text>
    </comment>
    <comment ref="C372" authorId="0">
      <text>
        <r>
          <rPr>
            <b/>
            <sz val="9"/>
            <color indexed="81"/>
            <rFont val="宋体"/>
            <charset val="134"/>
          </rPr>
          <t xml:space="preserve">勾+毛
</t>
        </r>
      </text>
    </comment>
    <comment ref="C373" authorId="0">
      <text>
        <r>
          <rPr>
            <b/>
            <sz val="9"/>
            <color indexed="81"/>
            <rFont val="宋体"/>
            <charset val="134"/>
          </rPr>
          <t xml:space="preserve">勾+毛
</t>
        </r>
      </text>
    </comment>
    <comment ref="C374" authorId="0">
      <text>
        <r>
          <rPr>
            <b/>
            <sz val="9"/>
            <color indexed="81"/>
            <rFont val="宋体"/>
            <charset val="134"/>
          </rPr>
          <t xml:space="preserve">勾+毛
</t>
        </r>
      </text>
    </comment>
    <comment ref="C375" authorId="0">
      <text>
        <r>
          <rPr>
            <b/>
            <sz val="9"/>
            <color indexed="81"/>
            <rFont val="宋体"/>
            <charset val="134"/>
          </rPr>
          <t xml:space="preserve">勾+毛
</t>
        </r>
      </text>
    </comment>
    <comment ref="C376" authorId="0">
      <text>
        <r>
          <rPr>
            <b/>
            <sz val="9"/>
            <color indexed="81"/>
            <rFont val="宋体"/>
            <charset val="134"/>
          </rPr>
          <t xml:space="preserve">勾+毛
</t>
        </r>
      </text>
    </comment>
    <comment ref="C377" authorId="0">
      <text>
        <r>
          <rPr>
            <b/>
            <sz val="9"/>
            <color indexed="81"/>
            <rFont val="宋体"/>
            <charset val="134"/>
          </rPr>
          <t xml:space="preserve">勾+毛
</t>
        </r>
      </text>
    </comment>
    <comment ref="C378" authorId="0">
      <text>
        <r>
          <rPr>
            <b/>
            <sz val="9"/>
            <color indexed="81"/>
            <rFont val="宋体"/>
            <charset val="134"/>
          </rPr>
          <t xml:space="preserve">勾+毛
</t>
        </r>
      </text>
    </comment>
    <comment ref="C379" authorId="0">
      <text>
        <r>
          <rPr>
            <b/>
            <sz val="9"/>
            <color indexed="81"/>
            <rFont val="宋体"/>
            <charset val="134"/>
          </rPr>
          <t xml:space="preserve">勾+毛
</t>
        </r>
      </text>
    </comment>
    <comment ref="C380" authorId="0">
      <text>
        <r>
          <rPr>
            <b/>
            <sz val="9"/>
            <color indexed="81"/>
            <rFont val="宋体"/>
            <charset val="134"/>
          </rPr>
          <t xml:space="preserve">勾+毛
</t>
        </r>
      </text>
    </comment>
    <comment ref="E381"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2"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3"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4"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5"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6"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7"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8"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9"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90"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D39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B416" authorId="0">
      <text>
        <r>
          <rPr>
            <b/>
            <sz val="9"/>
            <color indexed="81"/>
            <rFont val="宋体"/>
            <charset val="134"/>
          </rPr>
          <t xml:space="preserve">疑似出貨100米
</t>
        </r>
      </text>
    </comment>
    <comment ref="D416" authorId="0">
      <text>
        <r>
          <rPr>
            <b/>
            <sz val="9"/>
            <color indexed="81"/>
            <rFont val="宋体"/>
            <charset val="134"/>
          </rPr>
          <t>定貨</t>
        </r>
        <r>
          <rPr>
            <b/>
            <sz val="9"/>
            <color indexed="81"/>
            <rFont val="Tahoma"/>
            <family val="2"/>
          </rPr>
          <t>50</t>
        </r>
        <r>
          <rPr>
            <b/>
            <sz val="9"/>
            <color indexed="81"/>
            <rFont val="宋体"/>
            <charset val="134"/>
          </rPr>
          <t>米
到貨</t>
        </r>
        <r>
          <rPr>
            <b/>
            <sz val="9"/>
            <color indexed="81"/>
            <rFont val="Tahoma"/>
            <family val="2"/>
          </rPr>
          <t>100</t>
        </r>
        <r>
          <rPr>
            <b/>
            <sz val="9"/>
            <color indexed="81"/>
            <rFont val="宋体"/>
            <charset val="134"/>
          </rPr>
          <t xml:space="preserve">米
</t>
        </r>
      </text>
    </comment>
    <comment ref="C436" authorId="0">
      <text>
        <r>
          <rPr>
            <b/>
            <sz val="9"/>
            <color indexed="81"/>
            <rFont val="宋体"/>
            <charset val="134"/>
          </rPr>
          <t>国标3*100宽2.5mm
国标3*150宽2.5mm
国标3*200宽2.5mm</t>
        </r>
      </text>
    </comment>
    <comment ref="C442" authorId="0">
      <text>
        <r>
          <rPr>
            <b/>
            <sz val="9"/>
            <color indexed="81"/>
            <rFont val="宋体"/>
            <charset val="134"/>
          </rPr>
          <t>国标3*100宽2.5mm
国标3*150宽2.5mm
国标3*200宽2.5mm</t>
        </r>
      </text>
    </comment>
    <comment ref="C450" authorId="0">
      <text>
        <r>
          <rPr>
            <b/>
            <sz val="9"/>
            <color indexed="81"/>
            <rFont val="宋体"/>
            <charset val="134"/>
          </rPr>
          <t>国标3*100宽2.5mm
国标3*150宽2.5mm
国标3*200宽2.5mm</t>
        </r>
      </text>
    </comment>
    <comment ref="C456" authorId="0">
      <text>
        <r>
          <rPr>
            <b/>
            <sz val="9"/>
            <color indexed="81"/>
            <rFont val="Tahoma"/>
            <family val="2"/>
          </rPr>
          <t>3*100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1000</t>
        </r>
        <r>
          <rPr>
            <b/>
            <sz val="9"/>
            <color indexed="81"/>
            <rFont val="宋体"/>
            <charset val="134"/>
          </rPr>
          <t>条</t>
        </r>
      </text>
    </comment>
    <comment ref="C457" authorId="0">
      <text>
        <r>
          <rPr>
            <b/>
            <sz val="9"/>
            <color indexed="81"/>
            <rFont val="Tahoma"/>
            <family val="2"/>
          </rPr>
          <t>3*200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500</t>
        </r>
        <r>
          <rPr>
            <b/>
            <sz val="9"/>
            <color indexed="81"/>
            <rFont val="宋体"/>
            <charset val="134"/>
          </rPr>
          <t>条</t>
        </r>
      </text>
    </comment>
    <comment ref="C458" authorId="0">
      <text>
        <r>
          <rPr>
            <b/>
            <sz val="9"/>
            <color indexed="81"/>
            <rFont val="Tahoma"/>
            <family val="2"/>
          </rPr>
          <t>4*300</t>
        </r>
        <r>
          <rPr>
            <b/>
            <sz val="9"/>
            <color indexed="81"/>
            <rFont val="宋体"/>
            <charset val="134"/>
          </rPr>
          <t>国标</t>
        </r>
        <r>
          <rPr>
            <b/>
            <sz val="9"/>
            <color indexed="81"/>
            <rFont val="Tahoma"/>
            <family val="2"/>
          </rPr>
          <t>3.6mm</t>
        </r>
        <r>
          <rPr>
            <b/>
            <sz val="9"/>
            <color indexed="81"/>
            <rFont val="宋体"/>
            <charset val="134"/>
          </rPr>
          <t>宽</t>
        </r>
        <r>
          <rPr>
            <b/>
            <sz val="9"/>
            <color indexed="81"/>
            <rFont val="Tahoma"/>
            <family val="2"/>
          </rPr>
          <t>250</t>
        </r>
        <r>
          <rPr>
            <b/>
            <sz val="9"/>
            <color indexed="81"/>
            <rFont val="宋体"/>
            <charset val="134"/>
          </rPr>
          <t>条
定</t>
        </r>
        <r>
          <rPr>
            <b/>
            <sz val="9"/>
            <color indexed="81"/>
            <rFont val="Tahoma"/>
            <family val="2"/>
          </rPr>
          <t xml:space="preserve">4*300mm
</t>
        </r>
        <r>
          <rPr>
            <b/>
            <sz val="9"/>
            <color indexed="81"/>
            <rFont val="宋体"/>
            <charset val="134"/>
          </rPr>
          <t>工廠出錯</t>
        </r>
        <r>
          <rPr>
            <b/>
            <sz val="9"/>
            <color indexed="81"/>
            <rFont val="Tahoma"/>
            <family val="2"/>
          </rPr>
          <t>4*250</t>
        </r>
      </text>
    </comment>
    <comment ref="B459" authorId="0">
      <text>
        <r>
          <rPr>
            <b/>
            <sz val="9"/>
            <color indexed="81"/>
            <rFont val="Tahoma"/>
            <family val="2"/>
          </rPr>
          <t>330g/10pcs</t>
        </r>
      </text>
    </comment>
    <comment ref="D464"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 xml:space="preserve">25
</t>
        </r>
      </text>
    </comment>
    <comment ref="D465"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23</t>
        </r>
      </text>
    </comment>
    <comment ref="D466" authorId="0">
      <text>
        <r>
          <rPr>
            <b/>
            <sz val="9"/>
            <color indexed="81"/>
            <rFont val="宋体"/>
            <charset val="134"/>
          </rPr>
          <t>定</t>
        </r>
        <r>
          <rPr>
            <b/>
            <sz val="9"/>
            <color indexed="81"/>
            <rFont val="Tahoma"/>
            <family val="2"/>
          </rPr>
          <t>15</t>
        </r>
        <r>
          <rPr>
            <b/>
            <sz val="9"/>
            <color indexed="81"/>
            <rFont val="宋体"/>
            <charset val="134"/>
          </rPr>
          <t>出</t>
        </r>
        <r>
          <rPr>
            <b/>
            <sz val="9"/>
            <color indexed="81"/>
            <rFont val="Tahoma"/>
            <family val="2"/>
          </rPr>
          <t xml:space="preserve">22
</t>
        </r>
      </text>
    </comment>
    <comment ref="C467"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D467"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E467"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68"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69"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0"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1"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2"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3"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4"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D498" authorId="0">
      <text>
        <r>
          <rPr>
            <b/>
            <sz val="9"/>
            <color indexed="81"/>
            <rFont val="宋体"/>
            <charset val="134"/>
          </rPr>
          <t>到貨</t>
        </r>
        <r>
          <rPr>
            <b/>
            <sz val="9"/>
            <color indexed="81"/>
            <rFont val="Tahoma"/>
            <family val="2"/>
          </rPr>
          <t>52</t>
        </r>
        <r>
          <rPr>
            <b/>
            <sz val="9"/>
            <color indexed="81"/>
            <rFont val="宋体"/>
            <charset val="134"/>
          </rPr>
          <t>個多</t>
        </r>
        <r>
          <rPr>
            <b/>
            <sz val="9"/>
            <color indexed="81"/>
            <rFont val="Tahoma"/>
            <family val="2"/>
          </rPr>
          <t>2</t>
        </r>
        <r>
          <rPr>
            <b/>
            <sz val="9"/>
            <color indexed="81"/>
            <rFont val="宋体"/>
            <charset val="134"/>
          </rPr>
          <t>個</t>
        </r>
      </text>
    </comment>
    <comment ref="C614" authorId="0">
      <text>
        <r>
          <rPr>
            <b/>
            <sz val="9"/>
            <color indexed="81"/>
            <rFont val="Tahoma"/>
            <family val="2"/>
          </rPr>
          <t>5</t>
        </r>
        <r>
          <rPr>
            <b/>
            <sz val="9"/>
            <color indexed="81"/>
            <rFont val="宋体"/>
            <charset val="134"/>
          </rPr>
          <t xml:space="preserve">件套裝分拆
</t>
        </r>
      </text>
    </comment>
    <comment ref="E614"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C615" authorId="0">
      <text>
        <r>
          <rPr>
            <b/>
            <sz val="9"/>
            <color indexed="81"/>
            <rFont val="Tahoma"/>
            <family val="2"/>
          </rPr>
          <t>5</t>
        </r>
        <r>
          <rPr>
            <b/>
            <sz val="9"/>
            <color indexed="81"/>
            <rFont val="宋体"/>
            <charset val="134"/>
          </rPr>
          <t xml:space="preserve">件套裝分拆
</t>
        </r>
      </text>
    </comment>
    <comment ref="E615"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C616" authorId="0">
      <text>
        <r>
          <rPr>
            <b/>
            <sz val="9"/>
            <color indexed="81"/>
            <rFont val="Tahoma"/>
            <family val="2"/>
          </rPr>
          <t>5</t>
        </r>
        <r>
          <rPr>
            <b/>
            <sz val="9"/>
            <color indexed="81"/>
            <rFont val="宋体"/>
            <charset val="134"/>
          </rPr>
          <t xml:space="preserve">件套裝分拆
</t>
        </r>
      </text>
    </comment>
    <comment ref="E616"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E649"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0"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1"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2"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3"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4"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B663" authorId="0">
      <text>
        <r>
          <rPr>
            <b/>
            <sz val="9"/>
            <color indexed="81"/>
            <rFont val="宋体"/>
            <charset val="134"/>
          </rPr>
          <t>自封袋</t>
        </r>
        <r>
          <rPr>
            <b/>
            <sz val="9"/>
            <color indexed="81"/>
            <rFont val="Tahoma"/>
            <family val="2"/>
          </rPr>
          <t>:8*12cm-1g
4.5g/10pcs</t>
        </r>
      </text>
    </comment>
    <comment ref="B672" authorId="0">
      <text>
        <r>
          <rPr>
            <b/>
            <sz val="9"/>
            <color indexed="81"/>
            <rFont val="Tahoma"/>
            <family val="2"/>
          </rPr>
          <t>13g/10pcs</t>
        </r>
      </text>
    </comment>
    <comment ref="B675" authorId="0">
      <text>
        <r>
          <rPr>
            <b/>
            <sz val="9"/>
            <color indexed="81"/>
            <rFont val="Tahoma"/>
            <family val="2"/>
          </rPr>
          <t>6.4g/10pcs</t>
        </r>
      </text>
    </comment>
    <comment ref="C724" authorId="0">
      <text>
        <r>
          <rPr>
            <b/>
            <sz val="9"/>
            <color indexed="81"/>
            <rFont val="宋体"/>
            <charset val="134"/>
          </rPr>
          <t>出成迷你型</t>
        </r>
      </text>
    </comment>
    <comment ref="C765"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 ref="C766"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 ref="D790" authorId="0">
      <text>
        <r>
          <rPr>
            <b/>
            <sz val="9"/>
            <color indexed="81"/>
            <rFont val="宋体"/>
            <charset val="134"/>
          </rPr>
          <t>到</t>
        </r>
        <r>
          <rPr>
            <b/>
            <sz val="9"/>
            <color indexed="81"/>
            <rFont val="Tahoma"/>
            <family val="2"/>
          </rPr>
          <t>99</t>
        </r>
        <r>
          <rPr>
            <b/>
            <sz val="9"/>
            <color indexed="81"/>
            <rFont val="宋体"/>
            <charset val="134"/>
          </rPr>
          <t>個</t>
        </r>
      </text>
    </comment>
    <comment ref="C800" authorId="0">
      <text>
        <r>
          <rPr>
            <b/>
            <sz val="9"/>
            <color indexed="81"/>
            <rFont val="宋体"/>
            <charset val="134"/>
          </rPr>
          <t>下單黑色
出成黃色</t>
        </r>
      </text>
    </comment>
    <comment ref="D801" authorId="0">
      <text>
        <r>
          <rPr>
            <b/>
            <sz val="9"/>
            <color indexed="81"/>
            <rFont val="宋体"/>
            <charset val="134"/>
          </rPr>
          <t>出</t>
        </r>
        <r>
          <rPr>
            <b/>
            <sz val="9"/>
            <color indexed="81"/>
            <rFont val="Tahoma"/>
            <family val="2"/>
          </rPr>
          <t>53</t>
        </r>
        <r>
          <rPr>
            <b/>
            <sz val="9"/>
            <color indexed="81"/>
            <rFont val="宋体"/>
            <charset val="134"/>
          </rPr>
          <t>個</t>
        </r>
      </text>
    </comment>
    <comment ref="B809" authorId="0">
      <text>
        <r>
          <rPr>
            <b/>
            <sz val="9"/>
            <color indexed="81"/>
            <rFont val="宋体"/>
            <charset val="134"/>
          </rPr>
          <t>塑膠袋</t>
        </r>
        <r>
          <rPr>
            <b/>
            <sz val="9"/>
            <color indexed="81"/>
            <rFont val="Tahoma"/>
            <family val="2"/>
          </rPr>
          <t>:2.7g</t>
        </r>
      </text>
    </comment>
    <comment ref="D809" authorId="0">
      <text>
        <r>
          <rPr>
            <b/>
            <sz val="9"/>
            <color indexed="81"/>
            <rFont val="Tahoma"/>
            <family val="2"/>
          </rPr>
          <t>387g/1.54g</t>
        </r>
      </text>
    </comment>
    <comment ref="B810" authorId="0">
      <text>
        <r>
          <rPr>
            <b/>
            <sz val="9"/>
            <color indexed="81"/>
            <rFont val="宋体"/>
            <charset val="134"/>
          </rPr>
          <t>塑膠袋</t>
        </r>
        <r>
          <rPr>
            <b/>
            <sz val="9"/>
            <color indexed="81"/>
            <rFont val="Tahoma"/>
            <family val="2"/>
          </rPr>
          <t>:2.7g</t>
        </r>
      </text>
    </comment>
    <comment ref="D810" authorId="0">
      <text>
        <r>
          <rPr>
            <b/>
            <sz val="9"/>
            <color indexed="81"/>
            <rFont val="Tahoma"/>
            <family val="2"/>
          </rPr>
          <t>381.6g/1.52g</t>
        </r>
      </text>
    </comment>
    <comment ref="A815" authorId="0">
      <text>
        <r>
          <rPr>
            <b/>
            <sz val="9"/>
            <color indexed="81"/>
            <rFont val="宋体"/>
            <family val="3"/>
            <charset val="134"/>
          </rPr>
          <t>原高級款
因重覆錯編</t>
        </r>
        <r>
          <rPr>
            <b/>
            <sz val="9"/>
            <color indexed="81"/>
            <rFont val="Tahoma"/>
            <family val="2"/>
          </rPr>
          <t xml:space="preserve">:322.06
</t>
        </r>
        <r>
          <rPr>
            <b/>
            <sz val="9"/>
            <color indexed="81"/>
            <rFont val="宋体"/>
            <family val="3"/>
            <charset val="134"/>
          </rPr>
          <t>合併為</t>
        </r>
        <r>
          <rPr>
            <b/>
            <sz val="9"/>
            <color indexed="81"/>
            <rFont val="Tahoma"/>
            <family val="2"/>
          </rPr>
          <t>:322.05</t>
        </r>
      </text>
    </comment>
    <comment ref="B818" authorId="0">
      <text>
        <r>
          <rPr>
            <b/>
            <sz val="9"/>
            <color indexed="81"/>
            <rFont val="宋体"/>
            <charset val="134"/>
          </rPr>
          <t>紙卡</t>
        </r>
        <r>
          <rPr>
            <b/>
            <sz val="9"/>
            <color indexed="81"/>
            <rFont val="Tahoma"/>
            <family val="2"/>
          </rPr>
          <t xml:space="preserve">4.2g
</t>
        </r>
      </text>
    </comment>
    <comment ref="B832" authorId="0">
      <text>
        <r>
          <rPr>
            <b/>
            <sz val="9"/>
            <color indexed="81"/>
            <rFont val="宋体"/>
            <charset val="134"/>
          </rPr>
          <t>塑膠袋</t>
        </r>
        <r>
          <rPr>
            <b/>
            <sz val="9"/>
            <color indexed="81"/>
            <rFont val="Tahoma"/>
            <family val="2"/>
          </rPr>
          <t>:2.7g</t>
        </r>
      </text>
    </comment>
    <comment ref="B833" authorId="0">
      <text>
        <r>
          <rPr>
            <b/>
            <sz val="9"/>
            <color indexed="81"/>
            <rFont val="宋体"/>
            <charset val="134"/>
          </rPr>
          <t>塑膠袋</t>
        </r>
        <r>
          <rPr>
            <b/>
            <sz val="9"/>
            <color indexed="81"/>
            <rFont val="Tahoma"/>
            <family val="2"/>
          </rPr>
          <t>:2.7g</t>
        </r>
      </text>
    </comment>
    <comment ref="D846" authorId="0">
      <text>
        <r>
          <rPr>
            <b/>
            <sz val="9"/>
            <color indexed="81"/>
            <rFont val="宋体"/>
            <charset val="134"/>
          </rPr>
          <t>出</t>
        </r>
        <r>
          <rPr>
            <b/>
            <sz val="9"/>
            <color indexed="81"/>
            <rFont val="Tahoma"/>
            <family val="2"/>
          </rPr>
          <t>11</t>
        </r>
        <r>
          <rPr>
            <b/>
            <sz val="9"/>
            <color indexed="81"/>
            <rFont val="宋体"/>
            <charset val="134"/>
          </rPr>
          <t>條</t>
        </r>
      </text>
    </comment>
    <comment ref="B889" authorId="0">
      <text>
        <r>
          <rPr>
            <b/>
            <sz val="9"/>
            <color indexed="81"/>
            <rFont val="宋体"/>
            <charset val="134"/>
          </rPr>
          <t>塑膠袋</t>
        </r>
        <r>
          <rPr>
            <b/>
            <sz val="9"/>
            <color indexed="81"/>
            <rFont val="Tahoma"/>
            <family val="2"/>
          </rPr>
          <t>:2.7g</t>
        </r>
      </text>
    </comment>
    <comment ref="B892" authorId="0">
      <text>
        <r>
          <rPr>
            <b/>
            <sz val="9"/>
            <color indexed="81"/>
            <rFont val="宋体"/>
            <charset val="134"/>
          </rPr>
          <t>塑膠袋</t>
        </r>
        <r>
          <rPr>
            <b/>
            <sz val="9"/>
            <color indexed="81"/>
            <rFont val="Tahoma"/>
            <family val="2"/>
          </rPr>
          <t>:2.7g</t>
        </r>
      </text>
    </comment>
    <comment ref="D914" authorId="0">
      <text>
        <r>
          <rPr>
            <b/>
            <sz val="9"/>
            <color indexed="81"/>
            <rFont val="宋体"/>
            <charset val="134"/>
          </rPr>
          <t>原定</t>
        </r>
        <r>
          <rPr>
            <b/>
            <sz val="9"/>
            <color indexed="81"/>
            <rFont val="Tahoma"/>
            <family val="2"/>
          </rPr>
          <t>20x4</t>
        </r>
        <r>
          <rPr>
            <b/>
            <sz val="9"/>
            <color indexed="81"/>
            <rFont val="宋体"/>
            <charset val="134"/>
          </rPr>
          <t>元
左右</t>
        </r>
        <r>
          <rPr>
            <b/>
            <sz val="9"/>
            <color indexed="81"/>
            <rFont val="Tahoma"/>
            <family val="2"/>
          </rPr>
          <t>5</t>
        </r>
        <r>
          <rPr>
            <b/>
            <sz val="9"/>
            <color indexed="81"/>
            <rFont val="宋体"/>
            <charset val="134"/>
          </rPr>
          <t xml:space="preserve">孔款
出貨被換為
</t>
        </r>
        <r>
          <rPr>
            <b/>
            <sz val="9"/>
            <color indexed="81"/>
            <rFont val="Tahoma"/>
            <family val="2"/>
          </rPr>
          <t>3.5</t>
        </r>
        <r>
          <rPr>
            <b/>
            <sz val="9"/>
            <color indexed="81"/>
            <rFont val="宋体"/>
            <charset val="134"/>
          </rPr>
          <t>元皮紋款</t>
        </r>
      </text>
    </comment>
    <comment ref="C919" authorId="0">
      <text>
        <r>
          <rPr>
            <b/>
            <sz val="9"/>
            <color indexed="81"/>
            <rFont val="宋体"/>
            <charset val="134"/>
          </rPr>
          <t>原定
SONY環光鼠標(裸機)x20
-&gt;仿萍果白鼠標(裸機)x19</t>
        </r>
      </text>
    </comment>
    <comment ref="C920" authorId="0">
      <text>
        <r>
          <rPr>
            <b/>
            <sz val="9"/>
            <color indexed="81"/>
            <rFont val="Tahoma"/>
            <family val="2"/>
          </rPr>
          <t>2</t>
        </r>
        <r>
          <rPr>
            <b/>
            <sz val="9"/>
            <color indexed="81"/>
            <rFont val="宋体"/>
            <charset val="134"/>
          </rPr>
          <t>個左鍵按下卡住</t>
        </r>
        <r>
          <rPr>
            <b/>
            <sz val="9"/>
            <color indexed="81"/>
            <rFont val="Tahoma"/>
            <family val="2"/>
          </rPr>
          <t>-</t>
        </r>
        <r>
          <rPr>
            <b/>
            <sz val="9"/>
            <color indexed="81"/>
            <rFont val="宋体"/>
            <charset val="134"/>
          </rPr>
          <t>老板自上門換</t>
        </r>
        <r>
          <rPr>
            <b/>
            <sz val="9"/>
            <color indexed="81"/>
            <rFont val="Tahoma"/>
            <family val="2"/>
          </rPr>
          <t>-</t>
        </r>
        <r>
          <rPr>
            <b/>
            <sz val="9"/>
            <color indexed="81"/>
            <rFont val="宋体"/>
            <charset val="134"/>
          </rPr>
          <t>其中</t>
        </r>
        <r>
          <rPr>
            <b/>
            <sz val="9"/>
            <color indexed="81"/>
            <rFont val="Tahoma"/>
            <family val="2"/>
          </rPr>
          <t>1</t>
        </r>
        <r>
          <rPr>
            <b/>
            <sz val="9"/>
            <color indexed="81"/>
            <rFont val="宋体"/>
            <charset val="134"/>
          </rPr>
          <t>個仍卡住</t>
        </r>
      </text>
    </comment>
    <comment ref="D927" authorId="0">
      <text>
        <r>
          <rPr>
            <b/>
            <sz val="9"/>
            <color indexed="81"/>
            <rFont val="宋体"/>
            <charset val="134"/>
          </rPr>
          <t>定</t>
        </r>
        <r>
          <rPr>
            <b/>
            <sz val="9"/>
            <color indexed="81"/>
            <rFont val="Tahoma"/>
            <family val="2"/>
          </rPr>
          <t>3</t>
        </r>
        <r>
          <rPr>
            <b/>
            <sz val="9"/>
            <color indexed="81"/>
            <rFont val="宋体"/>
            <charset val="134"/>
          </rPr>
          <t>收</t>
        </r>
        <r>
          <rPr>
            <b/>
            <sz val="9"/>
            <color indexed="81"/>
            <rFont val="Tahoma"/>
            <family val="2"/>
          </rPr>
          <t>5</t>
        </r>
      </text>
    </comment>
    <comment ref="B943" authorId="0">
      <text>
        <r>
          <rPr>
            <b/>
            <sz val="9"/>
            <color indexed="81"/>
            <rFont val="宋体"/>
            <charset val="134"/>
          </rPr>
          <t>紙卡</t>
        </r>
        <r>
          <rPr>
            <b/>
            <sz val="9"/>
            <color indexed="81"/>
            <rFont val="Tahoma"/>
            <family val="2"/>
          </rPr>
          <t>6.6g</t>
        </r>
      </text>
    </comment>
    <comment ref="B1039"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B1040"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B1041" authorId="0">
      <text>
        <r>
          <rPr>
            <b/>
            <sz val="9"/>
            <color indexed="81"/>
            <rFont val="宋体"/>
            <charset val="134"/>
          </rPr>
          <t>紙卡包裝</t>
        </r>
        <r>
          <rPr>
            <b/>
            <sz val="9"/>
            <color indexed="81"/>
            <rFont val="Tahoma"/>
            <family val="2"/>
          </rPr>
          <t xml:space="preserve">:7g
</t>
        </r>
      </text>
    </comment>
    <comment ref="B1042" authorId="0">
      <text>
        <r>
          <rPr>
            <b/>
            <sz val="9"/>
            <color indexed="81"/>
            <rFont val="宋体"/>
            <charset val="134"/>
          </rPr>
          <t>紙卡包裝</t>
        </r>
        <r>
          <rPr>
            <b/>
            <sz val="9"/>
            <color indexed="81"/>
            <rFont val="Tahoma"/>
            <family val="2"/>
          </rPr>
          <t xml:space="preserve">:7g
</t>
        </r>
      </text>
    </comment>
    <comment ref="B1043" authorId="0">
      <text>
        <r>
          <rPr>
            <b/>
            <sz val="9"/>
            <color indexed="81"/>
            <rFont val="宋体"/>
            <charset val="134"/>
          </rPr>
          <t>紙卡包裝</t>
        </r>
        <r>
          <rPr>
            <b/>
            <sz val="9"/>
            <color indexed="81"/>
            <rFont val="Tahoma"/>
            <family val="2"/>
          </rPr>
          <t xml:space="preserve">:7g
</t>
        </r>
      </text>
    </comment>
    <comment ref="B1044" authorId="0">
      <text>
        <r>
          <rPr>
            <b/>
            <sz val="9"/>
            <color indexed="81"/>
            <rFont val="宋体"/>
            <charset val="134"/>
          </rPr>
          <t>紙卡包裝</t>
        </r>
        <r>
          <rPr>
            <b/>
            <sz val="9"/>
            <color indexed="81"/>
            <rFont val="Tahoma"/>
            <family val="2"/>
          </rPr>
          <t xml:space="preserve">:7g
</t>
        </r>
      </text>
    </comment>
    <comment ref="B1045" authorId="0">
      <text>
        <r>
          <rPr>
            <b/>
            <sz val="9"/>
            <color indexed="81"/>
            <rFont val="宋体"/>
            <charset val="134"/>
          </rPr>
          <t>紙卡包裝</t>
        </r>
        <r>
          <rPr>
            <b/>
            <sz val="9"/>
            <color indexed="81"/>
            <rFont val="Tahoma"/>
            <family val="2"/>
          </rPr>
          <t xml:space="preserve">:7g
</t>
        </r>
      </text>
    </comment>
    <comment ref="B1046" authorId="0">
      <text>
        <r>
          <rPr>
            <b/>
            <sz val="9"/>
            <color indexed="81"/>
            <rFont val="宋体"/>
            <charset val="134"/>
          </rPr>
          <t>紙卡包裝</t>
        </r>
        <r>
          <rPr>
            <b/>
            <sz val="9"/>
            <color indexed="81"/>
            <rFont val="Tahoma"/>
            <family val="2"/>
          </rPr>
          <t xml:space="preserve">:7g
</t>
        </r>
      </text>
    </comment>
    <comment ref="B1047" authorId="0">
      <text>
        <r>
          <rPr>
            <b/>
            <sz val="9"/>
            <color indexed="81"/>
            <rFont val="宋体"/>
            <charset val="134"/>
          </rPr>
          <t>紙卡包裝</t>
        </r>
        <r>
          <rPr>
            <b/>
            <sz val="9"/>
            <color indexed="81"/>
            <rFont val="Tahoma"/>
            <family val="2"/>
          </rPr>
          <t xml:space="preserve">:7g
</t>
        </r>
      </text>
    </comment>
    <comment ref="B1048" authorId="0">
      <text>
        <r>
          <rPr>
            <b/>
            <sz val="9"/>
            <color indexed="81"/>
            <rFont val="宋体"/>
            <charset val="134"/>
          </rPr>
          <t>紙卡包裝</t>
        </r>
        <r>
          <rPr>
            <b/>
            <sz val="9"/>
            <color indexed="81"/>
            <rFont val="Tahoma"/>
            <family val="2"/>
          </rPr>
          <t xml:space="preserve">:7g
</t>
        </r>
      </text>
    </comment>
    <comment ref="D1057" authorId="0">
      <text>
        <r>
          <rPr>
            <b/>
            <sz val="9"/>
            <color indexed="81"/>
            <rFont val="宋体"/>
            <charset val="134"/>
          </rPr>
          <t>收</t>
        </r>
        <r>
          <rPr>
            <b/>
            <sz val="9"/>
            <color indexed="81"/>
            <rFont val="Tahoma"/>
            <family val="2"/>
          </rPr>
          <t>6</t>
        </r>
        <r>
          <rPr>
            <b/>
            <sz val="9"/>
            <color indexed="81"/>
            <rFont val="宋体"/>
            <charset val="134"/>
          </rPr>
          <t>根留</t>
        </r>
        <r>
          <rPr>
            <b/>
            <sz val="9"/>
            <color indexed="81"/>
            <rFont val="Tahoma"/>
            <family val="2"/>
          </rPr>
          <t>1</t>
        </r>
        <r>
          <rPr>
            <b/>
            <sz val="9"/>
            <color indexed="81"/>
            <rFont val="宋体"/>
            <charset val="134"/>
          </rPr>
          <t>根</t>
        </r>
      </text>
    </comment>
    <comment ref="D1058" authorId="0">
      <text>
        <r>
          <rPr>
            <b/>
            <sz val="9"/>
            <color indexed="81"/>
            <rFont val="宋体"/>
            <charset val="134"/>
          </rPr>
          <t>收</t>
        </r>
        <r>
          <rPr>
            <b/>
            <sz val="9"/>
            <color indexed="81"/>
            <rFont val="Tahoma"/>
            <family val="2"/>
          </rPr>
          <t>6</t>
        </r>
        <r>
          <rPr>
            <b/>
            <sz val="9"/>
            <color indexed="81"/>
            <rFont val="宋体"/>
            <charset val="134"/>
          </rPr>
          <t>條留</t>
        </r>
        <r>
          <rPr>
            <b/>
            <sz val="9"/>
            <color indexed="81"/>
            <rFont val="Tahoma"/>
            <family val="2"/>
          </rPr>
          <t>1</t>
        </r>
        <r>
          <rPr>
            <b/>
            <sz val="9"/>
            <color indexed="81"/>
            <rFont val="宋体"/>
            <charset val="134"/>
          </rPr>
          <t>條</t>
        </r>
      </text>
    </comment>
    <comment ref="B1065" authorId="0">
      <text>
        <r>
          <rPr>
            <b/>
            <sz val="9"/>
            <color indexed="81"/>
            <rFont val="宋体"/>
            <charset val="134"/>
          </rPr>
          <t>總重</t>
        </r>
        <r>
          <rPr>
            <b/>
            <sz val="9"/>
            <color indexed="81"/>
            <rFont val="Tahoma"/>
            <family val="2"/>
          </rPr>
          <t xml:space="preserve">: 140.8g
</t>
        </r>
        <r>
          <rPr>
            <b/>
            <sz val="9"/>
            <color indexed="81"/>
            <rFont val="宋体"/>
            <charset val="134"/>
          </rPr>
          <t>空盒</t>
        </r>
        <r>
          <rPr>
            <b/>
            <sz val="9"/>
            <color indexed="81"/>
            <rFont val="Tahoma"/>
            <family val="2"/>
          </rPr>
          <t>: 35.4g</t>
        </r>
      </text>
    </comment>
    <comment ref="E1066" authorId="0">
      <text>
        <r>
          <rPr>
            <b/>
            <sz val="9"/>
            <color indexed="81"/>
            <rFont val="Tahoma"/>
            <family val="2"/>
          </rPr>
          <t xml:space="preserve">1.8 - </t>
        </r>
        <r>
          <rPr>
            <b/>
            <sz val="9"/>
            <color indexed="81"/>
            <rFont val="宋体"/>
            <charset val="134"/>
          </rPr>
          <t>彩卡</t>
        </r>
        <r>
          <rPr>
            <b/>
            <sz val="9"/>
            <color indexed="81"/>
            <rFont val="Tahoma"/>
            <family val="2"/>
          </rPr>
          <t xml:space="preserve"> 0.03</t>
        </r>
      </text>
    </comment>
    <comment ref="A1124" authorId="0">
      <text>
        <r>
          <rPr>
            <b/>
            <sz val="9"/>
            <color indexed="81"/>
            <rFont val="宋体"/>
            <charset val="134"/>
          </rPr>
          <t xml:space="preserve">錯誤編號為
</t>
        </r>
        <r>
          <rPr>
            <b/>
            <sz val="9"/>
            <color indexed="81"/>
            <rFont val="Tahoma"/>
            <family val="2"/>
          </rPr>
          <t>501.xx</t>
        </r>
      </text>
    </comment>
    <comment ref="A1125" authorId="0">
      <text>
        <r>
          <rPr>
            <b/>
            <sz val="9"/>
            <color indexed="81"/>
            <rFont val="宋体"/>
            <charset val="134"/>
          </rPr>
          <t xml:space="preserve">錯誤編號為
</t>
        </r>
        <r>
          <rPr>
            <b/>
            <sz val="9"/>
            <color indexed="81"/>
            <rFont val="Tahoma"/>
            <family val="2"/>
          </rPr>
          <t>501.xx</t>
        </r>
      </text>
    </comment>
    <comment ref="A1126" authorId="0">
      <text>
        <r>
          <rPr>
            <b/>
            <sz val="9"/>
            <color indexed="81"/>
            <rFont val="宋体"/>
            <charset val="134"/>
          </rPr>
          <t xml:space="preserve">錯誤編號為
</t>
        </r>
        <r>
          <rPr>
            <b/>
            <sz val="9"/>
            <color indexed="81"/>
            <rFont val="Tahoma"/>
            <family val="2"/>
          </rPr>
          <t>501.xx</t>
        </r>
      </text>
    </comment>
    <comment ref="A1127" authorId="0">
      <text>
        <r>
          <rPr>
            <b/>
            <sz val="9"/>
            <color indexed="81"/>
            <rFont val="宋体"/>
            <charset val="134"/>
          </rPr>
          <t xml:space="preserve">錯誤編號為
</t>
        </r>
        <r>
          <rPr>
            <b/>
            <sz val="9"/>
            <color indexed="81"/>
            <rFont val="Tahoma"/>
            <family val="2"/>
          </rPr>
          <t>501.xx</t>
        </r>
      </text>
    </comment>
    <comment ref="A1128" authorId="0">
      <text>
        <r>
          <rPr>
            <b/>
            <sz val="9"/>
            <color indexed="81"/>
            <rFont val="宋体"/>
            <charset val="134"/>
          </rPr>
          <t xml:space="preserve">錯誤編號為
</t>
        </r>
        <r>
          <rPr>
            <b/>
            <sz val="9"/>
            <color indexed="81"/>
            <rFont val="Tahoma"/>
            <family val="2"/>
          </rPr>
          <t>501.xx</t>
        </r>
      </text>
    </comment>
    <comment ref="A1129" authorId="0">
      <text>
        <r>
          <rPr>
            <b/>
            <sz val="9"/>
            <color indexed="81"/>
            <rFont val="宋体"/>
            <charset val="134"/>
          </rPr>
          <t xml:space="preserve">錯誤編號為
</t>
        </r>
        <r>
          <rPr>
            <b/>
            <sz val="9"/>
            <color indexed="81"/>
            <rFont val="Tahoma"/>
            <family val="2"/>
          </rPr>
          <t>501.xx</t>
        </r>
      </text>
    </comment>
    <comment ref="A1130" authorId="0">
      <text>
        <r>
          <rPr>
            <b/>
            <sz val="9"/>
            <color indexed="81"/>
            <rFont val="宋体"/>
            <charset val="134"/>
          </rPr>
          <t xml:space="preserve">錯誤編號為
</t>
        </r>
        <r>
          <rPr>
            <b/>
            <sz val="9"/>
            <color indexed="81"/>
            <rFont val="Tahoma"/>
            <family val="2"/>
          </rPr>
          <t>501.xx</t>
        </r>
      </text>
    </comment>
    <comment ref="A1131" authorId="0">
      <text>
        <r>
          <rPr>
            <b/>
            <sz val="9"/>
            <color indexed="81"/>
            <rFont val="宋体"/>
            <charset val="134"/>
          </rPr>
          <t xml:space="preserve">錯誤編號為
</t>
        </r>
        <r>
          <rPr>
            <b/>
            <sz val="9"/>
            <color indexed="81"/>
            <rFont val="Tahoma"/>
            <family val="2"/>
          </rPr>
          <t>501.xx</t>
        </r>
      </text>
    </comment>
    <comment ref="A1132" authorId="0">
      <text>
        <r>
          <rPr>
            <b/>
            <sz val="9"/>
            <color indexed="81"/>
            <rFont val="宋体"/>
            <charset val="134"/>
          </rPr>
          <t xml:space="preserve">錯誤編號為
</t>
        </r>
        <r>
          <rPr>
            <b/>
            <sz val="9"/>
            <color indexed="81"/>
            <rFont val="Tahoma"/>
            <family val="2"/>
          </rPr>
          <t>501.xx</t>
        </r>
      </text>
    </comment>
    <comment ref="A1133" authorId="0">
      <text>
        <r>
          <rPr>
            <b/>
            <sz val="9"/>
            <color indexed="81"/>
            <rFont val="宋体"/>
            <charset val="134"/>
          </rPr>
          <t xml:space="preserve">錯誤編號為
</t>
        </r>
        <r>
          <rPr>
            <b/>
            <sz val="9"/>
            <color indexed="81"/>
            <rFont val="Tahoma"/>
            <family val="2"/>
          </rPr>
          <t>501.xx</t>
        </r>
      </text>
    </comment>
    <comment ref="C1175" authorId="0">
      <text>
        <r>
          <rPr>
            <b/>
            <sz val="9"/>
            <color indexed="81"/>
            <rFont val="宋体"/>
            <charset val="134"/>
          </rPr>
          <t>定</t>
        </r>
        <r>
          <rPr>
            <b/>
            <sz val="9"/>
            <color indexed="81"/>
            <rFont val="Tahoma"/>
            <family val="2"/>
          </rPr>
          <t>3</t>
        </r>
        <r>
          <rPr>
            <b/>
            <sz val="9"/>
            <color indexed="81"/>
            <rFont val="宋体"/>
            <charset val="134"/>
          </rPr>
          <t>個,收到</t>
        </r>
        <r>
          <rPr>
            <b/>
            <sz val="9"/>
            <color indexed="81"/>
            <rFont val="Tahoma"/>
            <family val="2"/>
          </rPr>
          <t>2</t>
        </r>
        <r>
          <rPr>
            <b/>
            <sz val="9"/>
            <color indexed="81"/>
            <rFont val="宋体"/>
            <charset val="134"/>
          </rPr>
          <t>個</t>
        </r>
      </text>
    </comment>
    <comment ref="D1188" authorId="0">
      <text>
        <r>
          <rPr>
            <b/>
            <sz val="9"/>
            <color indexed="81"/>
            <rFont val="宋体"/>
            <charset val="134"/>
          </rPr>
          <t>收</t>
        </r>
        <r>
          <rPr>
            <b/>
            <sz val="9"/>
            <color indexed="81"/>
            <rFont val="Tahoma"/>
            <family val="2"/>
          </rPr>
          <t>10</t>
        </r>
        <r>
          <rPr>
            <b/>
            <sz val="9"/>
            <color indexed="81"/>
            <rFont val="宋体"/>
            <charset val="134"/>
          </rPr>
          <t>把留</t>
        </r>
        <r>
          <rPr>
            <b/>
            <sz val="9"/>
            <color indexed="81"/>
            <rFont val="Tahoma"/>
            <family val="2"/>
          </rPr>
          <t>1</t>
        </r>
        <r>
          <rPr>
            <b/>
            <sz val="9"/>
            <color indexed="81"/>
            <rFont val="宋体"/>
            <charset val="134"/>
          </rPr>
          <t>把出</t>
        </r>
        <r>
          <rPr>
            <b/>
            <sz val="9"/>
            <color indexed="81"/>
            <rFont val="Tahoma"/>
            <family val="2"/>
          </rPr>
          <t>9</t>
        </r>
        <r>
          <rPr>
            <b/>
            <sz val="9"/>
            <color indexed="81"/>
            <rFont val="宋体"/>
            <charset val="134"/>
          </rPr>
          <t>把</t>
        </r>
      </text>
    </comment>
    <comment ref="D1189" authorId="0">
      <text>
        <r>
          <rPr>
            <b/>
            <sz val="9"/>
            <color indexed="81"/>
            <rFont val="宋体"/>
            <charset val="134"/>
          </rPr>
          <t>定平3尖3
收平6</t>
        </r>
      </text>
    </comment>
  </commentList>
</comments>
</file>

<file path=xl/comments3.xml><?xml version="1.0" encoding="utf-8"?>
<comments xmlns="http://schemas.openxmlformats.org/spreadsheetml/2006/main">
  <authors>
    <author>作者</author>
  </authors>
  <commentList>
    <comment ref="G2" authorId="0">
      <text>
        <r>
          <rPr>
            <b/>
            <sz val="9"/>
            <color indexed="81"/>
            <rFont val="宋体"/>
            <charset val="134"/>
          </rPr>
          <t>定作</t>
        </r>
      </text>
    </comment>
    <comment ref="G3" authorId="0">
      <text>
        <r>
          <rPr>
            <b/>
            <sz val="9"/>
            <color indexed="81"/>
            <rFont val="宋体"/>
            <charset val="134"/>
          </rPr>
          <t>定作</t>
        </r>
      </text>
    </comment>
    <comment ref="G4" authorId="0">
      <text>
        <r>
          <rPr>
            <b/>
            <sz val="9"/>
            <color indexed="81"/>
            <rFont val="宋体"/>
            <charset val="134"/>
          </rPr>
          <t>定作</t>
        </r>
      </text>
    </comment>
    <comment ref="G6" authorId="0">
      <text>
        <r>
          <rPr>
            <b/>
            <sz val="9"/>
            <color indexed="81"/>
            <rFont val="宋体"/>
            <charset val="134"/>
          </rPr>
          <t>定作</t>
        </r>
        <r>
          <rPr>
            <b/>
            <sz val="9"/>
            <color indexed="81"/>
            <rFont val="Tahoma"/>
            <family val="2"/>
          </rPr>
          <t xml:space="preserve">6.5cm*8cm
</t>
        </r>
        <r>
          <rPr>
            <b/>
            <sz val="9"/>
            <color indexed="81"/>
            <rFont val="宋体"/>
            <charset val="134"/>
          </rPr>
          <t>工廠作錯為</t>
        </r>
        <r>
          <rPr>
            <b/>
            <sz val="9"/>
            <color indexed="81"/>
            <rFont val="Tahoma"/>
            <family val="2"/>
          </rPr>
          <t>5cm*8cm</t>
        </r>
      </text>
    </comment>
    <comment ref="G7" authorId="0">
      <text>
        <r>
          <rPr>
            <b/>
            <sz val="9"/>
            <color indexed="81"/>
            <rFont val="宋体"/>
            <charset val="134"/>
          </rPr>
          <t>定作</t>
        </r>
      </text>
    </comment>
    <comment ref="G8" authorId="0">
      <text>
        <r>
          <rPr>
            <b/>
            <sz val="9"/>
            <color indexed="81"/>
            <rFont val="宋体"/>
            <charset val="134"/>
          </rPr>
          <t>定作</t>
        </r>
      </text>
    </comment>
    <comment ref="G10" authorId="0">
      <text>
        <r>
          <rPr>
            <b/>
            <sz val="9"/>
            <color indexed="81"/>
            <rFont val="宋体"/>
            <charset val="134"/>
          </rPr>
          <t>原定
SONY環光鼠標(裸機)x20
-&gt;仿萍果白鼠標(裸機)x19</t>
        </r>
      </text>
    </comment>
    <comment ref="G12" authorId="0">
      <text>
        <r>
          <rPr>
            <b/>
            <sz val="9"/>
            <color indexed="81"/>
            <rFont val="Tahoma"/>
            <family val="2"/>
          </rPr>
          <t>2</t>
        </r>
        <r>
          <rPr>
            <b/>
            <sz val="9"/>
            <color indexed="81"/>
            <rFont val="宋体"/>
            <charset val="134"/>
          </rPr>
          <t>個左鍵按下卡住</t>
        </r>
        <r>
          <rPr>
            <b/>
            <sz val="9"/>
            <color indexed="81"/>
            <rFont val="Tahoma"/>
            <family val="2"/>
          </rPr>
          <t>-</t>
        </r>
        <r>
          <rPr>
            <b/>
            <sz val="9"/>
            <color indexed="81"/>
            <rFont val="宋体"/>
            <charset val="134"/>
          </rPr>
          <t>老板自上門換</t>
        </r>
        <r>
          <rPr>
            <b/>
            <sz val="9"/>
            <color indexed="81"/>
            <rFont val="Tahoma"/>
            <family val="2"/>
          </rPr>
          <t>-</t>
        </r>
        <r>
          <rPr>
            <b/>
            <sz val="9"/>
            <color indexed="81"/>
            <rFont val="宋体"/>
            <charset val="134"/>
          </rPr>
          <t>其中</t>
        </r>
        <r>
          <rPr>
            <b/>
            <sz val="9"/>
            <color indexed="81"/>
            <rFont val="Tahoma"/>
            <family val="2"/>
          </rPr>
          <t>1</t>
        </r>
        <r>
          <rPr>
            <b/>
            <sz val="9"/>
            <color indexed="81"/>
            <rFont val="宋体"/>
            <charset val="134"/>
          </rPr>
          <t>個仍卡住</t>
        </r>
      </text>
    </comment>
    <comment ref="F16" authorId="0">
      <text>
        <r>
          <rPr>
            <b/>
            <sz val="9"/>
            <color indexed="81"/>
            <rFont val="宋体"/>
            <charset val="134"/>
          </rPr>
          <t>總重</t>
        </r>
        <r>
          <rPr>
            <b/>
            <sz val="9"/>
            <color indexed="81"/>
            <rFont val="Tahoma"/>
            <family val="2"/>
          </rPr>
          <t xml:space="preserve">: 140.8g
</t>
        </r>
        <r>
          <rPr>
            <b/>
            <sz val="9"/>
            <color indexed="81"/>
            <rFont val="宋体"/>
            <charset val="134"/>
          </rPr>
          <t>空盒</t>
        </r>
        <r>
          <rPr>
            <b/>
            <sz val="9"/>
            <color indexed="81"/>
            <rFont val="Tahoma"/>
            <family val="2"/>
          </rPr>
          <t>: 35.4g</t>
        </r>
      </text>
    </comment>
    <comment ref="H19" authorId="0">
      <text>
        <r>
          <rPr>
            <b/>
            <sz val="9"/>
            <color indexed="81"/>
            <rFont val="宋体"/>
            <charset val="134"/>
          </rPr>
          <t>原定</t>
        </r>
        <r>
          <rPr>
            <b/>
            <sz val="9"/>
            <color indexed="81"/>
            <rFont val="Tahoma"/>
            <family val="2"/>
          </rPr>
          <t>20x4</t>
        </r>
        <r>
          <rPr>
            <b/>
            <sz val="9"/>
            <color indexed="81"/>
            <rFont val="宋体"/>
            <charset val="134"/>
          </rPr>
          <t>元
左右</t>
        </r>
        <r>
          <rPr>
            <b/>
            <sz val="9"/>
            <color indexed="81"/>
            <rFont val="Tahoma"/>
            <family val="2"/>
          </rPr>
          <t>5</t>
        </r>
        <r>
          <rPr>
            <b/>
            <sz val="9"/>
            <color indexed="81"/>
            <rFont val="宋体"/>
            <charset val="134"/>
          </rPr>
          <t xml:space="preserve">孔款
出貨被換為
</t>
        </r>
        <r>
          <rPr>
            <b/>
            <sz val="9"/>
            <color indexed="81"/>
            <rFont val="Tahoma"/>
            <family val="2"/>
          </rPr>
          <t>3.5</t>
        </r>
        <r>
          <rPr>
            <b/>
            <sz val="9"/>
            <color indexed="81"/>
            <rFont val="宋体"/>
            <charset val="134"/>
          </rPr>
          <t>元皮紋款</t>
        </r>
      </text>
    </comment>
    <comment ref="G61" authorId="0">
      <text>
        <r>
          <rPr>
            <b/>
            <sz val="9"/>
            <color indexed="81"/>
            <rFont val="宋体"/>
            <charset val="134"/>
          </rPr>
          <t>定</t>
        </r>
        <r>
          <rPr>
            <b/>
            <sz val="9"/>
            <color indexed="81"/>
            <rFont val="Tahoma"/>
            <family val="2"/>
          </rPr>
          <t>3</t>
        </r>
        <r>
          <rPr>
            <b/>
            <sz val="9"/>
            <color indexed="81"/>
            <rFont val="宋体"/>
            <charset val="134"/>
          </rPr>
          <t>個,收到</t>
        </r>
        <r>
          <rPr>
            <b/>
            <sz val="9"/>
            <color indexed="81"/>
            <rFont val="Tahoma"/>
            <family val="2"/>
          </rPr>
          <t>2</t>
        </r>
        <r>
          <rPr>
            <b/>
            <sz val="9"/>
            <color indexed="81"/>
            <rFont val="宋体"/>
            <charset val="134"/>
          </rPr>
          <t>個</t>
        </r>
      </text>
    </comment>
    <comment ref="G83" authorId="0">
      <text>
        <r>
          <rPr>
            <b/>
            <sz val="9"/>
            <color indexed="81"/>
            <rFont val="宋体"/>
            <charset val="134"/>
          </rPr>
          <t>沒收到貸</t>
        </r>
      </text>
    </comment>
    <comment ref="I100" authorId="0">
      <text>
        <r>
          <rPr>
            <b/>
            <sz val="9"/>
            <color indexed="81"/>
            <rFont val="Tahoma"/>
            <family val="2"/>
          </rPr>
          <t xml:space="preserve">1.8 - </t>
        </r>
        <r>
          <rPr>
            <b/>
            <sz val="9"/>
            <color indexed="81"/>
            <rFont val="宋体"/>
            <charset val="134"/>
          </rPr>
          <t>彩卡</t>
        </r>
        <r>
          <rPr>
            <b/>
            <sz val="9"/>
            <color indexed="81"/>
            <rFont val="Tahoma"/>
            <family val="2"/>
          </rPr>
          <t xml:space="preserve"> 0.03</t>
        </r>
      </text>
    </comment>
    <comment ref="G111" authorId="0">
      <text>
        <r>
          <rPr>
            <b/>
            <sz val="9"/>
            <color indexed="81"/>
            <rFont val="宋体"/>
            <charset val="134"/>
          </rPr>
          <t>沒收到貨</t>
        </r>
      </text>
    </comment>
    <comment ref="H111" authorId="0">
      <text>
        <r>
          <rPr>
            <b/>
            <sz val="9"/>
            <color indexed="81"/>
            <rFont val="宋体"/>
            <charset val="134"/>
          </rPr>
          <t xml:space="preserve">出錯成白框
</t>
        </r>
      </text>
    </comment>
    <comment ref="G13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3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3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3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4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5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6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7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8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19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20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20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G223" authorId="0">
      <text>
        <r>
          <rPr>
            <b/>
            <sz val="9"/>
            <color indexed="81"/>
            <rFont val="宋体"/>
            <charset val="134"/>
          </rPr>
          <t>發</t>
        </r>
        <r>
          <rPr>
            <b/>
            <sz val="9"/>
            <color indexed="81"/>
            <rFont val="Tahoma"/>
            <family val="2"/>
          </rPr>
          <t>311?</t>
        </r>
      </text>
    </comment>
    <comment ref="G224" authorId="0">
      <text>
        <r>
          <rPr>
            <b/>
            <sz val="9"/>
            <color indexed="81"/>
            <rFont val="宋体"/>
            <charset val="134"/>
          </rPr>
          <t>沒收到貨</t>
        </r>
      </text>
    </comment>
    <comment ref="H227" authorId="0">
      <text>
        <r>
          <rPr>
            <b/>
            <sz val="9"/>
            <color indexed="81"/>
            <rFont val="宋体"/>
            <charset val="134"/>
          </rPr>
          <t>到貨</t>
        </r>
        <r>
          <rPr>
            <b/>
            <sz val="9"/>
            <color indexed="81"/>
            <rFont val="Tahoma"/>
            <family val="2"/>
          </rPr>
          <t>52</t>
        </r>
        <r>
          <rPr>
            <b/>
            <sz val="9"/>
            <color indexed="81"/>
            <rFont val="宋体"/>
            <charset val="134"/>
          </rPr>
          <t>個多</t>
        </r>
        <r>
          <rPr>
            <b/>
            <sz val="9"/>
            <color indexed="81"/>
            <rFont val="Tahoma"/>
            <family val="2"/>
          </rPr>
          <t>2</t>
        </r>
        <r>
          <rPr>
            <b/>
            <sz val="9"/>
            <color indexed="81"/>
            <rFont val="宋体"/>
            <charset val="134"/>
          </rPr>
          <t>個</t>
        </r>
      </text>
    </comment>
    <comment ref="G321" authorId="0">
      <text>
        <r>
          <rPr>
            <b/>
            <sz val="9"/>
            <color indexed="81"/>
            <rFont val="宋体"/>
            <charset val="134"/>
          </rPr>
          <t>發成</t>
        </r>
        <r>
          <rPr>
            <b/>
            <sz val="9"/>
            <color indexed="81"/>
            <rFont val="Tahoma"/>
            <family val="2"/>
          </rPr>
          <t xml:space="preserve"> 
N</t>
        </r>
        <r>
          <rPr>
            <b/>
            <sz val="9"/>
            <color indexed="81"/>
            <rFont val="宋体"/>
            <charset val="134"/>
          </rPr>
          <t>橙紅</t>
        </r>
      </text>
    </comment>
    <comment ref="P327" authorId="0">
      <text>
        <r>
          <rPr>
            <b/>
            <sz val="9"/>
            <color indexed="81"/>
            <rFont val="Tahoma"/>
            <family val="2"/>
          </rPr>
          <t>sdontb</t>
        </r>
        <r>
          <rPr>
            <b/>
            <sz val="9"/>
            <color indexed="81"/>
            <rFont val="宋体"/>
            <charset val="134"/>
          </rPr>
          <t>下單誤關閉
张</t>
        </r>
        <r>
          <rPr>
            <b/>
            <sz val="9"/>
            <color indexed="81"/>
            <rFont val="Tahoma"/>
            <family val="2"/>
          </rPr>
          <t>shaodan</t>
        </r>
        <r>
          <rPr>
            <b/>
            <sz val="9"/>
            <color indexed="81"/>
            <rFont val="宋体"/>
            <charset val="134"/>
          </rPr>
          <t xml:space="preserve">重新下單
</t>
        </r>
      </text>
    </comment>
    <comment ref="F395"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F396"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F397" authorId="0">
      <text>
        <r>
          <rPr>
            <b/>
            <sz val="9"/>
            <color indexed="81"/>
            <rFont val="宋体"/>
            <charset val="134"/>
          </rPr>
          <t>紙卡包裝</t>
        </r>
        <r>
          <rPr>
            <b/>
            <sz val="9"/>
            <color indexed="81"/>
            <rFont val="Tahoma"/>
            <family val="2"/>
          </rPr>
          <t xml:space="preserve">:7g
</t>
        </r>
      </text>
    </comment>
    <comment ref="F398" authorId="0">
      <text>
        <r>
          <rPr>
            <b/>
            <sz val="9"/>
            <color indexed="81"/>
            <rFont val="宋体"/>
            <charset val="134"/>
          </rPr>
          <t>紙卡包裝</t>
        </r>
        <r>
          <rPr>
            <b/>
            <sz val="9"/>
            <color indexed="81"/>
            <rFont val="Tahoma"/>
            <family val="2"/>
          </rPr>
          <t xml:space="preserve">:7g
</t>
        </r>
      </text>
    </comment>
    <comment ref="F399" authorId="0">
      <text>
        <r>
          <rPr>
            <b/>
            <sz val="9"/>
            <color indexed="81"/>
            <rFont val="宋体"/>
            <charset val="134"/>
          </rPr>
          <t>紙卡包裝</t>
        </r>
        <r>
          <rPr>
            <b/>
            <sz val="9"/>
            <color indexed="81"/>
            <rFont val="Tahoma"/>
            <family val="2"/>
          </rPr>
          <t xml:space="preserve">:7g
</t>
        </r>
      </text>
    </comment>
    <comment ref="F400" authorId="0">
      <text>
        <r>
          <rPr>
            <b/>
            <sz val="9"/>
            <color indexed="81"/>
            <rFont val="宋体"/>
            <charset val="134"/>
          </rPr>
          <t>紙卡包裝</t>
        </r>
        <r>
          <rPr>
            <b/>
            <sz val="9"/>
            <color indexed="81"/>
            <rFont val="Tahoma"/>
            <family val="2"/>
          </rPr>
          <t xml:space="preserve">:7g
</t>
        </r>
      </text>
    </comment>
    <comment ref="F401" authorId="0">
      <text>
        <r>
          <rPr>
            <b/>
            <sz val="9"/>
            <color indexed="81"/>
            <rFont val="宋体"/>
            <charset val="134"/>
          </rPr>
          <t>紙卡包裝</t>
        </r>
        <r>
          <rPr>
            <b/>
            <sz val="9"/>
            <color indexed="81"/>
            <rFont val="Tahoma"/>
            <family val="2"/>
          </rPr>
          <t xml:space="preserve">:7g
</t>
        </r>
      </text>
    </comment>
    <comment ref="F402" authorId="0">
      <text>
        <r>
          <rPr>
            <b/>
            <sz val="9"/>
            <color indexed="81"/>
            <rFont val="宋体"/>
            <charset val="134"/>
          </rPr>
          <t>紙卡包裝</t>
        </r>
        <r>
          <rPr>
            <b/>
            <sz val="9"/>
            <color indexed="81"/>
            <rFont val="Tahoma"/>
            <family val="2"/>
          </rPr>
          <t xml:space="preserve">:7g
</t>
        </r>
      </text>
    </comment>
    <comment ref="F403" authorId="0">
      <text>
        <r>
          <rPr>
            <b/>
            <sz val="9"/>
            <color indexed="81"/>
            <rFont val="宋体"/>
            <charset val="134"/>
          </rPr>
          <t>紙卡包裝</t>
        </r>
        <r>
          <rPr>
            <b/>
            <sz val="9"/>
            <color indexed="81"/>
            <rFont val="Tahoma"/>
            <family val="2"/>
          </rPr>
          <t xml:space="preserve">:7g
</t>
        </r>
      </text>
    </comment>
    <comment ref="F404" authorId="0">
      <text>
        <r>
          <rPr>
            <b/>
            <sz val="9"/>
            <color indexed="81"/>
            <rFont val="宋体"/>
            <charset val="134"/>
          </rPr>
          <t>紙卡包裝</t>
        </r>
        <r>
          <rPr>
            <b/>
            <sz val="9"/>
            <color indexed="81"/>
            <rFont val="Tahoma"/>
            <family val="2"/>
          </rPr>
          <t xml:space="preserve">:7g
</t>
        </r>
      </text>
    </comment>
    <comment ref="G450"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H450"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I450"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1"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2"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3"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4"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5"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6"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57"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G477" authorId="0">
      <text>
        <r>
          <rPr>
            <b/>
            <sz val="9"/>
            <color indexed="81"/>
            <rFont val="宋体"/>
            <charset val="134"/>
          </rPr>
          <t>国标3*100宽2.5mm
国标3*150宽2.5mm
国标3*200宽2.5mm</t>
        </r>
      </text>
    </comment>
    <comment ref="G483" authorId="0">
      <text>
        <r>
          <rPr>
            <b/>
            <sz val="9"/>
            <color indexed="81"/>
            <rFont val="宋体"/>
            <charset val="134"/>
          </rPr>
          <t>国标3*100宽2.5mm
国标3*150宽2.5mm
国标3*200宽2.5mm</t>
        </r>
      </text>
    </comment>
    <comment ref="G491" authorId="0">
      <text>
        <r>
          <rPr>
            <b/>
            <sz val="9"/>
            <color indexed="81"/>
            <rFont val="宋体"/>
            <charset val="134"/>
          </rPr>
          <t>国标3*100宽2.5mm
国标3*150宽2.5mm
国标3*200宽2.5mm</t>
        </r>
      </text>
    </comment>
    <comment ref="G498" authorId="0">
      <text>
        <r>
          <rPr>
            <b/>
            <sz val="9"/>
            <color indexed="81"/>
            <rFont val="Tahoma"/>
            <family val="2"/>
          </rPr>
          <t>3*100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1000</t>
        </r>
        <r>
          <rPr>
            <b/>
            <sz val="9"/>
            <color indexed="81"/>
            <rFont val="宋体"/>
            <charset val="134"/>
          </rPr>
          <t>条</t>
        </r>
      </text>
    </comment>
    <comment ref="H498" authorId="0">
      <text>
        <r>
          <rPr>
            <b/>
            <sz val="9"/>
            <color indexed="81"/>
            <rFont val="宋体"/>
            <charset val="134"/>
          </rPr>
          <t>廠商進貨</t>
        </r>
        <r>
          <rPr>
            <b/>
            <sz val="9"/>
            <color indexed="81"/>
            <rFont val="Tahoma"/>
            <family val="2"/>
          </rPr>
          <t xml:space="preserve">: 1000pcs/bag
</t>
        </r>
        <r>
          <rPr>
            <b/>
            <sz val="9"/>
            <color indexed="81"/>
            <rFont val="宋体"/>
            <charset val="134"/>
          </rPr>
          <t>自行分裝</t>
        </r>
        <r>
          <rPr>
            <b/>
            <sz val="9"/>
            <color indexed="81"/>
            <rFont val="Tahoma"/>
            <family val="2"/>
          </rPr>
          <t>: 80pcs/bag</t>
        </r>
      </text>
    </comment>
    <comment ref="G499" authorId="0">
      <text>
        <r>
          <rPr>
            <b/>
            <sz val="9"/>
            <color indexed="81"/>
            <rFont val="Tahoma"/>
            <family val="2"/>
          </rPr>
          <t>3*200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500</t>
        </r>
        <r>
          <rPr>
            <b/>
            <sz val="9"/>
            <color indexed="81"/>
            <rFont val="宋体"/>
            <charset val="134"/>
          </rPr>
          <t>条</t>
        </r>
      </text>
    </comment>
    <comment ref="H499" authorId="0">
      <text>
        <r>
          <rPr>
            <b/>
            <sz val="9"/>
            <color indexed="81"/>
            <rFont val="宋体"/>
            <charset val="134"/>
          </rPr>
          <t>廠商進貨</t>
        </r>
        <r>
          <rPr>
            <b/>
            <sz val="9"/>
            <color indexed="81"/>
            <rFont val="Tahoma"/>
            <family val="2"/>
          </rPr>
          <t xml:space="preserve">: 500pcs/bag
</t>
        </r>
        <r>
          <rPr>
            <b/>
            <sz val="9"/>
            <color indexed="81"/>
            <rFont val="宋体"/>
            <charset val="134"/>
          </rPr>
          <t>自行分裝</t>
        </r>
        <r>
          <rPr>
            <b/>
            <sz val="9"/>
            <color indexed="81"/>
            <rFont val="Tahoma"/>
            <family val="2"/>
          </rPr>
          <t>: 50pcs/bag</t>
        </r>
      </text>
    </comment>
    <comment ref="G500" authorId="0">
      <text>
        <r>
          <rPr>
            <b/>
            <sz val="9"/>
            <color indexed="81"/>
            <rFont val="Tahoma"/>
            <family val="2"/>
          </rPr>
          <t>4*300</t>
        </r>
        <r>
          <rPr>
            <b/>
            <sz val="9"/>
            <color indexed="81"/>
            <rFont val="宋体"/>
            <charset val="134"/>
          </rPr>
          <t>国标</t>
        </r>
        <r>
          <rPr>
            <b/>
            <sz val="9"/>
            <color indexed="81"/>
            <rFont val="Tahoma"/>
            <family val="2"/>
          </rPr>
          <t>3.6mm</t>
        </r>
        <r>
          <rPr>
            <b/>
            <sz val="9"/>
            <color indexed="81"/>
            <rFont val="宋体"/>
            <charset val="134"/>
          </rPr>
          <t>宽</t>
        </r>
        <r>
          <rPr>
            <b/>
            <sz val="9"/>
            <color indexed="81"/>
            <rFont val="Tahoma"/>
            <family val="2"/>
          </rPr>
          <t>250</t>
        </r>
        <r>
          <rPr>
            <b/>
            <sz val="9"/>
            <color indexed="81"/>
            <rFont val="宋体"/>
            <charset val="134"/>
          </rPr>
          <t>条
定</t>
        </r>
        <r>
          <rPr>
            <b/>
            <sz val="9"/>
            <color indexed="81"/>
            <rFont val="Tahoma"/>
            <family val="2"/>
          </rPr>
          <t xml:space="preserve">4*300mm
</t>
        </r>
        <r>
          <rPr>
            <b/>
            <sz val="9"/>
            <color indexed="81"/>
            <rFont val="宋体"/>
            <charset val="134"/>
          </rPr>
          <t>工廠出錯</t>
        </r>
        <r>
          <rPr>
            <b/>
            <sz val="9"/>
            <color indexed="81"/>
            <rFont val="Tahoma"/>
            <family val="2"/>
          </rPr>
          <t>4*250</t>
        </r>
      </text>
    </comment>
    <comment ref="H500" authorId="0">
      <text>
        <r>
          <rPr>
            <b/>
            <sz val="9"/>
            <color indexed="81"/>
            <rFont val="宋体"/>
            <charset val="134"/>
          </rPr>
          <t>廠商進貨</t>
        </r>
        <r>
          <rPr>
            <b/>
            <sz val="9"/>
            <color indexed="81"/>
            <rFont val="Tahoma"/>
            <family val="2"/>
          </rPr>
          <t xml:space="preserve">: 250pcs/bag
</t>
        </r>
        <r>
          <rPr>
            <b/>
            <sz val="9"/>
            <color indexed="81"/>
            <rFont val="宋体"/>
            <charset val="134"/>
          </rPr>
          <t>自行分裝</t>
        </r>
        <r>
          <rPr>
            <b/>
            <sz val="9"/>
            <color indexed="81"/>
            <rFont val="Tahoma"/>
            <family val="2"/>
          </rPr>
          <t>: 25pcs/bag</t>
        </r>
      </text>
    </comment>
    <comment ref="H505"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 xml:space="preserve">25
</t>
        </r>
      </text>
    </comment>
    <comment ref="H506"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23</t>
        </r>
      </text>
    </comment>
    <comment ref="H507" authorId="0">
      <text>
        <r>
          <rPr>
            <b/>
            <sz val="9"/>
            <color indexed="81"/>
            <rFont val="宋体"/>
            <charset val="134"/>
          </rPr>
          <t>定</t>
        </r>
        <r>
          <rPr>
            <b/>
            <sz val="9"/>
            <color indexed="81"/>
            <rFont val="Tahoma"/>
            <family val="2"/>
          </rPr>
          <t>15</t>
        </r>
        <r>
          <rPr>
            <b/>
            <sz val="9"/>
            <color indexed="81"/>
            <rFont val="宋体"/>
            <charset val="134"/>
          </rPr>
          <t>出</t>
        </r>
        <r>
          <rPr>
            <b/>
            <sz val="9"/>
            <color indexed="81"/>
            <rFont val="Tahoma"/>
            <family val="2"/>
          </rPr>
          <t xml:space="preserve">22
</t>
        </r>
      </text>
    </comment>
    <comment ref="G509" authorId="0">
      <text>
        <r>
          <rPr>
            <b/>
            <sz val="9"/>
            <color indexed="81"/>
            <rFont val="宋体"/>
            <charset val="134"/>
          </rPr>
          <t xml:space="preserve">勾+毛
</t>
        </r>
      </text>
    </comment>
    <comment ref="G510" authorId="0">
      <text>
        <r>
          <rPr>
            <b/>
            <sz val="9"/>
            <color indexed="81"/>
            <rFont val="宋体"/>
            <charset val="134"/>
          </rPr>
          <t xml:space="preserve">勾+毛
</t>
        </r>
      </text>
    </comment>
    <comment ref="G511" authorId="0">
      <text>
        <r>
          <rPr>
            <b/>
            <sz val="9"/>
            <color indexed="81"/>
            <rFont val="宋体"/>
            <charset val="134"/>
          </rPr>
          <t xml:space="preserve">勾+毛
</t>
        </r>
      </text>
    </comment>
    <comment ref="G512" authorId="0">
      <text>
        <r>
          <rPr>
            <b/>
            <sz val="9"/>
            <color indexed="81"/>
            <rFont val="宋体"/>
            <charset val="134"/>
          </rPr>
          <t xml:space="preserve">勾+毛
</t>
        </r>
      </text>
    </comment>
    <comment ref="G513" authorId="0">
      <text>
        <r>
          <rPr>
            <b/>
            <sz val="9"/>
            <color indexed="81"/>
            <rFont val="宋体"/>
            <charset val="134"/>
          </rPr>
          <t xml:space="preserve">勾+毛
</t>
        </r>
      </text>
    </comment>
    <comment ref="G514" authorId="0">
      <text>
        <r>
          <rPr>
            <b/>
            <sz val="9"/>
            <color indexed="81"/>
            <rFont val="宋体"/>
            <charset val="134"/>
          </rPr>
          <t xml:space="preserve">勾+毛
</t>
        </r>
      </text>
    </comment>
    <comment ref="G515" authorId="0">
      <text>
        <r>
          <rPr>
            <b/>
            <sz val="9"/>
            <color indexed="81"/>
            <rFont val="宋体"/>
            <charset val="134"/>
          </rPr>
          <t xml:space="preserve">勾+毛
</t>
        </r>
      </text>
    </comment>
    <comment ref="G516" authorId="0">
      <text>
        <r>
          <rPr>
            <b/>
            <sz val="9"/>
            <color indexed="81"/>
            <rFont val="宋体"/>
            <charset val="134"/>
          </rPr>
          <t xml:space="preserve">勾+毛
</t>
        </r>
      </text>
    </comment>
    <comment ref="G517" authorId="0">
      <text>
        <r>
          <rPr>
            <b/>
            <sz val="9"/>
            <color indexed="81"/>
            <rFont val="宋体"/>
            <charset val="134"/>
          </rPr>
          <t xml:space="preserve">勾+毛
</t>
        </r>
      </text>
    </comment>
    <comment ref="G518" authorId="0">
      <text>
        <r>
          <rPr>
            <b/>
            <sz val="9"/>
            <color indexed="81"/>
            <rFont val="宋体"/>
            <charset val="134"/>
          </rPr>
          <t xml:space="preserve">勾+毛
</t>
        </r>
      </text>
    </comment>
    <comment ref="G519" authorId="0">
      <text>
        <r>
          <rPr>
            <b/>
            <sz val="9"/>
            <color indexed="81"/>
            <rFont val="宋体"/>
            <charset val="134"/>
          </rPr>
          <t xml:space="preserve">勾+毛
</t>
        </r>
      </text>
    </comment>
    <comment ref="G520" authorId="0">
      <text>
        <r>
          <rPr>
            <b/>
            <sz val="9"/>
            <color indexed="81"/>
            <rFont val="宋体"/>
            <charset val="134"/>
          </rPr>
          <t xml:space="preserve">勾+毛
</t>
        </r>
      </text>
    </comment>
    <comment ref="G521" authorId="0">
      <text>
        <r>
          <rPr>
            <b/>
            <sz val="9"/>
            <color indexed="81"/>
            <rFont val="宋体"/>
            <charset val="134"/>
          </rPr>
          <t xml:space="preserve">勾+毛
</t>
        </r>
      </text>
    </comment>
    <comment ref="G522" authorId="0">
      <text>
        <r>
          <rPr>
            <b/>
            <sz val="9"/>
            <color indexed="81"/>
            <rFont val="宋体"/>
            <charset val="134"/>
          </rPr>
          <t xml:space="preserve">勾+毛
</t>
        </r>
      </text>
    </comment>
    <comment ref="G523" authorId="0">
      <text>
        <r>
          <rPr>
            <b/>
            <sz val="9"/>
            <color indexed="81"/>
            <rFont val="宋体"/>
            <charset val="134"/>
          </rPr>
          <t xml:space="preserve">勾+毛
</t>
        </r>
      </text>
    </comment>
    <comment ref="G524" authorId="0">
      <text>
        <r>
          <rPr>
            <b/>
            <sz val="9"/>
            <color indexed="81"/>
            <rFont val="宋体"/>
            <charset val="134"/>
          </rPr>
          <t xml:space="preserve">勾+毛
</t>
        </r>
      </text>
    </comment>
    <comment ref="G525" authorId="0">
      <text>
        <r>
          <rPr>
            <b/>
            <sz val="9"/>
            <color indexed="81"/>
            <rFont val="宋体"/>
            <charset val="134"/>
          </rPr>
          <t xml:space="preserve">勾+毛
</t>
        </r>
      </text>
    </comment>
    <comment ref="I526"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27"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28"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29"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0"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1"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2"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3"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4"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I535"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H53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3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3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3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3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3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3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3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4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4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5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5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H56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56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I610"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I611"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I612"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I613"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I614"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I615"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F619" authorId="0">
      <text>
        <r>
          <rPr>
            <b/>
            <sz val="9"/>
            <color indexed="81"/>
            <rFont val="宋体"/>
            <charset val="134"/>
          </rPr>
          <t xml:space="preserve">按面積計算
</t>
        </r>
        <r>
          <rPr>
            <b/>
            <sz val="9"/>
            <color indexed="81"/>
            <rFont val="Tahoma"/>
            <family val="2"/>
          </rPr>
          <t>1cm*1cm=0.006g</t>
        </r>
      </text>
    </comment>
    <comment ref="F620" authorId="0">
      <text>
        <r>
          <rPr>
            <b/>
            <sz val="9"/>
            <color indexed="81"/>
            <rFont val="宋体"/>
            <charset val="134"/>
          </rPr>
          <t xml:space="preserve">按面積計算
</t>
        </r>
        <r>
          <rPr>
            <b/>
            <sz val="9"/>
            <color indexed="81"/>
            <rFont val="Tahoma"/>
            <family val="2"/>
          </rPr>
          <t>1cm*1cm=0.006g</t>
        </r>
      </text>
    </comment>
    <comment ref="F621" authorId="0">
      <text>
        <r>
          <rPr>
            <b/>
            <sz val="9"/>
            <color indexed="81"/>
            <rFont val="宋体"/>
            <charset val="134"/>
          </rPr>
          <t xml:space="preserve">按面積計算
</t>
        </r>
        <r>
          <rPr>
            <b/>
            <sz val="9"/>
            <color indexed="81"/>
            <rFont val="Tahoma"/>
            <family val="2"/>
          </rPr>
          <t>1cm*1cm=0.006g</t>
        </r>
      </text>
    </comment>
    <comment ref="G621" authorId="0">
      <text>
        <r>
          <rPr>
            <b/>
            <sz val="9"/>
            <color indexed="81"/>
            <rFont val="宋体"/>
            <charset val="134"/>
          </rPr>
          <t>內</t>
        </r>
        <r>
          <rPr>
            <b/>
            <sz val="9"/>
            <color indexed="81"/>
            <rFont val="Tahoma"/>
            <family val="2"/>
          </rPr>
          <t>7.4*10</t>
        </r>
      </text>
    </comment>
    <comment ref="G622" authorId="0">
      <text>
        <r>
          <rPr>
            <b/>
            <sz val="9"/>
            <color indexed="81"/>
            <rFont val="宋体"/>
            <charset val="134"/>
          </rPr>
          <t>內</t>
        </r>
        <r>
          <rPr>
            <b/>
            <sz val="9"/>
            <color indexed="81"/>
            <rFont val="Tahoma"/>
            <family val="2"/>
          </rPr>
          <t>8.2*9</t>
        </r>
      </text>
    </comment>
    <comment ref="G623" authorId="0">
      <text>
        <r>
          <rPr>
            <b/>
            <sz val="9"/>
            <color indexed="81"/>
            <rFont val="宋体"/>
            <charset val="134"/>
          </rPr>
          <t>內</t>
        </r>
        <r>
          <rPr>
            <b/>
            <sz val="9"/>
            <color indexed="81"/>
            <rFont val="Tahoma"/>
            <family val="2"/>
          </rPr>
          <t>9.5*16</t>
        </r>
      </text>
    </comment>
    <comment ref="G624" authorId="0">
      <text>
        <r>
          <rPr>
            <b/>
            <sz val="9"/>
            <color indexed="81"/>
            <rFont val="宋体"/>
            <charset val="134"/>
          </rPr>
          <t>內</t>
        </r>
        <r>
          <rPr>
            <b/>
            <sz val="9"/>
            <color indexed="81"/>
            <rFont val="Tahoma"/>
            <family val="2"/>
          </rPr>
          <t xml:space="preserve">10.5*15
</t>
        </r>
        <r>
          <rPr>
            <b/>
            <sz val="9"/>
            <color indexed="81"/>
            <rFont val="宋体"/>
            <charset val="134"/>
          </rPr>
          <t>包和風用</t>
        </r>
        <r>
          <rPr>
            <b/>
            <sz val="9"/>
            <color indexed="81"/>
            <rFont val="Tahoma"/>
            <family val="2"/>
          </rPr>
          <t>22</t>
        </r>
        <r>
          <rPr>
            <b/>
            <sz val="9"/>
            <color indexed="81"/>
            <rFont val="宋体"/>
            <charset val="134"/>
          </rPr>
          <t>個</t>
        </r>
      </text>
    </comment>
    <comment ref="F625" authorId="0">
      <text>
        <r>
          <rPr>
            <b/>
            <sz val="9"/>
            <color indexed="81"/>
            <rFont val="宋体"/>
            <charset val="134"/>
          </rPr>
          <t xml:space="preserve">按面積計算
</t>
        </r>
        <r>
          <rPr>
            <b/>
            <sz val="9"/>
            <color indexed="81"/>
            <rFont val="Tahoma"/>
            <family val="2"/>
          </rPr>
          <t>1cm*1cm=0.006g</t>
        </r>
      </text>
    </comment>
    <comment ref="G625" authorId="0">
      <text>
        <r>
          <rPr>
            <b/>
            <sz val="9"/>
            <color indexed="81"/>
            <rFont val="宋体"/>
            <charset val="134"/>
          </rPr>
          <t>內</t>
        </r>
        <r>
          <rPr>
            <b/>
            <sz val="9"/>
            <color indexed="81"/>
            <rFont val="Tahoma"/>
            <family val="2"/>
          </rPr>
          <t>11.5*18</t>
        </r>
      </text>
    </comment>
    <comment ref="G626" authorId="0">
      <text>
        <r>
          <rPr>
            <b/>
            <sz val="9"/>
            <color indexed="81"/>
            <rFont val="宋体"/>
            <charset val="134"/>
          </rPr>
          <t>內</t>
        </r>
        <r>
          <rPr>
            <b/>
            <sz val="9"/>
            <color indexed="81"/>
            <rFont val="Tahoma"/>
            <family val="2"/>
          </rPr>
          <t>12.5*20</t>
        </r>
      </text>
    </comment>
    <comment ref="H626" authorId="0">
      <text>
        <r>
          <rPr>
            <b/>
            <sz val="9"/>
            <color indexed="81"/>
            <rFont val="宋体"/>
            <charset val="134"/>
          </rPr>
          <t>包彩帶用</t>
        </r>
        <r>
          <rPr>
            <b/>
            <sz val="9"/>
            <color indexed="81"/>
            <rFont val="Tahoma"/>
            <family val="2"/>
          </rPr>
          <t>-30x</t>
        </r>
      </text>
    </comment>
    <comment ref="I626" authorId="0">
      <text>
        <r>
          <rPr>
            <b/>
            <sz val="9"/>
            <color indexed="81"/>
            <rFont val="宋体"/>
            <charset val="134"/>
          </rPr>
          <t>包彩帶用</t>
        </r>
        <r>
          <rPr>
            <b/>
            <sz val="9"/>
            <color indexed="81"/>
            <rFont val="Tahoma"/>
            <family val="2"/>
          </rPr>
          <t>-30x</t>
        </r>
      </text>
    </comment>
    <comment ref="F627" authorId="0">
      <text>
        <r>
          <rPr>
            <b/>
            <sz val="9"/>
            <color indexed="81"/>
            <rFont val="宋体"/>
            <charset val="134"/>
          </rPr>
          <t xml:space="preserve">按面積計算
</t>
        </r>
        <r>
          <rPr>
            <b/>
            <sz val="9"/>
            <color indexed="81"/>
            <rFont val="Tahoma"/>
            <family val="2"/>
          </rPr>
          <t>1cm*1cm=0.006g</t>
        </r>
      </text>
    </comment>
    <comment ref="G627" authorId="0">
      <text>
        <r>
          <rPr>
            <b/>
            <sz val="9"/>
            <color indexed="81"/>
            <rFont val="宋体"/>
            <charset val="134"/>
          </rPr>
          <t>內</t>
        </r>
        <r>
          <rPr>
            <b/>
            <sz val="9"/>
            <color indexed="81"/>
            <rFont val="Tahoma"/>
            <family val="2"/>
          </rPr>
          <t>13.3*25</t>
        </r>
      </text>
    </comment>
    <comment ref="F628" authorId="0">
      <text>
        <r>
          <rPr>
            <b/>
            <sz val="9"/>
            <color indexed="81"/>
            <rFont val="宋体"/>
            <charset val="134"/>
          </rPr>
          <t xml:space="preserve">按面積計算
</t>
        </r>
        <r>
          <rPr>
            <b/>
            <sz val="9"/>
            <color indexed="81"/>
            <rFont val="Tahoma"/>
            <family val="2"/>
          </rPr>
          <t>1cm*1cm=0.006g</t>
        </r>
      </text>
    </comment>
    <comment ref="G628" authorId="0">
      <text>
        <r>
          <rPr>
            <b/>
            <sz val="9"/>
            <color indexed="81"/>
            <rFont val="宋体"/>
            <charset val="134"/>
          </rPr>
          <t>內</t>
        </r>
        <r>
          <rPr>
            <b/>
            <sz val="9"/>
            <color indexed="81"/>
            <rFont val="Tahoma"/>
            <family val="2"/>
          </rPr>
          <t>14.3*21</t>
        </r>
      </text>
    </comment>
    <comment ref="F629" authorId="0">
      <text>
        <r>
          <rPr>
            <b/>
            <sz val="9"/>
            <color indexed="81"/>
            <rFont val="宋体"/>
            <charset val="134"/>
          </rPr>
          <t xml:space="preserve">按面積計算
</t>
        </r>
        <r>
          <rPr>
            <b/>
            <sz val="9"/>
            <color indexed="81"/>
            <rFont val="Tahoma"/>
            <family val="2"/>
          </rPr>
          <t>1cm*1cm=0.006g</t>
        </r>
      </text>
    </comment>
    <comment ref="G629" authorId="0">
      <text>
        <r>
          <rPr>
            <b/>
            <sz val="9"/>
            <color indexed="81"/>
            <rFont val="宋体"/>
            <charset val="134"/>
          </rPr>
          <t>內</t>
        </r>
        <r>
          <rPr>
            <b/>
            <sz val="9"/>
            <color indexed="81"/>
            <rFont val="Tahoma"/>
            <family val="2"/>
          </rPr>
          <t>17.5*30</t>
        </r>
      </text>
    </comment>
    <comment ref="F630" authorId="0">
      <text>
        <r>
          <rPr>
            <b/>
            <sz val="9"/>
            <color indexed="81"/>
            <rFont val="宋体"/>
            <charset val="134"/>
          </rPr>
          <t xml:space="preserve">按面積計算
</t>
        </r>
        <r>
          <rPr>
            <b/>
            <sz val="9"/>
            <color indexed="81"/>
            <rFont val="Tahoma"/>
            <family val="2"/>
          </rPr>
          <t>1cm*1cm=0.006g</t>
        </r>
      </text>
    </comment>
    <comment ref="G630" authorId="0">
      <text>
        <r>
          <rPr>
            <b/>
            <sz val="9"/>
            <color indexed="81"/>
            <rFont val="宋体"/>
            <charset val="134"/>
          </rPr>
          <t>洞+內</t>
        </r>
        <r>
          <rPr>
            <b/>
            <sz val="9"/>
            <color indexed="81"/>
            <rFont val="Tahoma"/>
            <family val="2"/>
          </rPr>
          <t>19.3*26</t>
        </r>
      </text>
    </comment>
    <comment ref="F631" authorId="0">
      <text>
        <r>
          <rPr>
            <b/>
            <sz val="9"/>
            <color indexed="81"/>
            <rFont val="宋体"/>
            <charset val="134"/>
          </rPr>
          <t xml:space="preserve">按面積計算
</t>
        </r>
        <r>
          <rPr>
            <b/>
            <sz val="9"/>
            <color indexed="81"/>
            <rFont val="Tahoma"/>
            <family val="2"/>
          </rPr>
          <t>1cm*1cm=0.006g</t>
        </r>
      </text>
    </comment>
    <comment ref="G631" authorId="0">
      <text>
        <r>
          <rPr>
            <b/>
            <sz val="9"/>
            <color indexed="81"/>
            <rFont val="宋体"/>
            <charset val="134"/>
          </rPr>
          <t>洞</t>
        </r>
        <r>
          <rPr>
            <b/>
            <sz val="9"/>
            <color indexed="81"/>
            <rFont val="Tahoma"/>
            <family val="2"/>
          </rPr>
          <t>+</t>
        </r>
        <r>
          <rPr>
            <b/>
            <sz val="9"/>
            <color indexed="81"/>
            <rFont val="宋体"/>
            <charset val="134"/>
          </rPr>
          <t>內</t>
        </r>
        <r>
          <rPr>
            <b/>
            <sz val="9"/>
            <color indexed="81"/>
            <rFont val="Tahoma"/>
            <family val="2"/>
          </rPr>
          <t>19.3*30</t>
        </r>
      </text>
    </comment>
    <comment ref="F632" authorId="0">
      <text>
        <r>
          <rPr>
            <b/>
            <sz val="9"/>
            <color indexed="81"/>
            <rFont val="宋体"/>
            <charset val="134"/>
          </rPr>
          <t xml:space="preserve">按面積計算
</t>
        </r>
        <r>
          <rPr>
            <b/>
            <sz val="9"/>
            <color indexed="81"/>
            <rFont val="Tahoma"/>
            <family val="2"/>
          </rPr>
          <t>1cm*1cm=0.006g</t>
        </r>
      </text>
    </comment>
    <comment ref="G632" authorId="0">
      <text>
        <r>
          <rPr>
            <b/>
            <sz val="9"/>
            <color indexed="81"/>
            <rFont val="宋体"/>
            <charset val="134"/>
          </rPr>
          <t>內</t>
        </r>
        <r>
          <rPr>
            <b/>
            <sz val="9"/>
            <color indexed="81"/>
            <rFont val="Tahoma"/>
            <family val="2"/>
          </rPr>
          <t>22.5*32</t>
        </r>
      </text>
    </comment>
    <comment ref="G633" authorId="0">
      <text>
        <r>
          <rPr>
            <b/>
            <sz val="9"/>
            <color indexed="81"/>
            <rFont val="宋体"/>
            <charset val="134"/>
          </rPr>
          <t>洞+內</t>
        </r>
        <r>
          <rPr>
            <b/>
            <sz val="9"/>
            <color indexed="81"/>
            <rFont val="Tahoma"/>
            <family val="2"/>
          </rPr>
          <t>25.3*30</t>
        </r>
      </text>
    </comment>
    <comment ref="F634" authorId="0">
      <text>
        <r>
          <rPr>
            <b/>
            <sz val="9"/>
            <color indexed="81"/>
            <rFont val="宋体"/>
            <charset val="134"/>
          </rPr>
          <t xml:space="preserve">按面積計算
</t>
        </r>
        <r>
          <rPr>
            <b/>
            <sz val="9"/>
            <color indexed="81"/>
            <rFont val="Tahoma"/>
            <family val="2"/>
          </rPr>
          <t>1cm*1cm=0.006g</t>
        </r>
      </text>
    </comment>
    <comment ref="G634" authorId="0">
      <text>
        <r>
          <rPr>
            <b/>
            <sz val="9"/>
            <color indexed="81"/>
            <rFont val="宋体"/>
            <charset val="134"/>
          </rPr>
          <t>洞+內</t>
        </r>
        <r>
          <rPr>
            <b/>
            <sz val="9"/>
            <color indexed="81"/>
            <rFont val="Tahoma"/>
            <family val="2"/>
          </rPr>
          <t>29.3*38</t>
        </r>
      </text>
    </comment>
    <comment ref="F635" authorId="0">
      <text>
        <r>
          <rPr>
            <b/>
            <sz val="9"/>
            <color indexed="81"/>
            <rFont val="宋体"/>
            <charset val="134"/>
          </rPr>
          <t xml:space="preserve">按面積計算
</t>
        </r>
        <r>
          <rPr>
            <b/>
            <sz val="9"/>
            <color indexed="81"/>
            <rFont val="Tahoma"/>
            <family val="2"/>
          </rPr>
          <t>1cm*1cm=0.006g</t>
        </r>
      </text>
    </comment>
    <comment ref="G635" authorId="0">
      <text>
        <r>
          <rPr>
            <b/>
            <sz val="9"/>
            <color indexed="81"/>
            <rFont val="宋体"/>
            <charset val="134"/>
          </rPr>
          <t>洞+內</t>
        </r>
        <r>
          <rPr>
            <b/>
            <sz val="9"/>
            <color indexed="81"/>
            <rFont val="Tahoma"/>
            <family val="2"/>
          </rPr>
          <t>39.3*60</t>
        </r>
      </text>
    </comment>
    <comment ref="F637" authorId="0">
      <text>
        <r>
          <rPr>
            <b/>
            <sz val="9"/>
            <color indexed="81"/>
            <rFont val="Tahoma"/>
            <family val="2"/>
          </rPr>
          <t xml:space="preserve">7g/1000pcs
</t>
        </r>
      </text>
    </comment>
    <comment ref="F638" authorId="0">
      <text>
        <r>
          <rPr>
            <b/>
            <sz val="9"/>
            <color indexed="81"/>
            <rFont val="Tahoma"/>
            <family val="2"/>
          </rPr>
          <t xml:space="preserve">118g/1000pcs
</t>
        </r>
      </text>
    </comment>
    <comment ref="F639" authorId="0">
      <text>
        <r>
          <rPr>
            <b/>
            <sz val="9"/>
            <color indexed="81"/>
            <rFont val="Tahoma"/>
            <family val="2"/>
          </rPr>
          <t xml:space="preserve">282g/2000pcs
</t>
        </r>
      </text>
    </comment>
    <comment ref="F640" authorId="0">
      <text>
        <r>
          <rPr>
            <b/>
            <sz val="9"/>
            <color indexed="81"/>
            <rFont val="Tahoma"/>
            <family val="2"/>
          </rPr>
          <t>466g/1000pcs</t>
        </r>
      </text>
    </comment>
    <comment ref="F641" authorId="0">
      <text>
        <r>
          <rPr>
            <b/>
            <sz val="9"/>
            <color indexed="81"/>
            <rFont val="Tahoma"/>
            <family val="2"/>
          </rPr>
          <t>290g/1000pcs</t>
        </r>
      </text>
    </comment>
    <comment ref="F642" authorId="0">
      <text>
        <r>
          <rPr>
            <b/>
            <sz val="9"/>
            <color indexed="81"/>
            <rFont val="Tahoma"/>
            <family val="2"/>
          </rPr>
          <t>360g/1000pcs</t>
        </r>
      </text>
    </comment>
    <comment ref="J653" authorId="0">
      <text>
        <r>
          <rPr>
            <b/>
            <sz val="9"/>
            <color indexed="81"/>
            <rFont val="宋体"/>
            <charset val="134"/>
          </rPr>
          <t>廠商通知沒貨申請退款成功</t>
        </r>
      </text>
    </comment>
    <comment ref="J654" authorId="0">
      <text>
        <r>
          <rPr>
            <b/>
            <sz val="9"/>
            <color indexed="81"/>
            <rFont val="宋体"/>
            <charset val="134"/>
          </rPr>
          <t>廠商通知沒貨申請退款成功</t>
        </r>
      </text>
    </comment>
    <comment ref="J655" authorId="0">
      <text>
        <r>
          <rPr>
            <b/>
            <sz val="9"/>
            <color indexed="81"/>
            <rFont val="宋体"/>
            <charset val="134"/>
          </rPr>
          <t>廠商通知沒貨申請退款成功</t>
        </r>
      </text>
    </comment>
    <comment ref="J656" authorId="0">
      <text>
        <r>
          <rPr>
            <b/>
            <sz val="9"/>
            <color indexed="81"/>
            <rFont val="宋体"/>
            <charset val="134"/>
          </rPr>
          <t>廠商通知沒貨申請退款成功</t>
        </r>
      </text>
    </comment>
    <comment ref="J657" authorId="0">
      <text>
        <r>
          <rPr>
            <b/>
            <sz val="9"/>
            <color indexed="81"/>
            <rFont val="宋体"/>
            <charset val="134"/>
          </rPr>
          <t>廠商通知沒貨申請退款成功</t>
        </r>
      </text>
    </comment>
    <comment ref="J658" authorId="0">
      <text>
        <r>
          <rPr>
            <b/>
            <sz val="9"/>
            <color indexed="81"/>
            <rFont val="宋体"/>
            <charset val="134"/>
          </rPr>
          <t>廠商通知沒貨申請退款成功</t>
        </r>
      </text>
    </comment>
    <comment ref="G661" authorId="0">
      <text>
        <r>
          <rPr>
            <b/>
            <sz val="9"/>
            <color indexed="81"/>
            <rFont val="宋体"/>
            <charset val="134"/>
          </rPr>
          <t>實際</t>
        </r>
        <r>
          <rPr>
            <b/>
            <sz val="9"/>
            <color indexed="81"/>
            <rFont val="Tahoma"/>
            <family val="2"/>
          </rPr>
          <t>6*30.5cm</t>
        </r>
      </text>
    </comment>
    <comment ref="G663" authorId="0">
      <text>
        <r>
          <rPr>
            <b/>
            <sz val="9"/>
            <color indexed="81"/>
            <rFont val="宋体"/>
            <charset val="134"/>
          </rPr>
          <t>實際</t>
        </r>
        <r>
          <rPr>
            <b/>
            <sz val="9"/>
            <color indexed="81"/>
            <rFont val="Tahoma"/>
            <family val="2"/>
          </rPr>
          <t>6*20.5cm</t>
        </r>
      </text>
    </comment>
    <comment ref="G665" authorId="0">
      <text>
        <r>
          <rPr>
            <b/>
            <sz val="9"/>
            <color indexed="81"/>
            <rFont val="宋体"/>
            <charset val="134"/>
          </rPr>
          <t>實際</t>
        </r>
        <r>
          <rPr>
            <b/>
            <sz val="9"/>
            <color indexed="81"/>
            <rFont val="Tahoma"/>
            <family val="2"/>
          </rPr>
          <t>6*15.5cm</t>
        </r>
      </text>
    </comment>
    <comment ref="G666" authorId="0">
      <text>
        <r>
          <rPr>
            <b/>
            <sz val="9"/>
            <color indexed="81"/>
            <rFont val="宋体"/>
            <charset val="134"/>
          </rPr>
          <t>實際</t>
        </r>
        <r>
          <rPr>
            <b/>
            <sz val="9"/>
            <color indexed="81"/>
            <rFont val="Tahoma"/>
            <family val="2"/>
          </rPr>
          <t>8*19.5cm</t>
        </r>
      </text>
    </comment>
    <comment ref="G671" authorId="0">
      <text>
        <r>
          <rPr>
            <b/>
            <sz val="9"/>
            <color indexed="81"/>
            <rFont val="宋体"/>
            <charset val="134"/>
          </rPr>
          <t>內</t>
        </r>
        <r>
          <rPr>
            <b/>
            <sz val="9"/>
            <color indexed="81"/>
            <rFont val="Tahoma"/>
            <family val="2"/>
          </rPr>
          <t>:5.3*24cm</t>
        </r>
      </text>
    </comment>
    <comment ref="G672" authorId="0">
      <text>
        <r>
          <rPr>
            <b/>
            <sz val="9"/>
            <color indexed="81"/>
            <rFont val="宋体"/>
            <charset val="134"/>
          </rPr>
          <t>內</t>
        </r>
        <r>
          <rPr>
            <b/>
            <sz val="9"/>
            <color indexed="81"/>
            <rFont val="Tahoma"/>
            <family val="2"/>
          </rPr>
          <t>:17.5*26cm</t>
        </r>
      </text>
    </comment>
    <comment ref="G673" authorId="0">
      <text>
        <r>
          <rPr>
            <b/>
            <sz val="9"/>
            <color indexed="81"/>
            <rFont val="宋体"/>
            <charset val="134"/>
          </rPr>
          <t>內</t>
        </r>
        <r>
          <rPr>
            <b/>
            <sz val="9"/>
            <color indexed="81"/>
            <rFont val="Tahoma"/>
            <family val="2"/>
          </rPr>
          <t>:19.5*30cm</t>
        </r>
      </text>
    </comment>
    <comment ref="G674" authorId="0">
      <text>
        <r>
          <rPr>
            <b/>
            <sz val="9"/>
            <color indexed="81"/>
            <rFont val="宋体"/>
            <charset val="134"/>
          </rPr>
          <t>內</t>
        </r>
        <r>
          <rPr>
            <b/>
            <sz val="9"/>
            <color indexed="81"/>
            <rFont val="Tahoma"/>
            <family val="2"/>
          </rPr>
          <t xml:space="preserve">:22*33cm
</t>
        </r>
      </text>
    </comment>
    <comment ref="G676" authorId="0">
      <text>
        <r>
          <rPr>
            <b/>
            <sz val="9"/>
            <color indexed="81"/>
            <rFont val="宋体"/>
            <charset val="134"/>
          </rPr>
          <t>定作</t>
        </r>
      </text>
    </comment>
    <comment ref="G677" authorId="0">
      <text>
        <r>
          <rPr>
            <b/>
            <sz val="9"/>
            <color indexed="81"/>
            <rFont val="宋体"/>
            <charset val="134"/>
          </rPr>
          <t>定作</t>
        </r>
      </text>
    </comment>
    <comment ref="G699" authorId="0">
      <text>
        <r>
          <rPr>
            <b/>
            <sz val="9"/>
            <color indexed="81"/>
            <rFont val="宋体"/>
            <charset val="134"/>
          </rPr>
          <t>定</t>
        </r>
        <r>
          <rPr>
            <b/>
            <sz val="9"/>
            <color indexed="81"/>
            <rFont val="Tahoma"/>
            <family val="2"/>
          </rPr>
          <t xml:space="preserve">8*10
</t>
        </r>
        <r>
          <rPr>
            <b/>
            <sz val="9"/>
            <color indexed="81"/>
            <rFont val="宋体"/>
            <charset val="134"/>
          </rPr>
          <t>作錯尺寸只留</t>
        </r>
        <r>
          <rPr>
            <b/>
            <sz val="9"/>
            <color indexed="81"/>
            <rFont val="Tahoma"/>
            <family val="2"/>
          </rPr>
          <t>8*8</t>
        </r>
      </text>
    </comment>
    <comment ref="G703" authorId="0">
      <text>
        <r>
          <rPr>
            <b/>
            <sz val="9"/>
            <color indexed="81"/>
            <rFont val="宋体"/>
            <charset val="134"/>
          </rPr>
          <t>內</t>
        </r>
        <r>
          <rPr>
            <b/>
            <sz val="9"/>
            <color indexed="81"/>
            <rFont val="Tahoma"/>
            <family val="2"/>
          </rPr>
          <t>13*14</t>
        </r>
      </text>
    </comment>
    <comment ref="G704" authorId="0">
      <text>
        <r>
          <rPr>
            <b/>
            <sz val="9"/>
            <color indexed="81"/>
            <rFont val="宋体"/>
            <charset val="134"/>
          </rPr>
          <t>內</t>
        </r>
        <r>
          <rPr>
            <b/>
            <sz val="9"/>
            <color indexed="81"/>
            <rFont val="Tahoma"/>
            <family val="2"/>
          </rPr>
          <t xml:space="preserve">12.5*18.5
</t>
        </r>
      </text>
    </comment>
    <comment ref="G705" authorId="0">
      <text>
        <r>
          <rPr>
            <b/>
            <sz val="9"/>
            <color indexed="81"/>
            <rFont val="宋体"/>
            <charset val="134"/>
          </rPr>
          <t>內</t>
        </r>
        <r>
          <rPr>
            <b/>
            <sz val="9"/>
            <color indexed="81"/>
            <rFont val="Tahoma"/>
            <family val="2"/>
          </rPr>
          <t>12.5*24</t>
        </r>
      </text>
    </comment>
    <comment ref="G706" authorId="0">
      <text>
        <r>
          <rPr>
            <b/>
            <sz val="9"/>
            <color indexed="81"/>
            <rFont val="宋体"/>
            <charset val="134"/>
          </rPr>
          <t>內</t>
        </r>
        <r>
          <rPr>
            <b/>
            <sz val="9"/>
            <color indexed="81"/>
            <rFont val="Tahoma"/>
            <family val="2"/>
          </rPr>
          <t>14*14</t>
        </r>
      </text>
    </comment>
    <comment ref="G707" authorId="0">
      <text>
        <r>
          <rPr>
            <b/>
            <sz val="9"/>
            <color indexed="81"/>
            <rFont val="宋体"/>
            <charset val="134"/>
          </rPr>
          <t>內</t>
        </r>
        <r>
          <rPr>
            <b/>
            <sz val="9"/>
            <color indexed="81"/>
            <rFont val="Tahoma"/>
            <family val="2"/>
          </rPr>
          <t>14.5*19</t>
        </r>
      </text>
    </comment>
    <comment ref="G708" authorId="0">
      <text>
        <r>
          <rPr>
            <b/>
            <sz val="9"/>
            <color indexed="81"/>
            <rFont val="宋体"/>
            <charset val="134"/>
          </rPr>
          <t>內</t>
        </r>
        <r>
          <rPr>
            <b/>
            <sz val="9"/>
            <color indexed="81"/>
            <rFont val="Tahoma"/>
            <family val="2"/>
          </rPr>
          <t>14.5*23.5</t>
        </r>
      </text>
    </comment>
    <comment ref="G709" authorId="0">
      <text>
        <r>
          <rPr>
            <b/>
            <sz val="9"/>
            <color indexed="81"/>
            <rFont val="宋体"/>
            <charset val="134"/>
          </rPr>
          <t>內</t>
        </r>
        <r>
          <rPr>
            <b/>
            <sz val="9"/>
            <color indexed="81"/>
            <rFont val="Tahoma"/>
            <family val="2"/>
          </rPr>
          <t>19.5*24</t>
        </r>
      </text>
    </comment>
    <comment ref="G710" authorId="0">
      <text>
        <r>
          <rPr>
            <b/>
            <sz val="9"/>
            <color indexed="81"/>
            <rFont val="宋体"/>
            <charset val="134"/>
          </rPr>
          <t>內</t>
        </r>
        <r>
          <rPr>
            <b/>
            <sz val="9"/>
            <color indexed="81"/>
            <rFont val="Tahoma"/>
            <family val="2"/>
          </rPr>
          <t>19.5*28</t>
        </r>
      </text>
    </comment>
    <comment ref="G711" authorId="0">
      <text>
        <r>
          <rPr>
            <b/>
            <sz val="9"/>
            <color indexed="81"/>
            <rFont val="宋体"/>
            <charset val="134"/>
          </rPr>
          <t>內</t>
        </r>
        <r>
          <rPr>
            <b/>
            <sz val="9"/>
            <color indexed="81"/>
            <rFont val="Tahoma"/>
            <family val="2"/>
          </rPr>
          <t>24.5*24</t>
        </r>
      </text>
    </comment>
    <comment ref="G712" authorId="0">
      <text>
        <r>
          <rPr>
            <b/>
            <sz val="9"/>
            <color indexed="81"/>
            <rFont val="宋体"/>
            <charset val="134"/>
          </rPr>
          <t>內</t>
        </r>
        <r>
          <rPr>
            <b/>
            <sz val="9"/>
            <color indexed="81"/>
            <rFont val="Tahoma"/>
            <family val="2"/>
          </rPr>
          <t>24*29</t>
        </r>
      </text>
    </comment>
    <comment ref="G714" authorId="0">
      <text>
        <r>
          <rPr>
            <b/>
            <sz val="9"/>
            <color indexed="81"/>
            <rFont val="宋体"/>
            <charset val="134"/>
          </rPr>
          <t>內</t>
        </r>
        <r>
          <rPr>
            <b/>
            <sz val="9"/>
            <color indexed="81"/>
            <rFont val="Tahoma"/>
            <family val="2"/>
          </rPr>
          <t>29.5*34</t>
        </r>
      </text>
    </comment>
    <comment ref="G716" authorId="0">
      <text>
        <r>
          <rPr>
            <b/>
            <sz val="9"/>
            <color indexed="81"/>
            <rFont val="宋体"/>
            <charset val="134"/>
          </rPr>
          <t>內</t>
        </r>
        <r>
          <rPr>
            <b/>
            <sz val="9"/>
            <color indexed="81"/>
            <rFont val="Tahoma"/>
            <family val="2"/>
          </rPr>
          <t>10.5*22.5</t>
        </r>
      </text>
    </comment>
    <comment ref="D717" authorId="0">
      <text>
        <r>
          <rPr>
            <b/>
            <sz val="9"/>
            <color indexed="81"/>
            <rFont val="宋体"/>
            <charset val="134"/>
          </rPr>
          <t>玻璃窗旁</t>
        </r>
      </text>
    </comment>
    <comment ref="G717" authorId="0">
      <text>
        <r>
          <rPr>
            <b/>
            <sz val="9"/>
            <color indexed="81"/>
            <rFont val="宋体"/>
            <charset val="134"/>
          </rPr>
          <t>內</t>
        </r>
        <r>
          <rPr>
            <b/>
            <sz val="9"/>
            <color indexed="81"/>
            <rFont val="Tahoma"/>
            <family val="2"/>
          </rPr>
          <t>12.5*24</t>
        </r>
      </text>
    </comment>
    <comment ref="G718" authorId="0">
      <text>
        <r>
          <rPr>
            <b/>
            <sz val="9"/>
            <color indexed="81"/>
            <rFont val="宋体"/>
            <charset val="134"/>
          </rPr>
          <t>內</t>
        </r>
        <r>
          <rPr>
            <b/>
            <sz val="9"/>
            <color indexed="81"/>
            <rFont val="Tahoma"/>
            <family val="2"/>
          </rPr>
          <t>12*17.5</t>
        </r>
      </text>
    </comment>
    <comment ref="G719" authorId="0">
      <text>
        <r>
          <rPr>
            <b/>
            <sz val="9"/>
            <color indexed="81"/>
            <rFont val="宋体"/>
            <charset val="134"/>
          </rPr>
          <t>內</t>
        </r>
        <r>
          <rPr>
            <b/>
            <sz val="9"/>
            <color indexed="81"/>
            <rFont val="Tahoma"/>
            <family val="2"/>
          </rPr>
          <t>9*15</t>
        </r>
      </text>
    </comment>
    <comment ref="G720" authorId="0">
      <text>
        <r>
          <rPr>
            <b/>
            <sz val="9"/>
            <color indexed="81"/>
            <rFont val="宋体"/>
            <charset val="134"/>
          </rPr>
          <t>內</t>
        </r>
        <r>
          <rPr>
            <b/>
            <sz val="9"/>
            <color indexed="81"/>
            <rFont val="Tahoma"/>
            <family val="2"/>
          </rPr>
          <t>17.5*20.5</t>
        </r>
      </text>
    </comment>
    <comment ref="G721" authorId="0">
      <text>
        <r>
          <rPr>
            <b/>
            <sz val="9"/>
            <color indexed="81"/>
            <rFont val="宋体"/>
            <charset val="134"/>
          </rPr>
          <t>內</t>
        </r>
        <r>
          <rPr>
            <b/>
            <sz val="9"/>
            <color indexed="81"/>
            <rFont val="Tahoma"/>
            <family val="2"/>
          </rPr>
          <t>7*13</t>
        </r>
      </text>
    </comment>
    <comment ref="G722" authorId="0">
      <text>
        <r>
          <rPr>
            <b/>
            <sz val="9"/>
            <color indexed="81"/>
            <rFont val="宋体"/>
            <charset val="134"/>
          </rPr>
          <t>內</t>
        </r>
        <r>
          <rPr>
            <b/>
            <sz val="9"/>
            <color indexed="81"/>
            <rFont val="Tahoma"/>
            <family val="2"/>
          </rPr>
          <t>22.5*29.5</t>
        </r>
      </text>
    </comment>
    <comment ref="G723" authorId="0">
      <text>
        <r>
          <rPr>
            <b/>
            <sz val="9"/>
            <color indexed="81"/>
            <rFont val="宋体"/>
            <charset val="134"/>
          </rPr>
          <t>內</t>
        </r>
        <r>
          <rPr>
            <b/>
            <sz val="9"/>
            <color indexed="81"/>
            <rFont val="Tahoma"/>
            <family val="2"/>
          </rPr>
          <t>9*10</t>
        </r>
      </text>
    </comment>
    <comment ref="G724" authorId="0">
      <text>
        <r>
          <rPr>
            <b/>
            <sz val="9"/>
            <color indexed="81"/>
            <rFont val="宋体"/>
            <charset val="134"/>
          </rPr>
          <t>內</t>
        </r>
        <r>
          <rPr>
            <b/>
            <sz val="9"/>
            <color indexed="81"/>
            <rFont val="Tahoma"/>
            <family val="2"/>
          </rPr>
          <t>9*11.5</t>
        </r>
      </text>
    </comment>
    <comment ref="G726" authorId="0">
      <text>
        <r>
          <rPr>
            <b/>
            <sz val="9"/>
            <color indexed="81"/>
            <rFont val="宋体"/>
            <charset val="134"/>
          </rPr>
          <t>內</t>
        </r>
        <r>
          <rPr>
            <b/>
            <sz val="9"/>
            <color indexed="81"/>
            <rFont val="Tahoma"/>
            <family val="2"/>
          </rPr>
          <t>11*20</t>
        </r>
      </text>
    </comment>
    <comment ref="G727" authorId="0">
      <text>
        <r>
          <rPr>
            <b/>
            <sz val="9"/>
            <color indexed="81"/>
            <rFont val="宋体"/>
            <charset val="134"/>
          </rPr>
          <t>內</t>
        </r>
        <r>
          <rPr>
            <b/>
            <sz val="9"/>
            <color indexed="81"/>
            <rFont val="Tahoma"/>
            <family val="2"/>
          </rPr>
          <t>11.5*15</t>
        </r>
      </text>
    </comment>
    <comment ref="G728" authorId="0">
      <text>
        <r>
          <rPr>
            <b/>
            <sz val="9"/>
            <color indexed="81"/>
            <rFont val="宋体"/>
            <charset val="134"/>
          </rPr>
          <t>內</t>
        </r>
        <r>
          <rPr>
            <b/>
            <sz val="9"/>
            <color indexed="81"/>
            <rFont val="Tahoma"/>
            <family val="2"/>
          </rPr>
          <t>12.5*17</t>
        </r>
      </text>
    </comment>
    <comment ref="F729" authorId="0">
      <text>
        <r>
          <rPr>
            <b/>
            <sz val="9"/>
            <color indexed="81"/>
            <rFont val="宋体"/>
            <charset val="134"/>
          </rPr>
          <t>估算</t>
        </r>
      </text>
    </comment>
    <comment ref="G730" authorId="0">
      <text>
        <r>
          <rPr>
            <b/>
            <sz val="9"/>
            <color indexed="81"/>
            <rFont val="Tahoma"/>
            <family val="2"/>
          </rPr>
          <t>dv-10:</t>
        </r>
        <r>
          <rPr>
            <sz val="9"/>
            <color indexed="81"/>
            <rFont val="Tahoma"/>
            <family val="2"/>
          </rPr>
          <t xml:space="preserve">
</t>
        </r>
      </text>
    </comment>
    <comment ref="G731" authorId="0">
      <text>
        <r>
          <rPr>
            <b/>
            <sz val="9"/>
            <color indexed="81"/>
            <rFont val="宋体"/>
            <charset val="134"/>
          </rPr>
          <t>內</t>
        </r>
        <r>
          <rPr>
            <b/>
            <sz val="9"/>
            <color indexed="81"/>
            <rFont val="Tahoma"/>
            <family val="2"/>
          </rPr>
          <t>17.5*24</t>
        </r>
      </text>
    </comment>
    <comment ref="G732" authorId="0">
      <text>
        <r>
          <rPr>
            <b/>
            <sz val="9"/>
            <color indexed="81"/>
            <rFont val="宋体"/>
            <charset val="134"/>
          </rPr>
          <t>原定</t>
        </r>
        <r>
          <rPr>
            <b/>
            <sz val="9"/>
            <color indexed="81"/>
            <rFont val="Tahoma"/>
            <family val="2"/>
          </rPr>
          <t xml:space="preserve">23*30 x 180p x 9
</t>
        </r>
        <r>
          <rPr>
            <b/>
            <sz val="9"/>
            <color indexed="81"/>
            <rFont val="宋体"/>
            <charset val="134"/>
          </rPr>
          <t xml:space="preserve">工廠缺貨改發
</t>
        </r>
        <r>
          <rPr>
            <b/>
            <sz val="9"/>
            <color indexed="81"/>
            <rFont val="Tahoma"/>
            <family val="2"/>
          </rPr>
          <t>23*30 x 180p x 1
+ 23*28 x 190p 8</t>
        </r>
        <r>
          <rPr>
            <b/>
            <sz val="9"/>
            <color indexed="81"/>
            <rFont val="宋体"/>
            <charset val="134"/>
          </rPr>
          <t xml:space="preserve">
內</t>
        </r>
        <r>
          <rPr>
            <b/>
            <sz val="9"/>
            <color indexed="81"/>
            <rFont val="Tahoma"/>
            <family val="2"/>
          </rPr>
          <t>20*26</t>
        </r>
      </text>
    </comment>
    <comment ref="G733" authorId="0">
      <text>
        <r>
          <rPr>
            <b/>
            <sz val="9"/>
            <color indexed="81"/>
            <rFont val="宋体"/>
            <charset val="134"/>
          </rPr>
          <t>內</t>
        </r>
        <r>
          <rPr>
            <b/>
            <sz val="9"/>
            <color indexed="81"/>
            <rFont val="Tahoma"/>
            <family val="2"/>
          </rPr>
          <t>23*29</t>
        </r>
      </text>
    </comment>
    <comment ref="H792" authorId="0">
      <text>
        <r>
          <rPr>
            <b/>
            <sz val="9"/>
            <color indexed="81"/>
            <rFont val="宋体"/>
            <charset val="134"/>
          </rPr>
          <t>買</t>
        </r>
        <r>
          <rPr>
            <b/>
            <sz val="9"/>
            <color indexed="81"/>
            <rFont val="Tahoma"/>
            <family val="2"/>
          </rPr>
          <t xml:space="preserve">100
</t>
        </r>
        <r>
          <rPr>
            <b/>
            <sz val="9"/>
            <color indexed="81"/>
            <rFont val="宋体"/>
            <charset val="134"/>
          </rPr>
          <t>出</t>
        </r>
        <r>
          <rPr>
            <b/>
            <sz val="9"/>
            <color indexed="81"/>
            <rFont val="Tahoma"/>
            <family val="2"/>
          </rPr>
          <t>200</t>
        </r>
      </text>
    </comment>
    <comment ref="F795" authorId="0">
      <text>
        <r>
          <rPr>
            <b/>
            <sz val="9"/>
            <color indexed="81"/>
            <rFont val="宋体"/>
            <charset val="134"/>
          </rPr>
          <t xml:space="preserve">疑似出貨100米
</t>
        </r>
      </text>
    </comment>
    <comment ref="H795" authorId="0">
      <text>
        <r>
          <rPr>
            <b/>
            <sz val="9"/>
            <color indexed="81"/>
            <rFont val="宋体"/>
            <charset val="134"/>
          </rPr>
          <t>定貨</t>
        </r>
        <r>
          <rPr>
            <b/>
            <sz val="9"/>
            <color indexed="81"/>
            <rFont val="Tahoma"/>
            <family val="2"/>
          </rPr>
          <t>50</t>
        </r>
        <r>
          <rPr>
            <b/>
            <sz val="9"/>
            <color indexed="81"/>
            <rFont val="宋体"/>
            <charset val="134"/>
          </rPr>
          <t>米
到貨</t>
        </r>
        <r>
          <rPr>
            <b/>
            <sz val="9"/>
            <color indexed="81"/>
            <rFont val="Tahoma"/>
            <family val="2"/>
          </rPr>
          <t>100</t>
        </r>
        <r>
          <rPr>
            <b/>
            <sz val="9"/>
            <color indexed="81"/>
            <rFont val="宋体"/>
            <charset val="134"/>
          </rPr>
          <t xml:space="preserve">米
</t>
        </r>
      </text>
    </comment>
    <comment ref="G822" authorId="0">
      <text>
        <r>
          <rPr>
            <b/>
            <sz val="9"/>
            <color indexed="81"/>
            <rFont val="Tahoma"/>
            <family val="2"/>
          </rPr>
          <t>5</t>
        </r>
        <r>
          <rPr>
            <b/>
            <sz val="9"/>
            <color indexed="81"/>
            <rFont val="宋体"/>
            <charset val="134"/>
          </rPr>
          <t xml:space="preserve">件套裝分拆
</t>
        </r>
      </text>
    </comment>
    <comment ref="I822"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G823" authorId="0">
      <text>
        <r>
          <rPr>
            <b/>
            <sz val="9"/>
            <color indexed="81"/>
            <rFont val="Tahoma"/>
            <family val="2"/>
          </rPr>
          <t>5</t>
        </r>
        <r>
          <rPr>
            <b/>
            <sz val="9"/>
            <color indexed="81"/>
            <rFont val="宋体"/>
            <charset val="134"/>
          </rPr>
          <t xml:space="preserve">件套裝分拆
</t>
        </r>
      </text>
    </comment>
    <comment ref="I823"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G824" authorId="0">
      <text>
        <r>
          <rPr>
            <b/>
            <sz val="9"/>
            <color indexed="81"/>
            <rFont val="Tahoma"/>
            <family val="2"/>
          </rPr>
          <t>5</t>
        </r>
        <r>
          <rPr>
            <b/>
            <sz val="9"/>
            <color indexed="81"/>
            <rFont val="宋体"/>
            <charset val="134"/>
          </rPr>
          <t xml:space="preserve">件套裝分拆
</t>
        </r>
      </text>
    </comment>
    <comment ref="I824"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G825" authorId="0">
      <text>
        <r>
          <rPr>
            <b/>
            <sz val="9"/>
            <color indexed="81"/>
            <rFont val="Tahoma"/>
            <family val="2"/>
          </rPr>
          <t>5</t>
        </r>
        <r>
          <rPr>
            <b/>
            <sz val="9"/>
            <color indexed="81"/>
            <rFont val="宋体"/>
            <charset val="134"/>
          </rPr>
          <t xml:space="preserve">件套裝分拆
</t>
        </r>
      </text>
    </comment>
    <comment ref="I825"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G826" authorId="0">
      <text>
        <r>
          <rPr>
            <b/>
            <sz val="9"/>
            <color indexed="81"/>
            <rFont val="Tahoma"/>
            <family val="2"/>
          </rPr>
          <t>5</t>
        </r>
        <r>
          <rPr>
            <b/>
            <sz val="9"/>
            <color indexed="81"/>
            <rFont val="宋体"/>
            <charset val="134"/>
          </rPr>
          <t xml:space="preserve">件套裝分拆
</t>
        </r>
      </text>
    </comment>
    <comment ref="I826"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G845" authorId="0">
      <text>
        <r>
          <rPr>
            <b/>
            <sz val="9"/>
            <color indexed="81"/>
            <rFont val="Tahoma"/>
            <family val="2"/>
          </rPr>
          <t>8</t>
        </r>
        <r>
          <rPr>
            <b/>
            <sz val="9"/>
            <color indexed="81"/>
            <rFont val="宋体"/>
            <charset val="134"/>
          </rPr>
          <t xml:space="preserve">件裝分拆
</t>
        </r>
      </text>
    </comment>
    <comment ref="G846" authorId="0">
      <text>
        <r>
          <rPr>
            <b/>
            <sz val="9"/>
            <color indexed="81"/>
            <rFont val="Tahoma"/>
            <family val="2"/>
          </rPr>
          <t>8</t>
        </r>
        <r>
          <rPr>
            <b/>
            <sz val="9"/>
            <color indexed="81"/>
            <rFont val="宋体"/>
            <charset val="134"/>
          </rPr>
          <t xml:space="preserve">件裝分拆
</t>
        </r>
      </text>
    </comment>
    <comment ref="G847" authorId="0">
      <text>
        <r>
          <rPr>
            <b/>
            <sz val="9"/>
            <color indexed="81"/>
            <rFont val="Tahoma"/>
            <family val="2"/>
          </rPr>
          <t>8</t>
        </r>
        <r>
          <rPr>
            <b/>
            <sz val="9"/>
            <color indexed="81"/>
            <rFont val="宋体"/>
            <charset val="134"/>
          </rPr>
          <t xml:space="preserve">件裝分拆
</t>
        </r>
      </text>
    </comment>
    <comment ref="G848" authorId="0">
      <text>
        <r>
          <rPr>
            <b/>
            <sz val="9"/>
            <color indexed="81"/>
            <rFont val="Tahoma"/>
            <family val="2"/>
          </rPr>
          <t>8</t>
        </r>
        <r>
          <rPr>
            <b/>
            <sz val="9"/>
            <color indexed="81"/>
            <rFont val="宋体"/>
            <charset val="134"/>
          </rPr>
          <t xml:space="preserve">件裝分拆
</t>
        </r>
      </text>
    </comment>
    <comment ref="G849" authorId="0">
      <text>
        <r>
          <rPr>
            <b/>
            <sz val="9"/>
            <color indexed="81"/>
            <rFont val="宋体"/>
            <charset val="134"/>
          </rPr>
          <t xml:space="preserve">廠家免費送
</t>
        </r>
      </text>
    </comment>
    <comment ref="I849" authorId="0">
      <text>
        <r>
          <rPr>
            <b/>
            <sz val="9"/>
            <color indexed="81"/>
            <rFont val="宋体"/>
            <charset val="134"/>
          </rPr>
          <t xml:space="preserve">廠家免費送
</t>
        </r>
      </text>
    </comment>
    <comment ref="F856" authorId="0">
      <text>
        <r>
          <rPr>
            <b/>
            <sz val="9"/>
            <color indexed="81"/>
            <rFont val="Tahoma"/>
            <family val="2"/>
          </rPr>
          <t>330g/10pcs</t>
        </r>
      </text>
    </comment>
    <comment ref="H886" authorId="0">
      <text>
        <r>
          <rPr>
            <b/>
            <sz val="9"/>
            <color indexed="81"/>
            <rFont val="宋体"/>
            <charset val="134"/>
          </rPr>
          <t>到</t>
        </r>
        <r>
          <rPr>
            <b/>
            <sz val="9"/>
            <color indexed="81"/>
            <rFont val="Tahoma"/>
            <family val="2"/>
          </rPr>
          <t>99</t>
        </r>
        <r>
          <rPr>
            <b/>
            <sz val="9"/>
            <color indexed="81"/>
            <rFont val="宋体"/>
            <charset val="134"/>
          </rPr>
          <t>個</t>
        </r>
      </text>
    </comment>
    <comment ref="G896" authorId="0">
      <text>
        <r>
          <rPr>
            <b/>
            <sz val="9"/>
            <color indexed="81"/>
            <rFont val="宋体"/>
            <charset val="134"/>
          </rPr>
          <t>出成黃色</t>
        </r>
      </text>
    </comment>
    <comment ref="H897" authorId="0">
      <text>
        <r>
          <rPr>
            <b/>
            <sz val="9"/>
            <color indexed="81"/>
            <rFont val="宋体"/>
            <charset val="134"/>
          </rPr>
          <t>出</t>
        </r>
        <r>
          <rPr>
            <b/>
            <sz val="9"/>
            <color indexed="81"/>
            <rFont val="Tahoma"/>
            <family val="2"/>
          </rPr>
          <t>53</t>
        </r>
        <r>
          <rPr>
            <b/>
            <sz val="9"/>
            <color indexed="81"/>
            <rFont val="宋体"/>
            <charset val="134"/>
          </rPr>
          <t>個</t>
        </r>
      </text>
    </comment>
    <comment ref="G911" authorId="0">
      <text>
        <r>
          <rPr>
            <b/>
            <sz val="9"/>
            <color indexed="81"/>
            <rFont val="宋体"/>
            <charset val="134"/>
          </rPr>
          <t xml:space="preserve">從小袋子拿出來顏色比較深,雙邊口是同向,低級的反向
</t>
        </r>
      </text>
    </comment>
    <comment ref="F923" authorId="0">
      <text>
        <r>
          <rPr>
            <b/>
            <sz val="9"/>
            <color indexed="81"/>
            <rFont val="宋体"/>
            <charset val="134"/>
          </rPr>
          <t>紙卡</t>
        </r>
        <r>
          <rPr>
            <b/>
            <sz val="9"/>
            <color indexed="81"/>
            <rFont val="Tahoma"/>
            <family val="2"/>
          </rPr>
          <t>6.6g</t>
        </r>
      </text>
    </comment>
    <comment ref="E925" authorId="0">
      <text>
        <r>
          <rPr>
            <sz val="12"/>
            <rFont val="宋体"/>
            <charset val="134"/>
          </rPr>
          <t>重覆進</t>
        </r>
      </text>
    </comment>
    <comment ref="G925" authorId="0">
      <text>
        <r>
          <rPr>
            <b/>
            <sz val="9"/>
            <color indexed="81"/>
            <rFont val="宋体"/>
            <charset val="134"/>
          </rPr>
          <t>重覆進</t>
        </r>
      </text>
    </comment>
    <comment ref="G927" authorId="0">
      <text>
        <r>
          <rPr>
            <b/>
            <sz val="9"/>
            <color indexed="81"/>
            <rFont val="宋体"/>
            <charset val="134"/>
          </rPr>
          <t>工廠作錯為</t>
        </r>
        <r>
          <rPr>
            <b/>
            <sz val="9"/>
            <color indexed="81"/>
            <rFont val="Tahoma"/>
            <family val="2"/>
          </rPr>
          <t xml:space="preserve">5cm*8cm
</t>
        </r>
        <r>
          <rPr>
            <b/>
            <sz val="9"/>
            <color indexed="81"/>
            <rFont val="宋体"/>
            <charset val="134"/>
          </rPr>
          <t>重新定作</t>
        </r>
        <r>
          <rPr>
            <b/>
            <sz val="9"/>
            <color indexed="81"/>
            <rFont val="Tahoma"/>
            <family val="2"/>
          </rPr>
          <t xml:space="preserve">6.5cm*8cm
</t>
        </r>
      </text>
    </comment>
    <comment ref="H1069" authorId="0">
      <text>
        <r>
          <rPr>
            <b/>
            <sz val="9"/>
            <color indexed="81"/>
            <rFont val="宋体"/>
            <charset val="134"/>
          </rPr>
          <t>收</t>
        </r>
        <r>
          <rPr>
            <b/>
            <sz val="9"/>
            <color indexed="81"/>
            <rFont val="Tahoma"/>
            <family val="2"/>
          </rPr>
          <t>10</t>
        </r>
        <r>
          <rPr>
            <b/>
            <sz val="9"/>
            <color indexed="81"/>
            <rFont val="宋体"/>
            <charset val="134"/>
          </rPr>
          <t>把留</t>
        </r>
        <r>
          <rPr>
            <b/>
            <sz val="9"/>
            <color indexed="81"/>
            <rFont val="Tahoma"/>
            <family val="2"/>
          </rPr>
          <t>1</t>
        </r>
        <r>
          <rPr>
            <b/>
            <sz val="9"/>
            <color indexed="81"/>
            <rFont val="宋体"/>
            <charset val="134"/>
          </rPr>
          <t>把出</t>
        </r>
        <r>
          <rPr>
            <b/>
            <sz val="9"/>
            <color indexed="81"/>
            <rFont val="Tahoma"/>
            <family val="2"/>
          </rPr>
          <t>9</t>
        </r>
        <r>
          <rPr>
            <b/>
            <sz val="9"/>
            <color indexed="81"/>
            <rFont val="宋体"/>
            <charset val="134"/>
          </rPr>
          <t>把</t>
        </r>
      </text>
    </comment>
    <comment ref="H1079" authorId="0">
      <text>
        <r>
          <rPr>
            <b/>
            <sz val="9"/>
            <color indexed="81"/>
            <rFont val="宋体"/>
            <charset val="134"/>
          </rPr>
          <t>定</t>
        </r>
        <r>
          <rPr>
            <b/>
            <sz val="9"/>
            <color indexed="81"/>
            <rFont val="Tahoma"/>
            <family val="2"/>
          </rPr>
          <t>3</t>
        </r>
        <r>
          <rPr>
            <b/>
            <sz val="9"/>
            <color indexed="81"/>
            <rFont val="宋体"/>
            <charset val="134"/>
          </rPr>
          <t>收</t>
        </r>
        <r>
          <rPr>
            <b/>
            <sz val="9"/>
            <color indexed="81"/>
            <rFont val="Tahoma"/>
            <family val="2"/>
          </rPr>
          <t>5</t>
        </r>
      </text>
    </comment>
    <comment ref="H1080" authorId="0">
      <text>
        <r>
          <rPr>
            <b/>
            <sz val="9"/>
            <color indexed="81"/>
            <rFont val="宋体"/>
            <charset val="134"/>
          </rPr>
          <t>出錯成紅</t>
        </r>
        <r>
          <rPr>
            <b/>
            <sz val="9"/>
            <color indexed="81"/>
            <rFont val="Tahoma"/>
            <family val="2"/>
          </rPr>
          <t>2</t>
        </r>
        <r>
          <rPr>
            <b/>
            <sz val="9"/>
            <color indexed="81"/>
            <rFont val="宋体"/>
            <charset val="134"/>
          </rPr>
          <t>支
共少</t>
        </r>
        <r>
          <rPr>
            <b/>
            <sz val="9"/>
            <color indexed="81"/>
            <rFont val="Tahoma"/>
            <family val="2"/>
          </rPr>
          <t>1</t>
        </r>
        <r>
          <rPr>
            <b/>
            <sz val="9"/>
            <color indexed="81"/>
            <rFont val="宋体"/>
            <charset val="134"/>
          </rPr>
          <t>支</t>
        </r>
      </text>
    </comment>
    <comment ref="H1082" authorId="0">
      <text>
        <r>
          <rPr>
            <b/>
            <sz val="9"/>
            <color indexed="81"/>
            <rFont val="宋体"/>
            <charset val="134"/>
          </rPr>
          <t>收</t>
        </r>
        <r>
          <rPr>
            <b/>
            <sz val="9"/>
            <color indexed="81"/>
            <rFont val="Tahoma"/>
            <family val="2"/>
          </rPr>
          <t>6</t>
        </r>
        <r>
          <rPr>
            <b/>
            <sz val="9"/>
            <color indexed="81"/>
            <rFont val="宋体"/>
            <charset val="134"/>
          </rPr>
          <t>根留</t>
        </r>
        <r>
          <rPr>
            <b/>
            <sz val="9"/>
            <color indexed="81"/>
            <rFont val="Tahoma"/>
            <family val="2"/>
          </rPr>
          <t>1</t>
        </r>
        <r>
          <rPr>
            <b/>
            <sz val="9"/>
            <color indexed="81"/>
            <rFont val="宋体"/>
            <charset val="134"/>
          </rPr>
          <t>根</t>
        </r>
      </text>
    </comment>
    <comment ref="H1093" authorId="0">
      <text>
        <r>
          <rPr>
            <b/>
            <sz val="9"/>
            <color indexed="81"/>
            <rFont val="宋体"/>
            <charset val="134"/>
          </rPr>
          <t>收</t>
        </r>
        <r>
          <rPr>
            <b/>
            <sz val="9"/>
            <color indexed="81"/>
            <rFont val="Tahoma"/>
            <family val="2"/>
          </rPr>
          <t>6</t>
        </r>
        <r>
          <rPr>
            <b/>
            <sz val="9"/>
            <color indexed="81"/>
            <rFont val="宋体"/>
            <charset val="134"/>
          </rPr>
          <t>條留</t>
        </r>
        <r>
          <rPr>
            <b/>
            <sz val="9"/>
            <color indexed="81"/>
            <rFont val="Tahoma"/>
            <family val="2"/>
          </rPr>
          <t>1</t>
        </r>
        <r>
          <rPr>
            <b/>
            <sz val="9"/>
            <color indexed="81"/>
            <rFont val="宋体"/>
            <charset val="134"/>
          </rPr>
          <t>條</t>
        </r>
      </text>
    </comment>
    <comment ref="H1096" authorId="0">
      <text>
        <r>
          <rPr>
            <b/>
            <sz val="9"/>
            <color indexed="81"/>
            <rFont val="宋体"/>
            <charset val="134"/>
          </rPr>
          <t>定平3尖3
收平6</t>
        </r>
      </text>
    </comment>
    <comment ref="F1106" authorId="0">
      <text>
        <r>
          <rPr>
            <b/>
            <sz val="9"/>
            <color indexed="81"/>
            <rFont val="宋体"/>
            <charset val="134"/>
          </rPr>
          <t>紙卡</t>
        </r>
        <r>
          <rPr>
            <b/>
            <sz val="9"/>
            <color indexed="81"/>
            <rFont val="Tahoma"/>
            <family val="2"/>
          </rPr>
          <t xml:space="preserve">4.2g
</t>
        </r>
      </text>
    </comment>
    <comment ref="H1109" authorId="0">
      <text>
        <r>
          <rPr>
            <b/>
            <sz val="9"/>
            <color indexed="81"/>
            <rFont val="宋体"/>
            <charset val="134"/>
          </rPr>
          <t>出</t>
        </r>
        <r>
          <rPr>
            <b/>
            <sz val="9"/>
            <color indexed="81"/>
            <rFont val="Tahoma"/>
            <family val="2"/>
          </rPr>
          <t>11</t>
        </r>
        <r>
          <rPr>
            <b/>
            <sz val="9"/>
            <color indexed="81"/>
            <rFont val="宋体"/>
            <charset val="134"/>
          </rPr>
          <t>條</t>
        </r>
      </text>
    </comment>
    <comment ref="F1190" authorId="0">
      <text>
        <r>
          <rPr>
            <b/>
            <sz val="9"/>
            <color indexed="81"/>
            <rFont val="宋体"/>
            <charset val="134"/>
          </rPr>
          <t>自封袋</t>
        </r>
        <r>
          <rPr>
            <b/>
            <sz val="9"/>
            <color indexed="81"/>
            <rFont val="Tahoma"/>
            <family val="2"/>
          </rPr>
          <t>:8*12cm-1g
4.5g/10pcs</t>
        </r>
      </text>
    </comment>
    <comment ref="F1199" authorId="0">
      <text>
        <r>
          <rPr>
            <b/>
            <sz val="9"/>
            <color indexed="81"/>
            <rFont val="Tahoma"/>
            <family val="2"/>
          </rPr>
          <t>6.4g/10pcs</t>
        </r>
      </text>
    </comment>
    <comment ref="F1210" authorId="0">
      <text>
        <r>
          <rPr>
            <b/>
            <sz val="9"/>
            <color indexed="81"/>
            <rFont val="Tahoma"/>
            <family val="2"/>
          </rPr>
          <t>13g/10pcs</t>
        </r>
      </text>
    </comment>
    <comment ref="G1251" authorId="0">
      <text>
        <r>
          <rPr>
            <b/>
            <sz val="9"/>
            <color indexed="81"/>
            <rFont val="宋体"/>
            <charset val="134"/>
          </rPr>
          <t>出成迷你型</t>
        </r>
      </text>
    </comment>
    <comment ref="H1261"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H1262"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H1263"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H1264"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H1265" authorId="0">
      <text>
        <r>
          <rPr>
            <b/>
            <sz val="9"/>
            <color indexed="81"/>
            <rFont val="宋体"/>
            <charset val="134"/>
          </rPr>
          <t>換回</t>
        </r>
        <r>
          <rPr>
            <b/>
            <sz val="9"/>
            <color indexed="81"/>
            <rFont val="Tahoma"/>
            <family val="2"/>
          </rPr>
          <t>54</t>
        </r>
        <r>
          <rPr>
            <b/>
            <sz val="9"/>
            <color indexed="81"/>
            <rFont val="宋体"/>
            <charset val="134"/>
          </rPr>
          <t>包
加</t>
        </r>
        <r>
          <rPr>
            <b/>
            <sz val="9"/>
            <color indexed="81"/>
            <rFont val="Tahoma"/>
            <family val="2"/>
          </rPr>
          <t>2</t>
        </r>
        <r>
          <rPr>
            <b/>
            <sz val="9"/>
            <color indexed="81"/>
            <rFont val="宋体"/>
            <charset val="134"/>
          </rPr>
          <t>包</t>
        </r>
        <r>
          <rPr>
            <b/>
            <sz val="9"/>
            <color indexed="81"/>
            <rFont val="Tahoma"/>
            <family val="2"/>
          </rPr>
          <t>sample</t>
        </r>
      </text>
    </comment>
    <comment ref="H1266"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H1267" authorId="0">
      <text>
        <r>
          <rPr>
            <b/>
            <sz val="9"/>
            <color indexed="81"/>
            <rFont val="宋体"/>
            <charset val="134"/>
          </rPr>
          <t>加</t>
        </r>
        <r>
          <rPr>
            <b/>
            <sz val="9"/>
            <color indexed="81"/>
            <rFont val="Tahoma"/>
            <family val="2"/>
          </rPr>
          <t>2</t>
        </r>
        <r>
          <rPr>
            <b/>
            <sz val="9"/>
            <color indexed="81"/>
            <rFont val="宋体"/>
            <charset val="134"/>
          </rPr>
          <t>包</t>
        </r>
        <r>
          <rPr>
            <b/>
            <sz val="9"/>
            <color indexed="81"/>
            <rFont val="Tahoma"/>
            <family val="2"/>
          </rPr>
          <t>sample</t>
        </r>
      </text>
    </comment>
    <comment ref="H1268" authorId="0">
      <text>
        <r>
          <rPr>
            <b/>
            <sz val="9"/>
            <color indexed="81"/>
            <rFont val="宋体"/>
            <charset val="134"/>
          </rPr>
          <t>加</t>
        </r>
        <r>
          <rPr>
            <b/>
            <sz val="9"/>
            <color indexed="81"/>
            <rFont val="Tahoma"/>
            <family val="2"/>
          </rPr>
          <t>3</t>
        </r>
        <r>
          <rPr>
            <b/>
            <sz val="9"/>
            <color indexed="81"/>
            <rFont val="宋体"/>
            <charset val="134"/>
          </rPr>
          <t>包</t>
        </r>
        <r>
          <rPr>
            <b/>
            <sz val="9"/>
            <color indexed="81"/>
            <rFont val="Tahoma"/>
            <family val="2"/>
          </rPr>
          <t>sample</t>
        </r>
      </text>
    </comment>
    <comment ref="G1294" authorId="0">
      <text>
        <r>
          <rPr>
            <b/>
            <sz val="9"/>
            <color indexed="81"/>
            <rFont val="宋体"/>
            <charset val="134"/>
          </rPr>
          <t>出成迷你型</t>
        </r>
      </text>
    </comment>
  </commentList>
</comments>
</file>

<file path=xl/comments4.xml><?xml version="1.0" encoding="utf-8"?>
<comments xmlns="http://schemas.openxmlformats.org/spreadsheetml/2006/main">
  <authors>
    <author>作者</author>
  </authors>
  <commentList>
    <comment ref="C2" authorId="0">
      <text>
        <r>
          <rPr>
            <b/>
            <sz val="9"/>
            <color indexed="81"/>
            <rFont val="宋体"/>
            <charset val="134"/>
          </rPr>
          <t>內</t>
        </r>
        <r>
          <rPr>
            <b/>
            <sz val="9"/>
            <color indexed="81"/>
            <rFont val="Tahoma"/>
            <family val="2"/>
          </rPr>
          <t>9*10</t>
        </r>
      </text>
    </comment>
    <comment ref="C3" authorId="0">
      <text>
        <r>
          <rPr>
            <b/>
            <sz val="9"/>
            <color indexed="81"/>
            <rFont val="宋体"/>
            <charset val="134"/>
          </rPr>
          <t>內</t>
        </r>
        <r>
          <rPr>
            <b/>
            <sz val="9"/>
            <color indexed="81"/>
            <rFont val="Tahoma"/>
            <family val="2"/>
          </rPr>
          <t>9*11.5</t>
        </r>
      </text>
    </comment>
    <comment ref="C5" authorId="0">
      <text>
        <r>
          <rPr>
            <b/>
            <sz val="9"/>
            <color indexed="81"/>
            <rFont val="宋体"/>
            <charset val="134"/>
          </rPr>
          <t>內</t>
        </r>
        <r>
          <rPr>
            <b/>
            <sz val="9"/>
            <color indexed="81"/>
            <rFont val="Tahoma"/>
            <family val="2"/>
          </rPr>
          <t>11*20</t>
        </r>
      </text>
    </comment>
    <comment ref="C6" authorId="0">
      <text>
        <r>
          <rPr>
            <b/>
            <sz val="9"/>
            <color indexed="81"/>
            <rFont val="宋体"/>
            <charset val="134"/>
          </rPr>
          <t>內</t>
        </r>
        <r>
          <rPr>
            <b/>
            <sz val="9"/>
            <color indexed="81"/>
            <rFont val="Tahoma"/>
            <family val="2"/>
          </rPr>
          <t>11.5*15</t>
        </r>
      </text>
    </comment>
    <comment ref="C7" authorId="0">
      <text>
        <r>
          <rPr>
            <b/>
            <sz val="9"/>
            <color indexed="81"/>
            <rFont val="宋体"/>
            <charset val="134"/>
          </rPr>
          <t>內</t>
        </r>
        <r>
          <rPr>
            <b/>
            <sz val="9"/>
            <color indexed="81"/>
            <rFont val="Tahoma"/>
            <family val="2"/>
          </rPr>
          <t>12.5*17</t>
        </r>
      </text>
    </comment>
    <comment ref="B8" authorId="0">
      <text>
        <r>
          <rPr>
            <b/>
            <sz val="9"/>
            <color indexed="81"/>
            <rFont val="宋体"/>
            <charset val="134"/>
          </rPr>
          <t>估算</t>
        </r>
      </text>
    </comment>
    <comment ref="C9" authorId="0">
      <text>
        <r>
          <rPr>
            <b/>
            <sz val="9"/>
            <color indexed="81"/>
            <rFont val="Tahoma"/>
            <family val="2"/>
          </rPr>
          <t>dv-10:</t>
        </r>
        <r>
          <rPr>
            <sz val="9"/>
            <color indexed="81"/>
            <rFont val="Tahoma"/>
            <family val="2"/>
          </rPr>
          <t xml:space="preserve">
</t>
        </r>
      </text>
    </comment>
    <comment ref="C10" authorId="0">
      <text>
        <r>
          <rPr>
            <b/>
            <sz val="9"/>
            <color indexed="81"/>
            <rFont val="宋体"/>
            <charset val="134"/>
          </rPr>
          <t>內</t>
        </r>
        <r>
          <rPr>
            <b/>
            <sz val="9"/>
            <color indexed="81"/>
            <rFont val="Tahoma"/>
            <family val="2"/>
          </rPr>
          <t>17.5*24</t>
        </r>
      </text>
    </comment>
    <comment ref="C11" authorId="0">
      <text>
        <r>
          <rPr>
            <b/>
            <sz val="9"/>
            <color indexed="81"/>
            <rFont val="宋体"/>
            <charset val="134"/>
          </rPr>
          <t>原定</t>
        </r>
        <r>
          <rPr>
            <b/>
            <sz val="9"/>
            <color indexed="81"/>
            <rFont val="Tahoma"/>
            <family val="2"/>
          </rPr>
          <t xml:space="preserve">23*30 x 180p x 9
</t>
        </r>
        <r>
          <rPr>
            <b/>
            <sz val="9"/>
            <color indexed="81"/>
            <rFont val="宋体"/>
            <charset val="134"/>
          </rPr>
          <t xml:space="preserve">工廠缺貨改發
</t>
        </r>
        <r>
          <rPr>
            <b/>
            <sz val="9"/>
            <color indexed="81"/>
            <rFont val="Tahoma"/>
            <family val="2"/>
          </rPr>
          <t>23*30 x 180p x 1
+ 23*28 x 190p 8</t>
        </r>
        <r>
          <rPr>
            <b/>
            <sz val="9"/>
            <color indexed="81"/>
            <rFont val="宋体"/>
            <charset val="134"/>
          </rPr>
          <t xml:space="preserve">
內</t>
        </r>
        <r>
          <rPr>
            <b/>
            <sz val="9"/>
            <color indexed="81"/>
            <rFont val="Tahoma"/>
            <family val="2"/>
          </rPr>
          <t>20*26</t>
        </r>
      </text>
    </comment>
    <comment ref="C12" authorId="0">
      <text>
        <r>
          <rPr>
            <b/>
            <sz val="9"/>
            <color indexed="81"/>
            <rFont val="宋体"/>
            <charset val="134"/>
          </rPr>
          <t>內</t>
        </r>
        <r>
          <rPr>
            <b/>
            <sz val="9"/>
            <color indexed="81"/>
            <rFont val="Tahoma"/>
            <family val="2"/>
          </rPr>
          <t>23*29</t>
        </r>
      </text>
    </comment>
    <comment ref="C13" authorId="0">
      <text>
        <r>
          <rPr>
            <b/>
            <sz val="9"/>
            <color indexed="81"/>
            <rFont val="宋体"/>
            <charset val="134"/>
          </rPr>
          <t>內</t>
        </r>
        <r>
          <rPr>
            <b/>
            <sz val="9"/>
            <color indexed="81"/>
            <rFont val="Tahoma"/>
            <family val="2"/>
          </rPr>
          <t>10.5*22.5</t>
        </r>
      </text>
    </comment>
    <comment ref="C14" authorId="0">
      <text>
        <r>
          <rPr>
            <b/>
            <sz val="9"/>
            <color indexed="81"/>
            <rFont val="宋体"/>
            <charset val="134"/>
          </rPr>
          <t>內</t>
        </r>
        <r>
          <rPr>
            <b/>
            <sz val="9"/>
            <color indexed="81"/>
            <rFont val="Tahoma"/>
            <family val="2"/>
          </rPr>
          <t>12.5*24</t>
        </r>
      </text>
    </comment>
    <comment ref="C15" authorId="0">
      <text>
        <r>
          <rPr>
            <b/>
            <sz val="9"/>
            <color indexed="81"/>
            <rFont val="宋体"/>
            <charset val="134"/>
          </rPr>
          <t>內</t>
        </r>
        <r>
          <rPr>
            <b/>
            <sz val="9"/>
            <color indexed="81"/>
            <rFont val="Tahoma"/>
            <family val="2"/>
          </rPr>
          <t>12*17.5</t>
        </r>
      </text>
    </comment>
    <comment ref="C16" authorId="0">
      <text>
        <r>
          <rPr>
            <b/>
            <sz val="9"/>
            <color indexed="81"/>
            <rFont val="宋体"/>
            <charset val="134"/>
          </rPr>
          <t>內</t>
        </r>
        <r>
          <rPr>
            <b/>
            <sz val="9"/>
            <color indexed="81"/>
            <rFont val="Tahoma"/>
            <family val="2"/>
          </rPr>
          <t>9*15</t>
        </r>
      </text>
    </comment>
    <comment ref="C17" authorId="0">
      <text>
        <r>
          <rPr>
            <b/>
            <sz val="9"/>
            <color indexed="81"/>
            <rFont val="宋体"/>
            <charset val="134"/>
          </rPr>
          <t>內</t>
        </r>
        <r>
          <rPr>
            <b/>
            <sz val="9"/>
            <color indexed="81"/>
            <rFont val="Tahoma"/>
            <family val="2"/>
          </rPr>
          <t>17.5*20.5</t>
        </r>
      </text>
    </comment>
    <comment ref="C18" authorId="0">
      <text>
        <r>
          <rPr>
            <b/>
            <sz val="9"/>
            <color indexed="81"/>
            <rFont val="宋体"/>
            <charset val="134"/>
          </rPr>
          <t>內</t>
        </r>
        <r>
          <rPr>
            <b/>
            <sz val="9"/>
            <color indexed="81"/>
            <rFont val="Tahoma"/>
            <family val="2"/>
          </rPr>
          <t>7*13</t>
        </r>
      </text>
    </comment>
    <comment ref="C19" authorId="0">
      <text>
        <r>
          <rPr>
            <b/>
            <sz val="9"/>
            <color indexed="81"/>
            <rFont val="宋体"/>
            <charset val="134"/>
          </rPr>
          <t>內</t>
        </r>
        <r>
          <rPr>
            <b/>
            <sz val="9"/>
            <color indexed="81"/>
            <rFont val="Tahoma"/>
            <family val="2"/>
          </rPr>
          <t>22.5*29.5</t>
        </r>
      </text>
    </comment>
    <comment ref="C20" authorId="0">
      <text>
        <r>
          <rPr>
            <b/>
            <sz val="9"/>
            <color indexed="81"/>
            <rFont val="宋体"/>
            <charset val="134"/>
          </rPr>
          <t>定作</t>
        </r>
      </text>
    </comment>
    <comment ref="C21" authorId="0">
      <text>
        <r>
          <rPr>
            <b/>
            <sz val="9"/>
            <color indexed="81"/>
            <rFont val="宋体"/>
            <charset val="134"/>
          </rPr>
          <t>定作</t>
        </r>
      </text>
    </comment>
    <comment ref="C22" authorId="0">
      <text>
        <r>
          <rPr>
            <b/>
            <sz val="9"/>
            <color indexed="81"/>
            <rFont val="宋体"/>
            <charset val="134"/>
          </rPr>
          <t>定作</t>
        </r>
      </text>
    </comment>
    <comment ref="C23" authorId="0">
      <text>
        <r>
          <rPr>
            <b/>
            <sz val="9"/>
            <color indexed="81"/>
            <rFont val="宋体"/>
            <charset val="134"/>
          </rPr>
          <t>定作</t>
        </r>
        <r>
          <rPr>
            <b/>
            <sz val="9"/>
            <color indexed="81"/>
            <rFont val="Tahoma"/>
            <family val="2"/>
          </rPr>
          <t xml:space="preserve">6.5cm*8cm
</t>
        </r>
        <r>
          <rPr>
            <b/>
            <sz val="9"/>
            <color indexed="81"/>
            <rFont val="宋体"/>
            <charset val="134"/>
          </rPr>
          <t>工廠作錯為</t>
        </r>
        <r>
          <rPr>
            <b/>
            <sz val="9"/>
            <color indexed="81"/>
            <rFont val="Tahoma"/>
            <family val="2"/>
          </rPr>
          <t>5cm*8cm</t>
        </r>
      </text>
    </comment>
    <comment ref="C24" authorId="0">
      <text>
        <r>
          <rPr>
            <b/>
            <sz val="9"/>
            <color indexed="81"/>
            <rFont val="宋体"/>
            <charset val="134"/>
          </rPr>
          <t>定作</t>
        </r>
      </text>
    </comment>
    <comment ref="C25" authorId="0">
      <text>
        <r>
          <rPr>
            <b/>
            <sz val="9"/>
            <color indexed="81"/>
            <rFont val="宋体"/>
            <charset val="134"/>
          </rPr>
          <t>定作</t>
        </r>
      </text>
    </comment>
    <comment ref="C26" authorId="0">
      <text>
        <r>
          <rPr>
            <b/>
            <sz val="9"/>
            <color indexed="81"/>
            <rFont val="宋体"/>
            <charset val="134"/>
          </rPr>
          <t>工廠作錯為</t>
        </r>
        <r>
          <rPr>
            <b/>
            <sz val="9"/>
            <color indexed="81"/>
            <rFont val="Tahoma"/>
            <family val="2"/>
          </rPr>
          <t xml:space="preserve">5cm*8cm
</t>
        </r>
        <r>
          <rPr>
            <b/>
            <sz val="9"/>
            <color indexed="81"/>
            <rFont val="宋体"/>
            <charset val="134"/>
          </rPr>
          <t>重新定作</t>
        </r>
        <r>
          <rPr>
            <b/>
            <sz val="9"/>
            <color indexed="81"/>
            <rFont val="Tahoma"/>
            <family val="2"/>
          </rPr>
          <t xml:space="preserve">6.5cm*8cm
</t>
        </r>
      </text>
    </comment>
    <comment ref="C27" authorId="0">
      <text>
        <r>
          <rPr>
            <b/>
            <sz val="9"/>
            <color indexed="81"/>
            <rFont val="宋体"/>
            <charset val="134"/>
          </rPr>
          <t>定</t>
        </r>
        <r>
          <rPr>
            <b/>
            <sz val="9"/>
            <color indexed="81"/>
            <rFont val="Tahoma"/>
            <family val="2"/>
          </rPr>
          <t xml:space="preserve">8*10
</t>
        </r>
        <r>
          <rPr>
            <b/>
            <sz val="9"/>
            <color indexed="81"/>
            <rFont val="宋体"/>
            <charset val="134"/>
          </rPr>
          <t>作錯尺寸只留</t>
        </r>
        <r>
          <rPr>
            <b/>
            <sz val="9"/>
            <color indexed="81"/>
            <rFont val="Tahoma"/>
            <family val="2"/>
          </rPr>
          <t>8*8</t>
        </r>
      </text>
    </comment>
    <comment ref="C31" authorId="0">
      <text>
        <r>
          <rPr>
            <b/>
            <sz val="9"/>
            <color indexed="81"/>
            <rFont val="宋体"/>
            <charset val="134"/>
          </rPr>
          <t>內</t>
        </r>
        <r>
          <rPr>
            <b/>
            <sz val="9"/>
            <color indexed="81"/>
            <rFont val="Tahoma"/>
            <family val="2"/>
          </rPr>
          <t>13*14</t>
        </r>
      </text>
    </comment>
    <comment ref="C32" authorId="0">
      <text>
        <r>
          <rPr>
            <b/>
            <sz val="9"/>
            <color indexed="81"/>
            <rFont val="宋体"/>
            <charset val="134"/>
          </rPr>
          <t>內</t>
        </r>
        <r>
          <rPr>
            <b/>
            <sz val="9"/>
            <color indexed="81"/>
            <rFont val="Tahoma"/>
            <family val="2"/>
          </rPr>
          <t xml:space="preserve">12.5*18.5
</t>
        </r>
      </text>
    </comment>
    <comment ref="C33" authorId="0">
      <text>
        <r>
          <rPr>
            <b/>
            <sz val="9"/>
            <color indexed="81"/>
            <rFont val="宋体"/>
            <charset val="134"/>
          </rPr>
          <t>內</t>
        </r>
        <r>
          <rPr>
            <b/>
            <sz val="9"/>
            <color indexed="81"/>
            <rFont val="Tahoma"/>
            <family val="2"/>
          </rPr>
          <t>12.5*24</t>
        </r>
      </text>
    </comment>
    <comment ref="C34" authorId="0">
      <text>
        <r>
          <rPr>
            <b/>
            <sz val="9"/>
            <color indexed="81"/>
            <rFont val="宋体"/>
            <charset val="134"/>
          </rPr>
          <t>內</t>
        </r>
        <r>
          <rPr>
            <b/>
            <sz val="9"/>
            <color indexed="81"/>
            <rFont val="Tahoma"/>
            <family val="2"/>
          </rPr>
          <t>14*14</t>
        </r>
      </text>
    </comment>
    <comment ref="C35" authorId="0">
      <text>
        <r>
          <rPr>
            <b/>
            <sz val="9"/>
            <color indexed="81"/>
            <rFont val="宋体"/>
            <charset val="134"/>
          </rPr>
          <t>內</t>
        </r>
        <r>
          <rPr>
            <b/>
            <sz val="9"/>
            <color indexed="81"/>
            <rFont val="Tahoma"/>
            <family val="2"/>
          </rPr>
          <t>14.5*19</t>
        </r>
      </text>
    </comment>
    <comment ref="C36" authorId="0">
      <text>
        <r>
          <rPr>
            <b/>
            <sz val="9"/>
            <color indexed="81"/>
            <rFont val="宋体"/>
            <charset val="134"/>
          </rPr>
          <t>內</t>
        </r>
        <r>
          <rPr>
            <b/>
            <sz val="9"/>
            <color indexed="81"/>
            <rFont val="Tahoma"/>
            <family val="2"/>
          </rPr>
          <t>14.5*23.5</t>
        </r>
      </text>
    </comment>
    <comment ref="C37" authorId="0">
      <text>
        <r>
          <rPr>
            <b/>
            <sz val="9"/>
            <color indexed="81"/>
            <rFont val="宋体"/>
            <charset val="134"/>
          </rPr>
          <t>內</t>
        </r>
        <r>
          <rPr>
            <b/>
            <sz val="9"/>
            <color indexed="81"/>
            <rFont val="Tahoma"/>
            <family val="2"/>
          </rPr>
          <t>19.5*24</t>
        </r>
      </text>
    </comment>
    <comment ref="C38" authorId="0">
      <text>
        <r>
          <rPr>
            <b/>
            <sz val="9"/>
            <color indexed="81"/>
            <rFont val="宋体"/>
            <charset val="134"/>
          </rPr>
          <t>內</t>
        </r>
        <r>
          <rPr>
            <b/>
            <sz val="9"/>
            <color indexed="81"/>
            <rFont val="Tahoma"/>
            <family val="2"/>
          </rPr>
          <t>19.5*28</t>
        </r>
      </text>
    </comment>
    <comment ref="C39" authorId="0">
      <text>
        <r>
          <rPr>
            <b/>
            <sz val="9"/>
            <color indexed="81"/>
            <rFont val="宋体"/>
            <charset val="134"/>
          </rPr>
          <t>內</t>
        </r>
        <r>
          <rPr>
            <b/>
            <sz val="9"/>
            <color indexed="81"/>
            <rFont val="Tahoma"/>
            <family val="2"/>
          </rPr>
          <t>24.5*24</t>
        </r>
      </text>
    </comment>
    <comment ref="C40" authorId="0">
      <text>
        <r>
          <rPr>
            <b/>
            <sz val="9"/>
            <color indexed="81"/>
            <rFont val="宋体"/>
            <charset val="134"/>
          </rPr>
          <t>內</t>
        </r>
        <r>
          <rPr>
            <b/>
            <sz val="9"/>
            <color indexed="81"/>
            <rFont val="Tahoma"/>
            <family val="2"/>
          </rPr>
          <t>24*29</t>
        </r>
      </text>
    </comment>
    <comment ref="C42" authorId="0">
      <text>
        <r>
          <rPr>
            <b/>
            <sz val="9"/>
            <color indexed="81"/>
            <rFont val="宋体"/>
            <charset val="134"/>
          </rPr>
          <t>內</t>
        </r>
        <r>
          <rPr>
            <b/>
            <sz val="9"/>
            <color indexed="81"/>
            <rFont val="Tahoma"/>
            <family val="2"/>
          </rPr>
          <t>29.5*34</t>
        </r>
      </text>
    </comment>
    <comment ref="B53" authorId="0">
      <text>
        <r>
          <rPr>
            <b/>
            <sz val="9"/>
            <color indexed="81"/>
            <rFont val="Tahoma"/>
            <family val="2"/>
          </rPr>
          <t xml:space="preserve">7g/1000pcs
</t>
        </r>
      </text>
    </comment>
    <comment ref="B54" authorId="0">
      <text>
        <r>
          <rPr>
            <b/>
            <sz val="9"/>
            <color indexed="81"/>
            <rFont val="Tahoma"/>
            <family val="2"/>
          </rPr>
          <t xml:space="preserve">118g/1000pcs
</t>
        </r>
      </text>
    </comment>
    <comment ref="B55" authorId="0">
      <text>
        <r>
          <rPr>
            <b/>
            <sz val="9"/>
            <color indexed="81"/>
            <rFont val="Tahoma"/>
            <family val="2"/>
          </rPr>
          <t xml:space="preserve">282g/2000pcs
</t>
        </r>
      </text>
    </comment>
    <comment ref="B56" authorId="0">
      <text>
        <r>
          <rPr>
            <b/>
            <sz val="9"/>
            <color indexed="81"/>
            <rFont val="Tahoma"/>
            <family val="2"/>
          </rPr>
          <t>466g/1000pcs</t>
        </r>
      </text>
    </comment>
    <comment ref="B57" authorId="0">
      <text>
        <r>
          <rPr>
            <b/>
            <sz val="9"/>
            <color indexed="81"/>
            <rFont val="Tahoma"/>
            <family val="2"/>
          </rPr>
          <t>290g/1000pcs</t>
        </r>
      </text>
    </comment>
    <comment ref="B58" authorId="0">
      <text>
        <r>
          <rPr>
            <b/>
            <sz val="9"/>
            <color indexed="81"/>
            <rFont val="Tahoma"/>
            <family val="2"/>
          </rPr>
          <t>360g/1000pcs</t>
        </r>
      </text>
    </comment>
    <comment ref="B60" authorId="0">
      <text>
        <r>
          <rPr>
            <b/>
            <sz val="9"/>
            <color indexed="81"/>
            <rFont val="宋体"/>
            <charset val="134"/>
          </rPr>
          <t xml:space="preserve">按面積計算
</t>
        </r>
        <r>
          <rPr>
            <b/>
            <sz val="9"/>
            <color indexed="81"/>
            <rFont val="Tahoma"/>
            <family val="2"/>
          </rPr>
          <t>1cm*1cm=0.006g</t>
        </r>
      </text>
    </comment>
    <comment ref="B61" authorId="0">
      <text>
        <r>
          <rPr>
            <b/>
            <sz val="9"/>
            <color indexed="81"/>
            <rFont val="宋体"/>
            <charset val="134"/>
          </rPr>
          <t xml:space="preserve">按面積計算
</t>
        </r>
        <r>
          <rPr>
            <b/>
            <sz val="9"/>
            <color indexed="81"/>
            <rFont val="Tahoma"/>
            <family val="2"/>
          </rPr>
          <t>1cm*1cm=0.006g</t>
        </r>
      </text>
    </comment>
    <comment ref="B62" authorId="0">
      <text>
        <r>
          <rPr>
            <b/>
            <sz val="9"/>
            <color indexed="81"/>
            <rFont val="宋体"/>
            <charset val="134"/>
          </rPr>
          <t xml:space="preserve">按面積計算
</t>
        </r>
        <r>
          <rPr>
            <b/>
            <sz val="9"/>
            <color indexed="81"/>
            <rFont val="Tahoma"/>
            <family val="2"/>
          </rPr>
          <t>1cm*1cm=0.006g</t>
        </r>
      </text>
    </comment>
    <comment ref="C62" authorId="0">
      <text>
        <r>
          <rPr>
            <b/>
            <sz val="9"/>
            <color indexed="81"/>
            <rFont val="宋体"/>
            <charset val="134"/>
          </rPr>
          <t>內</t>
        </r>
        <r>
          <rPr>
            <b/>
            <sz val="9"/>
            <color indexed="81"/>
            <rFont val="Tahoma"/>
            <family val="2"/>
          </rPr>
          <t>7.4*10</t>
        </r>
      </text>
    </comment>
    <comment ref="C63" authorId="0">
      <text>
        <r>
          <rPr>
            <b/>
            <sz val="9"/>
            <color indexed="81"/>
            <rFont val="宋体"/>
            <charset val="134"/>
          </rPr>
          <t>內</t>
        </r>
        <r>
          <rPr>
            <b/>
            <sz val="9"/>
            <color indexed="81"/>
            <rFont val="Tahoma"/>
            <family val="2"/>
          </rPr>
          <t>8.2*9</t>
        </r>
      </text>
    </comment>
    <comment ref="C64" authorId="0">
      <text>
        <r>
          <rPr>
            <b/>
            <sz val="9"/>
            <color indexed="81"/>
            <rFont val="宋体"/>
            <charset val="134"/>
          </rPr>
          <t>內</t>
        </r>
        <r>
          <rPr>
            <b/>
            <sz val="9"/>
            <color indexed="81"/>
            <rFont val="Tahoma"/>
            <family val="2"/>
          </rPr>
          <t>9.5*16</t>
        </r>
      </text>
    </comment>
    <comment ref="C65" authorId="0">
      <text>
        <r>
          <rPr>
            <b/>
            <sz val="9"/>
            <color indexed="81"/>
            <rFont val="宋体"/>
            <charset val="134"/>
          </rPr>
          <t>內</t>
        </r>
        <r>
          <rPr>
            <b/>
            <sz val="9"/>
            <color indexed="81"/>
            <rFont val="Tahoma"/>
            <family val="2"/>
          </rPr>
          <t xml:space="preserve">10.5*15
</t>
        </r>
        <r>
          <rPr>
            <b/>
            <sz val="9"/>
            <color indexed="81"/>
            <rFont val="宋体"/>
            <charset val="134"/>
          </rPr>
          <t>包和風用</t>
        </r>
        <r>
          <rPr>
            <b/>
            <sz val="9"/>
            <color indexed="81"/>
            <rFont val="Tahoma"/>
            <family val="2"/>
          </rPr>
          <t>22</t>
        </r>
        <r>
          <rPr>
            <b/>
            <sz val="9"/>
            <color indexed="81"/>
            <rFont val="宋体"/>
            <charset val="134"/>
          </rPr>
          <t>個</t>
        </r>
      </text>
    </comment>
    <comment ref="B66" authorId="0">
      <text>
        <r>
          <rPr>
            <b/>
            <sz val="9"/>
            <color indexed="81"/>
            <rFont val="宋体"/>
            <charset val="134"/>
          </rPr>
          <t xml:space="preserve">按面積計算
</t>
        </r>
        <r>
          <rPr>
            <b/>
            <sz val="9"/>
            <color indexed="81"/>
            <rFont val="Tahoma"/>
            <family val="2"/>
          </rPr>
          <t>1cm*1cm=0.006g</t>
        </r>
      </text>
    </comment>
    <comment ref="C66" authorId="0">
      <text>
        <r>
          <rPr>
            <b/>
            <sz val="9"/>
            <color indexed="81"/>
            <rFont val="宋体"/>
            <charset val="134"/>
          </rPr>
          <t>內</t>
        </r>
        <r>
          <rPr>
            <b/>
            <sz val="9"/>
            <color indexed="81"/>
            <rFont val="Tahoma"/>
            <family val="2"/>
          </rPr>
          <t>11.5*18</t>
        </r>
      </text>
    </comment>
    <comment ref="C67" authorId="0">
      <text>
        <r>
          <rPr>
            <b/>
            <sz val="9"/>
            <color indexed="81"/>
            <rFont val="宋体"/>
            <charset val="134"/>
          </rPr>
          <t>內</t>
        </r>
        <r>
          <rPr>
            <b/>
            <sz val="9"/>
            <color indexed="81"/>
            <rFont val="Tahoma"/>
            <family val="2"/>
          </rPr>
          <t>12.5*20</t>
        </r>
      </text>
    </comment>
    <comment ref="D67" authorId="0">
      <text>
        <r>
          <rPr>
            <b/>
            <sz val="9"/>
            <color indexed="81"/>
            <rFont val="宋体"/>
            <charset val="134"/>
          </rPr>
          <t>包彩帶用</t>
        </r>
        <r>
          <rPr>
            <b/>
            <sz val="9"/>
            <color indexed="81"/>
            <rFont val="Tahoma"/>
            <family val="2"/>
          </rPr>
          <t>-30x</t>
        </r>
      </text>
    </comment>
    <comment ref="E67" authorId="0">
      <text>
        <r>
          <rPr>
            <b/>
            <sz val="9"/>
            <color indexed="81"/>
            <rFont val="宋体"/>
            <charset val="134"/>
          </rPr>
          <t>包彩帶用</t>
        </r>
        <r>
          <rPr>
            <b/>
            <sz val="9"/>
            <color indexed="81"/>
            <rFont val="Tahoma"/>
            <family val="2"/>
          </rPr>
          <t>-30x</t>
        </r>
      </text>
    </comment>
    <comment ref="B68" authorId="0">
      <text>
        <r>
          <rPr>
            <b/>
            <sz val="9"/>
            <color indexed="81"/>
            <rFont val="宋体"/>
            <charset val="134"/>
          </rPr>
          <t xml:space="preserve">按面積計算
</t>
        </r>
        <r>
          <rPr>
            <b/>
            <sz val="9"/>
            <color indexed="81"/>
            <rFont val="Tahoma"/>
            <family val="2"/>
          </rPr>
          <t>1cm*1cm=0.006g</t>
        </r>
      </text>
    </comment>
    <comment ref="C68" authorId="0">
      <text>
        <r>
          <rPr>
            <b/>
            <sz val="9"/>
            <color indexed="81"/>
            <rFont val="宋体"/>
            <charset val="134"/>
          </rPr>
          <t>內</t>
        </r>
        <r>
          <rPr>
            <b/>
            <sz val="9"/>
            <color indexed="81"/>
            <rFont val="Tahoma"/>
            <family val="2"/>
          </rPr>
          <t>13.3*25</t>
        </r>
      </text>
    </comment>
    <comment ref="B69" authorId="0">
      <text>
        <r>
          <rPr>
            <b/>
            <sz val="9"/>
            <color indexed="81"/>
            <rFont val="宋体"/>
            <charset val="134"/>
          </rPr>
          <t xml:space="preserve">按面積計算
</t>
        </r>
        <r>
          <rPr>
            <b/>
            <sz val="9"/>
            <color indexed="81"/>
            <rFont val="Tahoma"/>
            <family val="2"/>
          </rPr>
          <t>1cm*1cm=0.006g</t>
        </r>
      </text>
    </comment>
    <comment ref="C69" authorId="0">
      <text>
        <r>
          <rPr>
            <b/>
            <sz val="9"/>
            <color indexed="81"/>
            <rFont val="宋体"/>
            <charset val="134"/>
          </rPr>
          <t>內</t>
        </r>
        <r>
          <rPr>
            <b/>
            <sz val="9"/>
            <color indexed="81"/>
            <rFont val="Tahoma"/>
            <family val="2"/>
          </rPr>
          <t>14.3*21</t>
        </r>
      </text>
    </comment>
    <comment ref="B70" authorId="0">
      <text>
        <r>
          <rPr>
            <b/>
            <sz val="9"/>
            <color indexed="81"/>
            <rFont val="宋体"/>
            <charset val="134"/>
          </rPr>
          <t xml:space="preserve">按面積計算
</t>
        </r>
        <r>
          <rPr>
            <b/>
            <sz val="9"/>
            <color indexed="81"/>
            <rFont val="Tahoma"/>
            <family val="2"/>
          </rPr>
          <t>1cm*1cm=0.006g</t>
        </r>
      </text>
    </comment>
    <comment ref="C70" authorId="0">
      <text>
        <r>
          <rPr>
            <b/>
            <sz val="9"/>
            <color indexed="81"/>
            <rFont val="宋体"/>
            <charset val="134"/>
          </rPr>
          <t>內</t>
        </r>
        <r>
          <rPr>
            <b/>
            <sz val="9"/>
            <color indexed="81"/>
            <rFont val="Tahoma"/>
            <family val="2"/>
          </rPr>
          <t>17.5*30</t>
        </r>
      </text>
    </comment>
    <comment ref="B71" authorId="0">
      <text>
        <r>
          <rPr>
            <b/>
            <sz val="9"/>
            <color indexed="81"/>
            <rFont val="宋体"/>
            <charset val="134"/>
          </rPr>
          <t xml:space="preserve">按面積計算
</t>
        </r>
        <r>
          <rPr>
            <b/>
            <sz val="9"/>
            <color indexed="81"/>
            <rFont val="Tahoma"/>
            <family val="2"/>
          </rPr>
          <t>1cm*1cm=0.006g</t>
        </r>
      </text>
    </comment>
    <comment ref="C71" authorId="0">
      <text>
        <r>
          <rPr>
            <b/>
            <sz val="9"/>
            <color indexed="81"/>
            <rFont val="宋体"/>
            <charset val="134"/>
          </rPr>
          <t>洞+內</t>
        </r>
        <r>
          <rPr>
            <b/>
            <sz val="9"/>
            <color indexed="81"/>
            <rFont val="Tahoma"/>
            <family val="2"/>
          </rPr>
          <t>19.3*26</t>
        </r>
      </text>
    </comment>
    <comment ref="B72" authorId="0">
      <text>
        <r>
          <rPr>
            <b/>
            <sz val="9"/>
            <color indexed="81"/>
            <rFont val="宋体"/>
            <charset val="134"/>
          </rPr>
          <t xml:space="preserve">按面積計算
</t>
        </r>
        <r>
          <rPr>
            <b/>
            <sz val="9"/>
            <color indexed="81"/>
            <rFont val="Tahoma"/>
            <family val="2"/>
          </rPr>
          <t>1cm*1cm=0.006g</t>
        </r>
      </text>
    </comment>
    <comment ref="C72" authorId="0">
      <text>
        <r>
          <rPr>
            <b/>
            <sz val="9"/>
            <color indexed="81"/>
            <rFont val="宋体"/>
            <charset val="134"/>
          </rPr>
          <t>洞</t>
        </r>
        <r>
          <rPr>
            <b/>
            <sz val="9"/>
            <color indexed="81"/>
            <rFont val="Tahoma"/>
            <family val="2"/>
          </rPr>
          <t>+</t>
        </r>
        <r>
          <rPr>
            <b/>
            <sz val="9"/>
            <color indexed="81"/>
            <rFont val="宋体"/>
            <charset val="134"/>
          </rPr>
          <t>內</t>
        </r>
        <r>
          <rPr>
            <b/>
            <sz val="9"/>
            <color indexed="81"/>
            <rFont val="Tahoma"/>
            <family val="2"/>
          </rPr>
          <t>19.3*30</t>
        </r>
      </text>
    </comment>
    <comment ref="B73" authorId="0">
      <text>
        <r>
          <rPr>
            <b/>
            <sz val="9"/>
            <color indexed="81"/>
            <rFont val="宋体"/>
            <charset val="134"/>
          </rPr>
          <t xml:space="preserve">按面積計算
</t>
        </r>
        <r>
          <rPr>
            <b/>
            <sz val="9"/>
            <color indexed="81"/>
            <rFont val="Tahoma"/>
            <family val="2"/>
          </rPr>
          <t>1cm*1cm=0.006g</t>
        </r>
      </text>
    </comment>
    <comment ref="C73" authorId="0">
      <text>
        <r>
          <rPr>
            <b/>
            <sz val="9"/>
            <color indexed="81"/>
            <rFont val="宋体"/>
            <charset val="134"/>
          </rPr>
          <t>內</t>
        </r>
        <r>
          <rPr>
            <b/>
            <sz val="9"/>
            <color indexed="81"/>
            <rFont val="Tahoma"/>
            <family val="2"/>
          </rPr>
          <t>22.5*32</t>
        </r>
      </text>
    </comment>
    <comment ref="C74" authorId="0">
      <text>
        <r>
          <rPr>
            <b/>
            <sz val="9"/>
            <color indexed="81"/>
            <rFont val="宋体"/>
            <charset val="134"/>
          </rPr>
          <t>洞+內</t>
        </r>
        <r>
          <rPr>
            <b/>
            <sz val="9"/>
            <color indexed="81"/>
            <rFont val="Tahoma"/>
            <family val="2"/>
          </rPr>
          <t>25.3*30</t>
        </r>
      </text>
    </comment>
    <comment ref="B75" authorId="0">
      <text>
        <r>
          <rPr>
            <b/>
            <sz val="9"/>
            <color indexed="81"/>
            <rFont val="宋体"/>
            <charset val="134"/>
          </rPr>
          <t xml:space="preserve">按面積計算
</t>
        </r>
        <r>
          <rPr>
            <b/>
            <sz val="9"/>
            <color indexed="81"/>
            <rFont val="Tahoma"/>
            <family val="2"/>
          </rPr>
          <t>1cm*1cm=0.006g</t>
        </r>
      </text>
    </comment>
    <comment ref="C75" authorId="0">
      <text>
        <r>
          <rPr>
            <b/>
            <sz val="9"/>
            <color indexed="81"/>
            <rFont val="宋体"/>
            <charset val="134"/>
          </rPr>
          <t>洞+內</t>
        </r>
        <r>
          <rPr>
            <b/>
            <sz val="9"/>
            <color indexed="81"/>
            <rFont val="Tahoma"/>
            <family val="2"/>
          </rPr>
          <t>29.3*38</t>
        </r>
      </text>
    </comment>
    <comment ref="B76" authorId="0">
      <text>
        <r>
          <rPr>
            <b/>
            <sz val="9"/>
            <color indexed="81"/>
            <rFont val="宋体"/>
            <charset val="134"/>
          </rPr>
          <t xml:space="preserve">按面積計算
</t>
        </r>
        <r>
          <rPr>
            <b/>
            <sz val="9"/>
            <color indexed="81"/>
            <rFont val="Tahoma"/>
            <family val="2"/>
          </rPr>
          <t>1cm*1cm=0.006g</t>
        </r>
      </text>
    </comment>
    <comment ref="C76" authorId="0">
      <text>
        <r>
          <rPr>
            <b/>
            <sz val="9"/>
            <color indexed="81"/>
            <rFont val="宋体"/>
            <charset val="134"/>
          </rPr>
          <t>洞+內</t>
        </r>
        <r>
          <rPr>
            <b/>
            <sz val="9"/>
            <color indexed="81"/>
            <rFont val="Tahoma"/>
            <family val="2"/>
          </rPr>
          <t>39.3*60</t>
        </r>
      </text>
    </comment>
    <comment ref="C87" authorId="0">
      <text>
        <r>
          <rPr>
            <b/>
            <sz val="9"/>
            <color indexed="81"/>
            <rFont val="宋体"/>
            <charset val="134"/>
          </rPr>
          <t>實際</t>
        </r>
        <r>
          <rPr>
            <b/>
            <sz val="9"/>
            <color indexed="81"/>
            <rFont val="Tahoma"/>
            <family val="2"/>
          </rPr>
          <t>6*15.5cm</t>
        </r>
      </text>
    </comment>
    <comment ref="C89" authorId="0">
      <text>
        <r>
          <rPr>
            <b/>
            <sz val="9"/>
            <color indexed="81"/>
            <rFont val="宋体"/>
            <charset val="134"/>
          </rPr>
          <t>實際</t>
        </r>
        <r>
          <rPr>
            <b/>
            <sz val="9"/>
            <color indexed="81"/>
            <rFont val="Tahoma"/>
            <family val="2"/>
          </rPr>
          <t>6*20.5cm</t>
        </r>
      </text>
    </comment>
    <comment ref="C90" authorId="0">
      <text>
        <r>
          <rPr>
            <b/>
            <sz val="9"/>
            <color indexed="81"/>
            <rFont val="宋体"/>
            <charset val="134"/>
          </rPr>
          <t>實際</t>
        </r>
        <r>
          <rPr>
            <b/>
            <sz val="9"/>
            <color indexed="81"/>
            <rFont val="Tahoma"/>
            <family val="2"/>
          </rPr>
          <t>6*30.5cm</t>
        </r>
      </text>
    </comment>
    <comment ref="C91" authorId="0">
      <text>
        <r>
          <rPr>
            <b/>
            <sz val="9"/>
            <color indexed="81"/>
            <rFont val="宋体"/>
            <charset val="134"/>
          </rPr>
          <t>實際</t>
        </r>
        <r>
          <rPr>
            <b/>
            <sz val="9"/>
            <color indexed="81"/>
            <rFont val="Tahoma"/>
            <family val="2"/>
          </rPr>
          <t>8*19.5cm</t>
        </r>
      </text>
    </comment>
    <comment ref="C95" authorId="0">
      <text>
        <r>
          <rPr>
            <b/>
            <sz val="9"/>
            <color indexed="81"/>
            <rFont val="宋体"/>
            <charset val="134"/>
          </rPr>
          <t>內</t>
        </r>
        <r>
          <rPr>
            <b/>
            <sz val="9"/>
            <color indexed="81"/>
            <rFont val="Tahoma"/>
            <family val="2"/>
          </rPr>
          <t>:5.3*24cm</t>
        </r>
      </text>
    </comment>
    <comment ref="C96" authorId="0">
      <text>
        <r>
          <rPr>
            <b/>
            <sz val="9"/>
            <color indexed="81"/>
            <rFont val="宋体"/>
            <charset val="134"/>
          </rPr>
          <t>內</t>
        </r>
        <r>
          <rPr>
            <b/>
            <sz val="9"/>
            <color indexed="81"/>
            <rFont val="Tahoma"/>
            <family val="2"/>
          </rPr>
          <t>:17.5*26cm</t>
        </r>
      </text>
    </comment>
    <comment ref="C97" authorId="0">
      <text>
        <r>
          <rPr>
            <b/>
            <sz val="9"/>
            <color indexed="81"/>
            <rFont val="宋体"/>
            <charset val="134"/>
          </rPr>
          <t>內</t>
        </r>
        <r>
          <rPr>
            <b/>
            <sz val="9"/>
            <color indexed="81"/>
            <rFont val="Tahoma"/>
            <family val="2"/>
          </rPr>
          <t>:19.5*30cm</t>
        </r>
      </text>
    </comment>
    <comment ref="C98" authorId="0">
      <text>
        <r>
          <rPr>
            <b/>
            <sz val="9"/>
            <color indexed="81"/>
            <rFont val="宋体"/>
            <charset val="134"/>
          </rPr>
          <t>內</t>
        </r>
        <r>
          <rPr>
            <b/>
            <sz val="9"/>
            <color indexed="81"/>
            <rFont val="Tahoma"/>
            <family val="2"/>
          </rPr>
          <t xml:space="preserve">:22*33cm
</t>
        </r>
      </text>
    </comment>
    <comment ref="C101" authorId="0">
      <text>
        <r>
          <rPr>
            <b/>
            <sz val="9"/>
            <color indexed="81"/>
            <rFont val="宋体"/>
            <charset val="134"/>
          </rPr>
          <t>定作</t>
        </r>
      </text>
    </comment>
    <comment ref="C102" authorId="0">
      <text>
        <r>
          <rPr>
            <b/>
            <sz val="9"/>
            <color indexed="81"/>
            <rFont val="宋体"/>
            <charset val="134"/>
          </rPr>
          <t>定作</t>
        </r>
      </text>
    </comment>
    <comment ref="D103"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4"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5"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6"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07" authorId="0">
      <text>
        <r>
          <rPr>
            <b/>
            <sz val="9"/>
            <color indexed="81"/>
            <rFont val="宋体"/>
            <charset val="134"/>
          </rPr>
          <t>換回</t>
        </r>
        <r>
          <rPr>
            <b/>
            <sz val="9"/>
            <color indexed="81"/>
            <rFont val="Tahoma"/>
            <family val="2"/>
          </rPr>
          <t>54</t>
        </r>
        <r>
          <rPr>
            <b/>
            <sz val="9"/>
            <color indexed="81"/>
            <rFont val="宋体"/>
            <charset val="134"/>
          </rPr>
          <t>包
加</t>
        </r>
        <r>
          <rPr>
            <b/>
            <sz val="9"/>
            <color indexed="81"/>
            <rFont val="Tahoma"/>
            <family val="2"/>
          </rPr>
          <t>2</t>
        </r>
        <r>
          <rPr>
            <b/>
            <sz val="9"/>
            <color indexed="81"/>
            <rFont val="宋体"/>
            <charset val="134"/>
          </rPr>
          <t>包</t>
        </r>
        <r>
          <rPr>
            <b/>
            <sz val="9"/>
            <color indexed="81"/>
            <rFont val="Tahoma"/>
            <family val="2"/>
          </rPr>
          <t>sample</t>
        </r>
      </text>
    </comment>
    <comment ref="D108" authorId="0">
      <text>
        <r>
          <rPr>
            <b/>
            <sz val="9"/>
            <color indexed="81"/>
            <rFont val="宋体"/>
            <charset val="134"/>
          </rPr>
          <t>加</t>
        </r>
        <r>
          <rPr>
            <b/>
            <sz val="9"/>
            <color indexed="81"/>
            <rFont val="Tahoma"/>
            <family val="2"/>
          </rPr>
          <t>1</t>
        </r>
        <r>
          <rPr>
            <b/>
            <sz val="9"/>
            <color indexed="81"/>
            <rFont val="宋体"/>
            <charset val="134"/>
          </rPr>
          <t>包</t>
        </r>
        <r>
          <rPr>
            <b/>
            <sz val="9"/>
            <color indexed="81"/>
            <rFont val="Tahoma"/>
            <family val="2"/>
          </rPr>
          <t>sample</t>
        </r>
      </text>
    </comment>
    <comment ref="D110" authorId="0">
      <text>
        <r>
          <rPr>
            <b/>
            <sz val="9"/>
            <color indexed="81"/>
            <rFont val="宋体"/>
            <charset val="134"/>
          </rPr>
          <t>加</t>
        </r>
        <r>
          <rPr>
            <b/>
            <sz val="9"/>
            <color indexed="81"/>
            <rFont val="Tahoma"/>
            <family val="2"/>
          </rPr>
          <t>2</t>
        </r>
        <r>
          <rPr>
            <b/>
            <sz val="9"/>
            <color indexed="81"/>
            <rFont val="宋体"/>
            <charset val="134"/>
          </rPr>
          <t>包</t>
        </r>
        <r>
          <rPr>
            <b/>
            <sz val="9"/>
            <color indexed="81"/>
            <rFont val="Tahoma"/>
            <family val="2"/>
          </rPr>
          <t>sample</t>
        </r>
      </text>
    </comment>
    <comment ref="D111" authorId="0">
      <text>
        <r>
          <rPr>
            <b/>
            <sz val="9"/>
            <color indexed="81"/>
            <rFont val="宋体"/>
            <charset val="134"/>
          </rPr>
          <t>加</t>
        </r>
        <r>
          <rPr>
            <b/>
            <sz val="9"/>
            <color indexed="81"/>
            <rFont val="Tahoma"/>
            <family val="2"/>
          </rPr>
          <t>3</t>
        </r>
        <r>
          <rPr>
            <b/>
            <sz val="9"/>
            <color indexed="81"/>
            <rFont val="宋体"/>
            <charset val="134"/>
          </rPr>
          <t>包</t>
        </r>
        <r>
          <rPr>
            <b/>
            <sz val="9"/>
            <color indexed="81"/>
            <rFont val="Tahoma"/>
            <family val="2"/>
          </rPr>
          <t>sample</t>
        </r>
      </text>
    </comment>
    <comment ref="D138" authorId="0">
      <text>
        <r>
          <rPr>
            <b/>
            <sz val="9"/>
            <color indexed="81"/>
            <rFont val="宋体"/>
            <charset val="134"/>
          </rPr>
          <t>買</t>
        </r>
        <r>
          <rPr>
            <b/>
            <sz val="9"/>
            <color indexed="81"/>
            <rFont val="Tahoma"/>
            <family val="2"/>
          </rPr>
          <t xml:space="preserve">100
</t>
        </r>
        <r>
          <rPr>
            <b/>
            <sz val="9"/>
            <color indexed="81"/>
            <rFont val="宋体"/>
            <charset val="134"/>
          </rPr>
          <t>出</t>
        </r>
        <r>
          <rPr>
            <b/>
            <sz val="9"/>
            <color indexed="81"/>
            <rFont val="Tahoma"/>
            <family val="2"/>
          </rPr>
          <t>200</t>
        </r>
      </text>
    </comment>
    <comment ref="C21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1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2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3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4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5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6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1"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2"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3"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4"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5"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6"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7"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8"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79"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280" authorId="0">
      <text>
        <r>
          <rPr>
            <b/>
            <sz val="9"/>
            <color indexed="81"/>
            <rFont val="宋体"/>
            <charset val="134"/>
          </rPr>
          <t>黑白红粉紅绿蓝浅蓝深绿紫</t>
        </r>
        <r>
          <rPr>
            <b/>
            <sz val="9"/>
            <color indexed="81"/>
            <rFont val="宋体"/>
            <charset val="134"/>
          </rPr>
          <t>黄</t>
        </r>
        <r>
          <rPr>
            <b/>
            <sz val="9"/>
            <color indexed="81"/>
            <rFont val="宋体"/>
            <charset val="134"/>
          </rPr>
          <t>橙</t>
        </r>
      </text>
    </comment>
    <comment ref="C321" authorId="0">
      <text>
        <r>
          <rPr>
            <b/>
            <sz val="9"/>
            <color indexed="81"/>
            <rFont val="宋体"/>
            <charset val="134"/>
          </rPr>
          <t>發</t>
        </r>
        <r>
          <rPr>
            <b/>
            <sz val="9"/>
            <color indexed="81"/>
            <rFont val="Tahoma"/>
            <family val="2"/>
          </rPr>
          <t>311?</t>
        </r>
      </text>
    </comment>
    <comment ref="C332" authorId="0">
      <text>
        <r>
          <rPr>
            <b/>
            <sz val="9"/>
            <color indexed="81"/>
            <rFont val="宋体"/>
            <charset val="134"/>
          </rPr>
          <t>發成</t>
        </r>
        <r>
          <rPr>
            <b/>
            <sz val="9"/>
            <color indexed="81"/>
            <rFont val="Tahoma"/>
            <family val="2"/>
          </rPr>
          <t xml:space="preserve"> 
N</t>
        </r>
        <r>
          <rPr>
            <b/>
            <sz val="9"/>
            <color indexed="81"/>
            <rFont val="宋体"/>
            <charset val="134"/>
          </rPr>
          <t>橙紅</t>
        </r>
      </text>
    </comment>
    <comment ref="C361" authorId="0">
      <text>
        <r>
          <rPr>
            <b/>
            <sz val="9"/>
            <color indexed="81"/>
            <rFont val="Tahoma"/>
            <family val="2"/>
          </rPr>
          <t>8</t>
        </r>
        <r>
          <rPr>
            <b/>
            <sz val="9"/>
            <color indexed="81"/>
            <rFont val="宋体"/>
            <charset val="134"/>
          </rPr>
          <t xml:space="preserve">件裝分拆
</t>
        </r>
      </text>
    </comment>
    <comment ref="C362" authorId="0">
      <text>
        <r>
          <rPr>
            <b/>
            <sz val="9"/>
            <color indexed="81"/>
            <rFont val="Tahoma"/>
            <family val="2"/>
          </rPr>
          <t>8</t>
        </r>
        <r>
          <rPr>
            <b/>
            <sz val="9"/>
            <color indexed="81"/>
            <rFont val="宋体"/>
            <charset val="134"/>
          </rPr>
          <t xml:space="preserve">件裝分拆
</t>
        </r>
      </text>
    </comment>
    <comment ref="C363" authorId="0">
      <text>
        <r>
          <rPr>
            <b/>
            <sz val="9"/>
            <color indexed="81"/>
            <rFont val="Tahoma"/>
            <family val="2"/>
          </rPr>
          <t>8</t>
        </r>
        <r>
          <rPr>
            <b/>
            <sz val="9"/>
            <color indexed="81"/>
            <rFont val="宋体"/>
            <charset val="134"/>
          </rPr>
          <t xml:space="preserve">件裝分拆
</t>
        </r>
      </text>
    </comment>
    <comment ref="C364" authorId="0">
      <text>
        <r>
          <rPr>
            <b/>
            <sz val="9"/>
            <color indexed="81"/>
            <rFont val="Tahoma"/>
            <family val="2"/>
          </rPr>
          <t>8</t>
        </r>
        <r>
          <rPr>
            <b/>
            <sz val="9"/>
            <color indexed="81"/>
            <rFont val="宋体"/>
            <charset val="134"/>
          </rPr>
          <t xml:space="preserve">件裝分拆
</t>
        </r>
      </text>
    </comment>
    <comment ref="C365" authorId="0">
      <text>
        <r>
          <rPr>
            <b/>
            <sz val="9"/>
            <color indexed="81"/>
            <rFont val="宋体"/>
            <charset val="134"/>
          </rPr>
          <t xml:space="preserve">廠家免費送
</t>
        </r>
      </text>
    </comment>
    <comment ref="E365" authorId="0">
      <text>
        <r>
          <rPr>
            <b/>
            <sz val="9"/>
            <color indexed="81"/>
            <rFont val="宋体"/>
            <charset val="134"/>
          </rPr>
          <t xml:space="preserve">廠家免費送
</t>
        </r>
      </text>
    </comment>
    <comment ref="C366" authorId="0">
      <text>
        <r>
          <rPr>
            <b/>
            <sz val="9"/>
            <color indexed="81"/>
            <rFont val="宋体"/>
            <charset val="134"/>
          </rPr>
          <t xml:space="preserve">勾+毛
</t>
        </r>
      </text>
    </comment>
    <comment ref="C367" authorId="0">
      <text>
        <r>
          <rPr>
            <b/>
            <sz val="9"/>
            <color indexed="81"/>
            <rFont val="宋体"/>
            <charset val="134"/>
          </rPr>
          <t xml:space="preserve">勾+毛
</t>
        </r>
      </text>
    </comment>
    <comment ref="C368" authorId="0">
      <text>
        <r>
          <rPr>
            <b/>
            <sz val="9"/>
            <color indexed="81"/>
            <rFont val="宋体"/>
            <charset val="134"/>
          </rPr>
          <t xml:space="preserve">勾+毛
</t>
        </r>
      </text>
    </comment>
    <comment ref="C369" authorId="0">
      <text>
        <r>
          <rPr>
            <b/>
            <sz val="9"/>
            <color indexed="81"/>
            <rFont val="宋体"/>
            <charset val="134"/>
          </rPr>
          <t xml:space="preserve">勾+毛
</t>
        </r>
      </text>
    </comment>
    <comment ref="C370" authorId="0">
      <text>
        <r>
          <rPr>
            <b/>
            <sz val="9"/>
            <color indexed="81"/>
            <rFont val="宋体"/>
            <charset val="134"/>
          </rPr>
          <t xml:space="preserve">勾+毛
</t>
        </r>
      </text>
    </comment>
    <comment ref="C371" authorId="0">
      <text>
        <r>
          <rPr>
            <b/>
            <sz val="9"/>
            <color indexed="81"/>
            <rFont val="宋体"/>
            <charset val="134"/>
          </rPr>
          <t xml:space="preserve">勾+毛
</t>
        </r>
      </text>
    </comment>
    <comment ref="C372" authorId="0">
      <text>
        <r>
          <rPr>
            <b/>
            <sz val="9"/>
            <color indexed="81"/>
            <rFont val="宋体"/>
            <charset val="134"/>
          </rPr>
          <t xml:space="preserve">勾+毛
</t>
        </r>
      </text>
    </comment>
    <comment ref="C373" authorId="0">
      <text>
        <r>
          <rPr>
            <b/>
            <sz val="9"/>
            <color indexed="81"/>
            <rFont val="宋体"/>
            <charset val="134"/>
          </rPr>
          <t xml:space="preserve">勾+毛
</t>
        </r>
      </text>
    </comment>
    <comment ref="C374" authorId="0">
      <text>
        <r>
          <rPr>
            <b/>
            <sz val="9"/>
            <color indexed="81"/>
            <rFont val="宋体"/>
            <charset val="134"/>
          </rPr>
          <t xml:space="preserve">勾+毛
</t>
        </r>
      </text>
    </comment>
    <comment ref="C375" authorId="0">
      <text>
        <r>
          <rPr>
            <b/>
            <sz val="9"/>
            <color indexed="81"/>
            <rFont val="宋体"/>
            <charset val="134"/>
          </rPr>
          <t xml:space="preserve">勾+毛
</t>
        </r>
      </text>
    </comment>
    <comment ref="C376" authorId="0">
      <text>
        <r>
          <rPr>
            <b/>
            <sz val="9"/>
            <color indexed="81"/>
            <rFont val="宋体"/>
            <charset val="134"/>
          </rPr>
          <t xml:space="preserve">勾+毛
</t>
        </r>
      </text>
    </comment>
    <comment ref="C377" authorId="0">
      <text>
        <r>
          <rPr>
            <b/>
            <sz val="9"/>
            <color indexed="81"/>
            <rFont val="宋体"/>
            <charset val="134"/>
          </rPr>
          <t xml:space="preserve">勾+毛
</t>
        </r>
      </text>
    </comment>
    <comment ref="C378" authorId="0">
      <text>
        <r>
          <rPr>
            <b/>
            <sz val="9"/>
            <color indexed="81"/>
            <rFont val="宋体"/>
            <charset val="134"/>
          </rPr>
          <t xml:space="preserve">勾+毛
</t>
        </r>
      </text>
    </comment>
    <comment ref="C379" authorId="0">
      <text>
        <r>
          <rPr>
            <b/>
            <sz val="9"/>
            <color indexed="81"/>
            <rFont val="宋体"/>
            <charset val="134"/>
          </rPr>
          <t xml:space="preserve">勾+毛
</t>
        </r>
      </text>
    </comment>
    <comment ref="C380" authorId="0">
      <text>
        <r>
          <rPr>
            <b/>
            <sz val="9"/>
            <color indexed="81"/>
            <rFont val="宋体"/>
            <charset val="134"/>
          </rPr>
          <t xml:space="preserve">勾+毛
</t>
        </r>
      </text>
    </comment>
    <comment ref="C381" authorId="0">
      <text>
        <r>
          <rPr>
            <b/>
            <sz val="9"/>
            <color indexed="81"/>
            <rFont val="宋体"/>
            <charset val="134"/>
          </rPr>
          <t xml:space="preserve">勾+毛
</t>
        </r>
      </text>
    </comment>
    <comment ref="C382" authorId="0">
      <text>
        <r>
          <rPr>
            <b/>
            <sz val="9"/>
            <color indexed="81"/>
            <rFont val="宋体"/>
            <charset val="134"/>
          </rPr>
          <t xml:space="preserve">勾+毛
</t>
        </r>
      </text>
    </comment>
    <comment ref="E383"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4"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5"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6"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7"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8"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89"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90"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91"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E392" authorId="0">
      <text>
        <r>
          <rPr>
            <b/>
            <sz val="9"/>
            <color indexed="81"/>
            <rFont val="宋体"/>
            <charset val="134"/>
          </rPr>
          <t>廠商進貨</t>
        </r>
        <r>
          <rPr>
            <b/>
            <sz val="9"/>
            <color indexed="81"/>
            <rFont val="Tahoma"/>
            <family val="2"/>
          </rPr>
          <t>: :</t>
        </r>
        <r>
          <rPr>
            <b/>
            <sz val="9"/>
            <color indexed="81"/>
            <rFont val="宋体"/>
            <charset val="134"/>
          </rPr>
          <t>红色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Tahoma"/>
            <family val="2"/>
          </rPr>
          <t>*5</t>
        </r>
        <r>
          <rPr>
            <b/>
            <sz val="9"/>
            <color indexed="81"/>
            <rFont val="宋体"/>
            <charset val="134"/>
          </rPr>
          <t>色】</t>
        </r>
        <r>
          <rPr>
            <b/>
            <sz val="9"/>
            <color indexed="81"/>
            <rFont val="Tahoma"/>
            <family val="2"/>
          </rPr>
          <t xml:space="preserve">
</t>
        </r>
        <r>
          <rPr>
            <b/>
            <sz val="9"/>
            <color indexed="81"/>
            <rFont val="宋体"/>
            <charset val="134"/>
          </rPr>
          <t>自行分裝</t>
        </r>
        <r>
          <rPr>
            <b/>
            <sz val="9"/>
            <color indexed="81"/>
            <rFont val="Tahoma"/>
            <family val="2"/>
          </rPr>
          <t>:: 5</t>
        </r>
        <r>
          <rPr>
            <b/>
            <sz val="9"/>
            <color indexed="81"/>
            <rFont val="宋体"/>
            <charset val="134"/>
          </rPr>
          <t>色</t>
        </r>
        <r>
          <rPr>
            <b/>
            <sz val="9"/>
            <color indexed="81"/>
            <rFont val="Tahoma"/>
            <family val="2"/>
          </rPr>
          <t xml:space="preserve">;  </t>
        </r>
        <r>
          <rPr>
            <b/>
            <sz val="9"/>
            <color indexed="81"/>
            <rFont val="宋体"/>
            <charset val="134"/>
          </rPr>
          <t>规格</t>
        </r>
        <r>
          <rPr>
            <b/>
            <sz val="9"/>
            <color indexed="81"/>
            <rFont val="Tahoma"/>
            <family val="2"/>
          </rPr>
          <t>:20.0mm</t>
        </r>
        <r>
          <rPr>
            <b/>
            <sz val="9"/>
            <color indexed="81"/>
            <rFont val="宋体"/>
            <charset val="134"/>
          </rPr>
          <t>【</t>
        </r>
        <r>
          <rPr>
            <b/>
            <sz val="9"/>
            <color indexed="81"/>
            <rFont val="Tahoma"/>
            <family val="2"/>
          </rPr>
          <t>2</t>
        </r>
        <r>
          <rPr>
            <b/>
            <sz val="9"/>
            <color indexed="81"/>
            <rFont val="宋体"/>
            <charset val="134"/>
          </rPr>
          <t>米</t>
        </r>
        <r>
          <rPr>
            <b/>
            <sz val="9"/>
            <color indexed="81"/>
            <rFont val="宋体"/>
            <charset val="134"/>
          </rPr>
          <t>】</t>
        </r>
      </text>
    </comment>
    <comment ref="D39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39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39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8"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0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09"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0"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1"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2"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3"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4"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5"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6"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D41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E417" authorId="0">
      <text>
        <r>
          <rPr>
            <b/>
            <sz val="9"/>
            <color indexed="81"/>
            <rFont val="宋体"/>
            <charset val="134"/>
          </rPr>
          <t>廠商進貨</t>
        </r>
        <r>
          <rPr>
            <b/>
            <sz val="9"/>
            <color indexed="81"/>
            <rFont val="Tahoma"/>
            <family val="2"/>
          </rPr>
          <t xml:space="preserve">: </t>
        </r>
        <r>
          <rPr>
            <b/>
            <sz val="9"/>
            <color indexed="81"/>
            <rFont val="宋体"/>
            <charset val="134"/>
          </rPr>
          <t>【</t>
        </r>
        <r>
          <rPr>
            <b/>
            <sz val="9"/>
            <color indexed="81"/>
            <rFont val="Tahoma"/>
            <family val="2"/>
          </rPr>
          <t>5</t>
        </r>
        <r>
          <rPr>
            <b/>
            <sz val="9"/>
            <color indexed="81"/>
            <rFont val="宋体"/>
            <charset val="134"/>
          </rPr>
          <t>色</t>
        </r>
        <r>
          <rPr>
            <b/>
            <sz val="9"/>
            <color indexed="81"/>
            <rFont val="Tahoma"/>
            <family val="2"/>
          </rPr>
          <t>*2</t>
        </r>
        <r>
          <rPr>
            <b/>
            <sz val="9"/>
            <color indexed="81"/>
            <rFont val="宋体"/>
            <charset val="134"/>
          </rPr>
          <t>条】</t>
        </r>
        <r>
          <rPr>
            <b/>
            <sz val="9"/>
            <color indexed="81"/>
            <rFont val="Tahoma"/>
            <family val="2"/>
          </rPr>
          <t xml:space="preserve">
</t>
        </r>
        <r>
          <rPr>
            <b/>
            <sz val="9"/>
            <color indexed="81"/>
            <rFont val="宋体"/>
            <charset val="134"/>
          </rPr>
          <t>自行分裝</t>
        </r>
        <r>
          <rPr>
            <b/>
            <sz val="9"/>
            <color indexed="81"/>
            <rFont val="Tahoma"/>
            <family val="2"/>
          </rPr>
          <t>:: 10</t>
        </r>
        <r>
          <rPr>
            <b/>
            <sz val="9"/>
            <color indexed="81"/>
            <rFont val="宋体"/>
            <charset val="134"/>
          </rPr>
          <t>条/色</t>
        </r>
      </text>
    </comment>
    <comment ref="B418" authorId="0">
      <text>
        <r>
          <rPr>
            <b/>
            <sz val="9"/>
            <color indexed="81"/>
            <rFont val="宋体"/>
            <charset val="134"/>
          </rPr>
          <t xml:space="preserve">疑似出貨100米
</t>
        </r>
      </text>
    </comment>
    <comment ref="D418" authorId="0">
      <text>
        <r>
          <rPr>
            <b/>
            <sz val="9"/>
            <color indexed="81"/>
            <rFont val="宋体"/>
            <charset val="134"/>
          </rPr>
          <t>定貨</t>
        </r>
        <r>
          <rPr>
            <b/>
            <sz val="9"/>
            <color indexed="81"/>
            <rFont val="Tahoma"/>
            <family val="2"/>
          </rPr>
          <t>50</t>
        </r>
        <r>
          <rPr>
            <b/>
            <sz val="9"/>
            <color indexed="81"/>
            <rFont val="宋体"/>
            <charset val="134"/>
          </rPr>
          <t>米
到貨</t>
        </r>
        <r>
          <rPr>
            <b/>
            <sz val="9"/>
            <color indexed="81"/>
            <rFont val="Tahoma"/>
            <family val="2"/>
          </rPr>
          <t>100</t>
        </r>
        <r>
          <rPr>
            <b/>
            <sz val="9"/>
            <color indexed="81"/>
            <rFont val="宋体"/>
            <charset val="134"/>
          </rPr>
          <t xml:space="preserve">米
</t>
        </r>
      </text>
    </comment>
    <comment ref="C438" authorId="0">
      <text>
        <r>
          <rPr>
            <b/>
            <sz val="9"/>
            <color indexed="81"/>
            <rFont val="宋体"/>
            <charset val="134"/>
          </rPr>
          <t>国标3*100宽2.5mm
国标3*150宽2.5mm
国标3*200宽2.5mm</t>
        </r>
      </text>
    </comment>
    <comment ref="C444" authorId="0">
      <text>
        <r>
          <rPr>
            <b/>
            <sz val="9"/>
            <color indexed="81"/>
            <rFont val="宋体"/>
            <charset val="134"/>
          </rPr>
          <t>国标3*100宽2.5mm
国标3*150宽2.5mm
国标3*200宽2.5mm</t>
        </r>
      </text>
    </comment>
    <comment ref="C452" authorId="0">
      <text>
        <r>
          <rPr>
            <b/>
            <sz val="9"/>
            <color indexed="81"/>
            <rFont val="宋体"/>
            <charset val="134"/>
          </rPr>
          <t>国标3*100宽2.5mm
国标3*150宽2.5mm
国标3*200宽2.5mm</t>
        </r>
      </text>
    </comment>
    <comment ref="C458" authorId="0">
      <text>
        <r>
          <rPr>
            <b/>
            <sz val="9"/>
            <color indexed="81"/>
            <rFont val="Tahoma"/>
            <family val="2"/>
          </rPr>
          <t>3*100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1000</t>
        </r>
        <r>
          <rPr>
            <b/>
            <sz val="9"/>
            <color indexed="81"/>
            <rFont val="宋体"/>
            <charset val="134"/>
          </rPr>
          <t>条</t>
        </r>
      </text>
    </comment>
    <comment ref="D458" authorId="0">
      <text>
        <r>
          <rPr>
            <b/>
            <sz val="9"/>
            <color indexed="81"/>
            <rFont val="宋体"/>
            <charset val="134"/>
          </rPr>
          <t>廠商進貨</t>
        </r>
        <r>
          <rPr>
            <b/>
            <sz val="9"/>
            <color indexed="81"/>
            <rFont val="Tahoma"/>
            <family val="2"/>
          </rPr>
          <t xml:space="preserve">: 1000pcs/bag
</t>
        </r>
        <r>
          <rPr>
            <b/>
            <sz val="9"/>
            <color indexed="81"/>
            <rFont val="宋体"/>
            <charset val="134"/>
          </rPr>
          <t>自行分裝</t>
        </r>
        <r>
          <rPr>
            <b/>
            <sz val="9"/>
            <color indexed="81"/>
            <rFont val="Tahoma"/>
            <family val="2"/>
          </rPr>
          <t>: 80pcs/bag</t>
        </r>
      </text>
    </comment>
    <comment ref="C459" authorId="0">
      <text>
        <r>
          <rPr>
            <b/>
            <sz val="9"/>
            <color indexed="81"/>
            <rFont val="Tahoma"/>
            <family val="2"/>
          </rPr>
          <t>3*200</t>
        </r>
        <r>
          <rPr>
            <b/>
            <sz val="9"/>
            <color indexed="81"/>
            <rFont val="宋体"/>
            <charset val="134"/>
          </rPr>
          <t>国标</t>
        </r>
        <r>
          <rPr>
            <b/>
            <sz val="9"/>
            <color indexed="81"/>
            <rFont val="Tahoma"/>
            <family val="2"/>
          </rPr>
          <t>2.5mm</t>
        </r>
        <r>
          <rPr>
            <b/>
            <sz val="9"/>
            <color indexed="81"/>
            <rFont val="宋体"/>
            <charset val="134"/>
          </rPr>
          <t>宽</t>
        </r>
        <r>
          <rPr>
            <b/>
            <sz val="9"/>
            <color indexed="81"/>
            <rFont val="Tahoma"/>
            <family val="2"/>
          </rPr>
          <t>500</t>
        </r>
        <r>
          <rPr>
            <b/>
            <sz val="9"/>
            <color indexed="81"/>
            <rFont val="宋体"/>
            <charset val="134"/>
          </rPr>
          <t>条</t>
        </r>
      </text>
    </comment>
    <comment ref="D459" authorId="0">
      <text>
        <r>
          <rPr>
            <b/>
            <sz val="9"/>
            <color indexed="81"/>
            <rFont val="宋体"/>
            <charset val="134"/>
          </rPr>
          <t>廠商進貨</t>
        </r>
        <r>
          <rPr>
            <b/>
            <sz val="9"/>
            <color indexed="81"/>
            <rFont val="Tahoma"/>
            <family val="2"/>
          </rPr>
          <t xml:space="preserve">: 500pcs/bag
</t>
        </r>
        <r>
          <rPr>
            <b/>
            <sz val="9"/>
            <color indexed="81"/>
            <rFont val="宋体"/>
            <charset val="134"/>
          </rPr>
          <t>自行分裝</t>
        </r>
        <r>
          <rPr>
            <b/>
            <sz val="9"/>
            <color indexed="81"/>
            <rFont val="Tahoma"/>
            <family val="2"/>
          </rPr>
          <t>: 50pcs/bag</t>
        </r>
      </text>
    </comment>
    <comment ref="C460" authorId="0">
      <text>
        <r>
          <rPr>
            <b/>
            <sz val="9"/>
            <color indexed="81"/>
            <rFont val="Tahoma"/>
            <family val="2"/>
          </rPr>
          <t>4*300</t>
        </r>
        <r>
          <rPr>
            <b/>
            <sz val="9"/>
            <color indexed="81"/>
            <rFont val="宋体"/>
            <charset val="134"/>
          </rPr>
          <t>国标</t>
        </r>
        <r>
          <rPr>
            <b/>
            <sz val="9"/>
            <color indexed="81"/>
            <rFont val="Tahoma"/>
            <family val="2"/>
          </rPr>
          <t>3.6mm</t>
        </r>
        <r>
          <rPr>
            <b/>
            <sz val="9"/>
            <color indexed="81"/>
            <rFont val="宋体"/>
            <charset val="134"/>
          </rPr>
          <t>宽</t>
        </r>
        <r>
          <rPr>
            <b/>
            <sz val="9"/>
            <color indexed="81"/>
            <rFont val="Tahoma"/>
            <family val="2"/>
          </rPr>
          <t>250</t>
        </r>
        <r>
          <rPr>
            <b/>
            <sz val="9"/>
            <color indexed="81"/>
            <rFont val="宋体"/>
            <charset val="134"/>
          </rPr>
          <t>条
定</t>
        </r>
        <r>
          <rPr>
            <b/>
            <sz val="9"/>
            <color indexed="81"/>
            <rFont val="Tahoma"/>
            <family val="2"/>
          </rPr>
          <t xml:space="preserve">4*300mm
</t>
        </r>
        <r>
          <rPr>
            <b/>
            <sz val="9"/>
            <color indexed="81"/>
            <rFont val="宋体"/>
            <charset val="134"/>
          </rPr>
          <t>工廠出錯</t>
        </r>
        <r>
          <rPr>
            <b/>
            <sz val="9"/>
            <color indexed="81"/>
            <rFont val="Tahoma"/>
            <family val="2"/>
          </rPr>
          <t>4*250</t>
        </r>
      </text>
    </comment>
    <comment ref="D460" authorId="0">
      <text>
        <r>
          <rPr>
            <b/>
            <sz val="9"/>
            <color indexed="81"/>
            <rFont val="宋体"/>
            <charset val="134"/>
          </rPr>
          <t>廠商進貨</t>
        </r>
        <r>
          <rPr>
            <b/>
            <sz val="9"/>
            <color indexed="81"/>
            <rFont val="Tahoma"/>
            <family val="2"/>
          </rPr>
          <t xml:space="preserve">: 250pcs/bag
</t>
        </r>
        <r>
          <rPr>
            <b/>
            <sz val="9"/>
            <color indexed="81"/>
            <rFont val="宋体"/>
            <charset val="134"/>
          </rPr>
          <t>自行分裝</t>
        </r>
        <r>
          <rPr>
            <b/>
            <sz val="9"/>
            <color indexed="81"/>
            <rFont val="Tahoma"/>
            <family val="2"/>
          </rPr>
          <t>: 25pcs/bag</t>
        </r>
      </text>
    </comment>
    <comment ref="B461" authorId="0">
      <text>
        <r>
          <rPr>
            <b/>
            <sz val="9"/>
            <color indexed="81"/>
            <rFont val="Tahoma"/>
            <family val="2"/>
          </rPr>
          <t>330g/10pcs</t>
        </r>
      </text>
    </comment>
    <comment ref="D466"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 xml:space="preserve">25
</t>
        </r>
      </text>
    </comment>
    <comment ref="D467" authorId="0">
      <text>
        <r>
          <rPr>
            <b/>
            <sz val="9"/>
            <color indexed="81"/>
            <rFont val="宋体"/>
            <charset val="134"/>
          </rPr>
          <t>定</t>
        </r>
        <r>
          <rPr>
            <b/>
            <sz val="9"/>
            <color indexed="81"/>
            <rFont val="Tahoma"/>
            <family val="2"/>
          </rPr>
          <t>20</t>
        </r>
        <r>
          <rPr>
            <b/>
            <sz val="9"/>
            <color indexed="81"/>
            <rFont val="宋体"/>
            <charset val="134"/>
          </rPr>
          <t>出</t>
        </r>
        <r>
          <rPr>
            <b/>
            <sz val="9"/>
            <color indexed="81"/>
            <rFont val="Tahoma"/>
            <family val="2"/>
          </rPr>
          <t>23</t>
        </r>
      </text>
    </comment>
    <comment ref="D468" authorId="0">
      <text>
        <r>
          <rPr>
            <b/>
            <sz val="9"/>
            <color indexed="81"/>
            <rFont val="宋体"/>
            <charset val="134"/>
          </rPr>
          <t>定</t>
        </r>
        <r>
          <rPr>
            <b/>
            <sz val="9"/>
            <color indexed="81"/>
            <rFont val="Tahoma"/>
            <family val="2"/>
          </rPr>
          <t>15</t>
        </r>
        <r>
          <rPr>
            <b/>
            <sz val="9"/>
            <color indexed="81"/>
            <rFont val="宋体"/>
            <charset val="134"/>
          </rPr>
          <t>出</t>
        </r>
        <r>
          <rPr>
            <b/>
            <sz val="9"/>
            <color indexed="81"/>
            <rFont val="Tahoma"/>
            <family val="2"/>
          </rPr>
          <t xml:space="preserve">22
</t>
        </r>
      </text>
    </comment>
    <comment ref="C469"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D469"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E469"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0"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1"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2"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3"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4"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5"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C476" authorId="0">
      <text>
        <r>
          <rPr>
            <b/>
            <sz val="9"/>
            <color indexed="81"/>
            <rFont val="宋体"/>
            <charset val="134"/>
          </rPr>
          <t>廠商進貨</t>
        </r>
        <r>
          <rPr>
            <b/>
            <sz val="9"/>
            <color indexed="81"/>
            <rFont val="Tahoma"/>
            <family val="2"/>
          </rPr>
          <t xml:space="preserve">: 800pcs/bag
</t>
        </r>
        <r>
          <rPr>
            <b/>
            <sz val="9"/>
            <color indexed="81"/>
            <rFont val="宋体"/>
            <charset val="134"/>
          </rPr>
          <t>自行分裝</t>
        </r>
        <r>
          <rPr>
            <b/>
            <sz val="9"/>
            <color indexed="81"/>
            <rFont val="Tahoma"/>
            <family val="2"/>
          </rPr>
          <t>:400pcs/bag</t>
        </r>
      </text>
    </comment>
    <comment ref="D500" authorId="0">
      <text>
        <r>
          <rPr>
            <b/>
            <sz val="9"/>
            <color indexed="81"/>
            <rFont val="宋体"/>
            <charset val="134"/>
          </rPr>
          <t>到貨</t>
        </r>
        <r>
          <rPr>
            <b/>
            <sz val="9"/>
            <color indexed="81"/>
            <rFont val="Tahoma"/>
            <family val="2"/>
          </rPr>
          <t>52</t>
        </r>
        <r>
          <rPr>
            <b/>
            <sz val="9"/>
            <color indexed="81"/>
            <rFont val="宋体"/>
            <charset val="134"/>
          </rPr>
          <t>個多</t>
        </r>
        <r>
          <rPr>
            <b/>
            <sz val="9"/>
            <color indexed="81"/>
            <rFont val="Tahoma"/>
            <family val="2"/>
          </rPr>
          <t>2</t>
        </r>
        <r>
          <rPr>
            <b/>
            <sz val="9"/>
            <color indexed="81"/>
            <rFont val="宋体"/>
            <charset val="134"/>
          </rPr>
          <t>個</t>
        </r>
      </text>
    </comment>
    <comment ref="C616" authorId="0">
      <text>
        <r>
          <rPr>
            <b/>
            <sz val="9"/>
            <color indexed="81"/>
            <rFont val="Tahoma"/>
            <family val="2"/>
          </rPr>
          <t>5</t>
        </r>
        <r>
          <rPr>
            <b/>
            <sz val="9"/>
            <color indexed="81"/>
            <rFont val="宋体"/>
            <charset val="134"/>
          </rPr>
          <t xml:space="preserve">件套裝分拆
</t>
        </r>
      </text>
    </comment>
    <comment ref="E616"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C617" authorId="0">
      <text>
        <r>
          <rPr>
            <b/>
            <sz val="9"/>
            <color indexed="81"/>
            <rFont val="Tahoma"/>
            <family val="2"/>
          </rPr>
          <t>5</t>
        </r>
        <r>
          <rPr>
            <b/>
            <sz val="9"/>
            <color indexed="81"/>
            <rFont val="宋体"/>
            <charset val="134"/>
          </rPr>
          <t xml:space="preserve">件套裝分拆
</t>
        </r>
      </text>
    </comment>
    <comment ref="E617"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C618" authorId="0">
      <text>
        <r>
          <rPr>
            <b/>
            <sz val="9"/>
            <color indexed="81"/>
            <rFont val="Tahoma"/>
            <family val="2"/>
          </rPr>
          <t>5</t>
        </r>
        <r>
          <rPr>
            <b/>
            <sz val="9"/>
            <color indexed="81"/>
            <rFont val="宋体"/>
            <charset val="134"/>
          </rPr>
          <t xml:space="preserve">件套裝分拆
</t>
        </r>
      </text>
    </comment>
    <comment ref="E618" authorId="0">
      <text>
        <r>
          <rPr>
            <b/>
            <sz val="9"/>
            <color indexed="81"/>
            <rFont val="Tahoma"/>
            <family val="2"/>
          </rPr>
          <t>5</t>
        </r>
        <r>
          <rPr>
            <b/>
            <sz val="9"/>
            <color indexed="81"/>
            <rFont val="宋体"/>
            <charset val="134"/>
          </rPr>
          <t xml:space="preserve">件套裝分拆
</t>
        </r>
        <r>
          <rPr>
            <b/>
            <sz val="9"/>
            <color indexed="81"/>
            <rFont val="Tahoma"/>
            <family val="2"/>
          </rPr>
          <t xml:space="preserve">1.19
1.68
2.38
2.97
3.56
</t>
        </r>
      </text>
    </comment>
    <comment ref="E651"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2"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3"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4"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5"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E656" authorId="0">
      <text>
        <r>
          <rPr>
            <b/>
            <sz val="9"/>
            <color indexed="81"/>
            <rFont val="Tahoma"/>
            <family val="2"/>
          </rPr>
          <t>100pcs/1</t>
        </r>
        <r>
          <rPr>
            <b/>
            <sz val="9"/>
            <color indexed="81"/>
            <rFont val="宋体"/>
            <charset val="134"/>
          </rPr>
          <t>包</t>
        </r>
        <r>
          <rPr>
            <b/>
            <sz val="9"/>
            <color indexed="81"/>
            <rFont val="Tahoma"/>
            <family val="2"/>
          </rPr>
          <t>*20</t>
        </r>
        <r>
          <rPr>
            <b/>
            <sz val="9"/>
            <color indexed="81"/>
            <rFont val="宋体"/>
            <charset val="134"/>
          </rPr>
          <t>元</t>
        </r>
        <r>
          <rPr>
            <b/>
            <sz val="9"/>
            <color indexed="81"/>
            <rFont val="Tahoma"/>
            <family val="2"/>
          </rPr>
          <t xml:space="preserve">
</t>
        </r>
        <r>
          <rPr>
            <b/>
            <sz val="9"/>
            <color indexed="81"/>
            <rFont val="宋体"/>
            <charset val="134"/>
          </rPr>
          <t>自行拆分</t>
        </r>
        <r>
          <rPr>
            <b/>
            <sz val="9"/>
            <color indexed="81"/>
            <rFont val="Tahoma"/>
            <family val="2"/>
          </rPr>
          <t xml:space="preserve">-&gt;
</t>
        </r>
        <r>
          <rPr>
            <b/>
            <sz val="9"/>
            <color indexed="81"/>
            <rFont val="宋体"/>
            <charset val="134"/>
          </rPr>
          <t>紅</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藍</t>
        </r>
        <r>
          <rPr>
            <b/>
            <sz val="9"/>
            <color indexed="81"/>
            <rFont val="Tahoma"/>
            <family val="2"/>
          </rPr>
          <t>: 20</t>
        </r>
        <r>
          <rPr>
            <b/>
            <sz val="9"/>
            <color indexed="81"/>
            <rFont val="宋体"/>
            <charset val="134"/>
          </rPr>
          <t>對</t>
        </r>
        <r>
          <rPr>
            <b/>
            <sz val="9"/>
            <color indexed="81"/>
            <rFont val="Tahoma"/>
            <family val="2"/>
          </rPr>
          <t>*0.35</t>
        </r>
        <r>
          <rPr>
            <b/>
            <sz val="9"/>
            <color indexed="81"/>
            <rFont val="宋体"/>
            <charset val="134"/>
          </rPr>
          <t>元
黃</t>
        </r>
        <r>
          <rPr>
            <b/>
            <sz val="9"/>
            <color indexed="81"/>
            <rFont val="Tahoma"/>
            <family val="2"/>
          </rPr>
          <t>: 10</t>
        </r>
        <r>
          <rPr>
            <b/>
            <sz val="9"/>
            <color indexed="81"/>
            <rFont val="宋体"/>
            <charset val="134"/>
          </rPr>
          <t>對</t>
        </r>
        <r>
          <rPr>
            <b/>
            <sz val="9"/>
            <color indexed="81"/>
            <rFont val="Tahoma"/>
            <family val="2"/>
          </rPr>
          <t>*0.6</t>
        </r>
        <r>
          <rPr>
            <b/>
            <sz val="9"/>
            <color indexed="81"/>
            <rFont val="宋体"/>
            <charset val="134"/>
          </rPr>
          <t>元</t>
        </r>
      </text>
    </comment>
    <comment ref="B665" authorId="0">
      <text>
        <r>
          <rPr>
            <b/>
            <sz val="9"/>
            <color indexed="81"/>
            <rFont val="宋体"/>
            <charset val="134"/>
          </rPr>
          <t>自封袋</t>
        </r>
        <r>
          <rPr>
            <b/>
            <sz val="9"/>
            <color indexed="81"/>
            <rFont val="Tahoma"/>
            <family val="2"/>
          </rPr>
          <t>:8*12cm-1g
4.5g/10pcs</t>
        </r>
      </text>
    </comment>
    <comment ref="B674" authorId="0">
      <text>
        <r>
          <rPr>
            <b/>
            <sz val="9"/>
            <color indexed="81"/>
            <rFont val="Tahoma"/>
            <family val="2"/>
          </rPr>
          <t>13g/10pcs</t>
        </r>
      </text>
    </comment>
    <comment ref="B677" authorId="0">
      <text>
        <r>
          <rPr>
            <b/>
            <sz val="9"/>
            <color indexed="81"/>
            <rFont val="Tahoma"/>
            <family val="2"/>
          </rPr>
          <t>6.4g/10pcs</t>
        </r>
      </text>
    </comment>
    <comment ref="C726" authorId="0">
      <text>
        <r>
          <rPr>
            <b/>
            <sz val="9"/>
            <color indexed="81"/>
            <rFont val="宋体"/>
            <charset val="134"/>
          </rPr>
          <t>出成迷你型</t>
        </r>
      </text>
    </comment>
    <comment ref="C767"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 ref="C768"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 ref="D792" authorId="0">
      <text>
        <r>
          <rPr>
            <b/>
            <sz val="9"/>
            <color indexed="81"/>
            <rFont val="宋体"/>
            <charset val="134"/>
          </rPr>
          <t>到</t>
        </r>
        <r>
          <rPr>
            <b/>
            <sz val="9"/>
            <color indexed="81"/>
            <rFont val="Tahoma"/>
            <family val="2"/>
          </rPr>
          <t>99</t>
        </r>
        <r>
          <rPr>
            <b/>
            <sz val="9"/>
            <color indexed="81"/>
            <rFont val="宋体"/>
            <charset val="134"/>
          </rPr>
          <t>個</t>
        </r>
      </text>
    </comment>
    <comment ref="C802" authorId="0">
      <text>
        <r>
          <rPr>
            <b/>
            <sz val="9"/>
            <color indexed="81"/>
            <rFont val="宋体"/>
            <charset val="134"/>
          </rPr>
          <t>出成黃色</t>
        </r>
      </text>
    </comment>
    <comment ref="D803" authorId="0">
      <text>
        <r>
          <rPr>
            <b/>
            <sz val="9"/>
            <color indexed="81"/>
            <rFont val="宋体"/>
            <charset val="134"/>
          </rPr>
          <t>出</t>
        </r>
        <r>
          <rPr>
            <b/>
            <sz val="9"/>
            <color indexed="81"/>
            <rFont val="Tahoma"/>
            <family val="2"/>
          </rPr>
          <t>53</t>
        </r>
        <r>
          <rPr>
            <b/>
            <sz val="9"/>
            <color indexed="81"/>
            <rFont val="宋体"/>
            <charset val="134"/>
          </rPr>
          <t>個</t>
        </r>
      </text>
    </comment>
    <comment ref="B811" authorId="0">
      <text>
        <r>
          <rPr>
            <b/>
            <sz val="9"/>
            <color indexed="81"/>
            <rFont val="宋体"/>
            <charset val="134"/>
          </rPr>
          <t>塑膠袋</t>
        </r>
        <r>
          <rPr>
            <b/>
            <sz val="9"/>
            <color indexed="81"/>
            <rFont val="Tahoma"/>
            <family val="2"/>
          </rPr>
          <t>:2.7g</t>
        </r>
      </text>
    </comment>
    <comment ref="B812" authorId="0">
      <text>
        <r>
          <rPr>
            <b/>
            <sz val="9"/>
            <color indexed="81"/>
            <rFont val="宋体"/>
            <charset val="134"/>
          </rPr>
          <t>塑膠袋</t>
        </r>
        <r>
          <rPr>
            <b/>
            <sz val="9"/>
            <color indexed="81"/>
            <rFont val="Tahoma"/>
            <family val="2"/>
          </rPr>
          <t>:2.7g</t>
        </r>
      </text>
    </comment>
    <comment ref="C818" authorId="0">
      <text>
        <r>
          <rPr>
            <b/>
            <sz val="9"/>
            <color indexed="81"/>
            <rFont val="宋体"/>
            <charset val="134"/>
          </rPr>
          <t xml:space="preserve">從小袋子拿出來顏色比較深,雙邊口是同向,低級的反向
</t>
        </r>
      </text>
    </comment>
    <comment ref="B821" authorId="0">
      <text>
        <r>
          <rPr>
            <b/>
            <sz val="9"/>
            <color indexed="81"/>
            <rFont val="宋体"/>
            <charset val="134"/>
          </rPr>
          <t>紙卡</t>
        </r>
        <r>
          <rPr>
            <b/>
            <sz val="9"/>
            <color indexed="81"/>
            <rFont val="Tahoma"/>
            <family val="2"/>
          </rPr>
          <t xml:space="preserve">4.2g
</t>
        </r>
      </text>
    </comment>
    <comment ref="B835" authorId="0">
      <text>
        <r>
          <rPr>
            <b/>
            <sz val="9"/>
            <color indexed="81"/>
            <rFont val="宋体"/>
            <charset val="134"/>
          </rPr>
          <t>塑膠袋</t>
        </r>
        <r>
          <rPr>
            <b/>
            <sz val="9"/>
            <color indexed="81"/>
            <rFont val="Tahoma"/>
            <family val="2"/>
          </rPr>
          <t>:2.7g</t>
        </r>
      </text>
    </comment>
    <comment ref="B836" authorId="0">
      <text>
        <r>
          <rPr>
            <b/>
            <sz val="9"/>
            <color indexed="81"/>
            <rFont val="宋体"/>
            <charset val="134"/>
          </rPr>
          <t>塑膠袋</t>
        </r>
        <r>
          <rPr>
            <b/>
            <sz val="9"/>
            <color indexed="81"/>
            <rFont val="Tahoma"/>
            <family val="2"/>
          </rPr>
          <t>:2.7g</t>
        </r>
      </text>
    </comment>
    <comment ref="D849" authorId="0">
      <text>
        <r>
          <rPr>
            <b/>
            <sz val="9"/>
            <color indexed="81"/>
            <rFont val="宋体"/>
            <charset val="134"/>
          </rPr>
          <t>出</t>
        </r>
        <r>
          <rPr>
            <b/>
            <sz val="9"/>
            <color indexed="81"/>
            <rFont val="Tahoma"/>
            <family val="2"/>
          </rPr>
          <t>11</t>
        </r>
        <r>
          <rPr>
            <b/>
            <sz val="9"/>
            <color indexed="81"/>
            <rFont val="宋体"/>
            <charset val="134"/>
          </rPr>
          <t>條</t>
        </r>
      </text>
    </comment>
    <comment ref="B892" authorId="0">
      <text>
        <r>
          <rPr>
            <b/>
            <sz val="9"/>
            <color indexed="81"/>
            <rFont val="宋体"/>
            <charset val="134"/>
          </rPr>
          <t>塑膠袋</t>
        </r>
        <r>
          <rPr>
            <b/>
            <sz val="9"/>
            <color indexed="81"/>
            <rFont val="Tahoma"/>
            <family val="2"/>
          </rPr>
          <t>:2.7g</t>
        </r>
      </text>
    </comment>
    <comment ref="B895" authorId="0">
      <text>
        <r>
          <rPr>
            <b/>
            <sz val="9"/>
            <color indexed="81"/>
            <rFont val="宋体"/>
            <charset val="134"/>
          </rPr>
          <t>塑膠袋</t>
        </r>
        <r>
          <rPr>
            <b/>
            <sz val="9"/>
            <color indexed="81"/>
            <rFont val="Tahoma"/>
            <family val="2"/>
          </rPr>
          <t>:2.7g</t>
        </r>
      </text>
    </comment>
    <comment ref="D917" authorId="0">
      <text>
        <r>
          <rPr>
            <b/>
            <sz val="9"/>
            <color indexed="81"/>
            <rFont val="宋体"/>
            <charset val="134"/>
          </rPr>
          <t>原定</t>
        </r>
        <r>
          <rPr>
            <b/>
            <sz val="9"/>
            <color indexed="81"/>
            <rFont val="Tahoma"/>
            <family val="2"/>
          </rPr>
          <t>20x4</t>
        </r>
        <r>
          <rPr>
            <b/>
            <sz val="9"/>
            <color indexed="81"/>
            <rFont val="宋体"/>
            <charset val="134"/>
          </rPr>
          <t>元
左右</t>
        </r>
        <r>
          <rPr>
            <b/>
            <sz val="9"/>
            <color indexed="81"/>
            <rFont val="Tahoma"/>
            <family val="2"/>
          </rPr>
          <t>5</t>
        </r>
        <r>
          <rPr>
            <b/>
            <sz val="9"/>
            <color indexed="81"/>
            <rFont val="宋体"/>
            <charset val="134"/>
          </rPr>
          <t xml:space="preserve">孔款
出貨被換為
</t>
        </r>
        <r>
          <rPr>
            <b/>
            <sz val="9"/>
            <color indexed="81"/>
            <rFont val="Tahoma"/>
            <family val="2"/>
          </rPr>
          <t>3.5</t>
        </r>
        <r>
          <rPr>
            <b/>
            <sz val="9"/>
            <color indexed="81"/>
            <rFont val="宋体"/>
            <charset val="134"/>
          </rPr>
          <t>元皮紋款</t>
        </r>
      </text>
    </comment>
    <comment ref="C922" authorId="0">
      <text>
        <r>
          <rPr>
            <b/>
            <sz val="9"/>
            <color indexed="81"/>
            <rFont val="宋体"/>
            <charset val="134"/>
          </rPr>
          <t>原定
SONY環光鼠標(裸機)x20
-&gt;仿萍果白鼠標(裸機)x19</t>
        </r>
      </text>
    </comment>
    <comment ref="C923" authorId="0">
      <text>
        <r>
          <rPr>
            <b/>
            <sz val="9"/>
            <color indexed="81"/>
            <rFont val="Tahoma"/>
            <family val="2"/>
          </rPr>
          <t>2</t>
        </r>
        <r>
          <rPr>
            <b/>
            <sz val="9"/>
            <color indexed="81"/>
            <rFont val="宋体"/>
            <charset val="134"/>
          </rPr>
          <t>個左鍵按下卡住</t>
        </r>
        <r>
          <rPr>
            <b/>
            <sz val="9"/>
            <color indexed="81"/>
            <rFont val="Tahoma"/>
            <family val="2"/>
          </rPr>
          <t>-</t>
        </r>
        <r>
          <rPr>
            <b/>
            <sz val="9"/>
            <color indexed="81"/>
            <rFont val="宋体"/>
            <charset val="134"/>
          </rPr>
          <t>老板自上門換</t>
        </r>
        <r>
          <rPr>
            <b/>
            <sz val="9"/>
            <color indexed="81"/>
            <rFont val="Tahoma"/>
            <family val="2"/>
          </rPr>
          <t>-</t>
        </r>
        <r>
          <rPr>
            <b/>
            <sz val="9"/>
            <color indexed="81"/>
            <rFont val="宋体"/>
            <charset val="134"/>
          </rPr>
          <t>其中</t>
        </r>
        <r>
          <rPr>
            <b/>
            <sz val="9"/>
            <color indexed="81"/>
            <rFont val="Tahoma"/>
            <family val="2"/>
          </rPr>
          <t>1</t>
        </r>
        <r>
          <rPr>
            <b/>
            <sz val="9"/>
            <color indexed="81"/>
            <rFont val="宋体"/>
            <charset val="134"/>
          </rPr>
          <t>個仍卡住</t>
        </r>
      </text>
    </comment>
    <comment ref="D930" authorId="0">
      <text>
        <r>
          <rPr>
            <b/>
            <sz val="9"/>
            <color indexed="81"/>
            <rFont val="宋体"/>
            <charset val="134"/>
          </rPr>
          <t>定</t>
        </r>
        <r>
          <rPr>
            <b/>
            <sz val="9"/>
            <color indexed="81"/>
            <rFont val="Tahoma"/>
            <family val="2"/>
          </rPr>
          <t>3</t>
        </r>
        <r>
          <rPr>
            <b/>
            <sz val="9"/>
            <color indexed="81"/>
            <rFont val="宋体"/>
            <charset val="134"/>
          </rPr>
          <t>收</t>
        </r>
        <r>
          <rPr>
            <b/>
            <sz val="9"/>
            <color indexed="81"/>
            <rFont val="Tahoma"/>
            <family val="2"/>
          </rPr>
          <t>5</t>
        </r>
      </text>
    </comment>
    <comment ref="B946" authorId="0">
      <text>
        <r>
          <rPr>
            <b/>
            <sz val="9"/>
            <color indexed="81"/>
            <rFont val="宋体"/>
            <charset val="134"/>
          </rPr>
          <t>紙卡</t>
        </r>
        <r>
          <rPr>
            <b/>
            <sz val="9"/>
            <color indexed="81"/>
            <rFont val="Tahoma"/>
            <family val="2"/>
          </rPr>
          <t>6.6g</t>
        </r>
      </text>
    </comment>
    <comment ref="B1042"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B1043" authorId="0">
      <text>
        <r>
          <rPr>
            <b/>
            <sz val="9"/>
            <color indexed="81"/>
            <rFont val="宋体"/>
            <charset val="134"/>
          </rPr>
          <t>托盤</t>
        </r>
        <r>
          <rPr>
            <b/>
            <sz val="9"/>
            <color indexed="81"/>
            <rFont val="Tahoma"/>
            <family val="2"/>
          </rPr>
          <t xml:space="preserve">:30.7g
</t>
        </r>
        <r>
          <rPr>
            <b/>
            <sz val="9"/>
            <color indexed="81"/>
            <rFont val="宋体"/>
            <charset val="134"/>
          </rPr>
          <t>桿子</t>
        </r>
        <r>
          <rPr>
            <b/>
            <sz val="9"/>
            <color indexed="81"/>
            <rFont val="Tahoma"/>
            <family val="2"/>
          </rPr>
          <t>:15.6g</t>
        </r>
      </text>
    </comment>
    <comment ref="B1044" authorId="0">
      <text>
        <r>
          <rPr>
            <b/>
            <sz val="9"/>
            <color indexed="81"/>
            <rFont val="宋体"/>
            <charset val="134"/>
          </rPr>
          <t>紙卡包裝</t>
        </r>
        <r>
          <rPr>
            <b/>
            <sz val="9"/>
            <color indexed="81"/>
            <rFont val="Tahoma"/>
            <family val="2"/>
          </rPr>
          <t xml:space="preserve">:7g
</t>
        </r>
      </text>
    </comment>
    <comment ref="B1045" authorId="0">
      <text>
        <r>
          <rPr>
            <b/>
            <sz val="9"/>
            <color indexed="81"/>
            <rFont val="宋体"/>
            <charset val="134"/>
          </rPr>
          <t>紙卡包裝</t>
        </r>
        <r>
          <rPr>
            <b/>
            <sz val="9"/>
            <color indexed="81"/>
            <rFont val="Tahoma"/>
            <family val="2"/>
          </rPr>
          <t xml:space="preserve">:7g
</t>
        </r>
      </text>
    </comment>
    <comment ref="B1046" authorId="0">
      <text>
        <r>
          <rPr>
            <b/>
            <sz val="9"/>
            <color indexed="81"/>
            <rFont val="宋体"/>
            <charset val="134"/>
          </rPr>
          <t>紙卡包裝</t>
        </r>
        <r>
          <rPr>
            <b/>
            <sz val="9"/>
            <color indexed="81"/>
            <rFont val="Tahoma"/>
            <family val="2"/>
          </rPr>
          <t xml:space="preserve">:7g
</t>
        </r>
      </text>
    </comment>
    <comment ref="B1047" authorId="0">
      <text>
        <r>
          <rPr>
            <b/>
            <sz val="9"/>
            <color indexed="81"/>
            <rFont val="宋体"/>
            <charset val="134"/>
          </rPr>
          <t>紙卡包裝</t>
        </r>
        <r>
          <rPr>
            <b/>
            <sz val="9"/>
            <color indexed="81"/>
            <rFont val="Tahoma"/>
            <family val="2"/>
          </rPr>
          <t xml:space="preserve">:7g
</t>
        </r>
      </text>
    </comment>
    <comment ref="B1048" authorId="0">
      <text>
        <r>
          <rPr>
            <b/>
            <sz val="9"/>
            <color indexed="81"/>
            <rFont val="宋体"/>
            <charset val="134"/>
          </rPr>
          <t>紙卡包裝</t>
        </r>
        <r>
          <rPr>
            <b/>
            <sz val="9"/>
            <color indexed="81"/>
            <rFont val="Tahoma"/>
            <family val="2"/>
          </rPr>
          <t xml:space="preserve">:7g
</t>
        </r>
      </text>
    </comment>
    <comment ref="B1049" authorId="0">
      <text>
        <r>
          <rPr>
            <b/>
            <sz val="9"/>
            <color indexed="81"/>
            <rFont val="宋体"/>
            <charset val="134"/>
          </rPr>
          <t>紙卡包裝</t>
        </r>
        <r>
          <rPr>
            <b/>
            <sz val="9"/>
            <color indexed="81"/>
            <rFont val="Tahoma"/>
            <family val="2"/>
          </rPr>
          <t xml:space="preserve">:7g
</t>
        </r>
      </text>
    </comment>
    <comment ref="B1050" authorId="0">
      <text>
        <r>
          <rPr>
            <b/>
            <sz val="9"/>
            <color indexed="81"/>
            <rFont val="宋体"/>
            <charset val="134"/>
          </rPr>
          <t>紙卡包裝</t>
        </r>
        <r>
          <rPr>
            <b/>
            <sz val="9"/>
            <color indexed="81"/>
            <rFont val="Tahoma"/>
            <family val="2"/>
          </rPr>
          <t xml:space="preserve">:7g
</t>
        </r>
      </text>
    </comment>
    <comment ref="B1051" authorId="0">
      <text>
        <r>
          <rPr>
            <b/>
            <sz val="9"/>
            <color indexed="81"/>
            <rFont val="宋体"/>
            <charset val="134"/>
          </rPr>
          <t>紙卡包裝</t>
        </r>
        <r>
          <rPr>
            <b/>
            <sz val="9"/>
            <color indexed="81"/>
            <rFont val="Tahoma"/>
            <family val="2"/>
          </rPr>
          <t xml:space="preserve">:7g
</t>
        </r>
      </text>
    </comment>
    <comment ref="D1060" authorId="0">
      <text>
        <r>
          <rPr>
            <b/>
            <sz val="9"/>
            <color indexed="81"/>
            <rFont val="宋体"/>
            <charset val="134"/>
          </rPr>
          <t>收</t>
        </r>
        <r>
          <rPr>
            <b/>
            <sz val="9"/>
            <color indexed="81"/>
            <rFont val="Tahoma"/>
            <family val="2"/>
          </rPr>
          <t>6</t>
        </r>
        <r>
          <rPr>
            <b/>
            <sz val="9"/>
            <color indexed="81"/>
            <rFont val="宋体"/>
            <charset val="134"/>
          </rPr>
          <t>根留</t>
        </r>
        <r>
          <rPr>
            <b/>
            <sz val="9"/>
            <color indexed="81"/>
            <rFont val="Tahoma"/>
            <family val="2"/>
          </rPr>
          <t>1</t>
        </r>
        <r>
          <rPr>
            <b/>
            <sz val="9"/>
            <color indexed="81"/>
            <rFont val="宋体"/>
            <charset val="134"/>
          </rPr>
          <t>根</t>
        </r>
      </text>
    </comment>
    <comment ref="D1061" authorId="0">
      <text>
        <r>
          <rPr>
            <b/>
            <sz val="9"/>
            <color indexed="81"/>
            <rFont val="宋体"/>
            <charset val="134"/>
          </rPr>
          <t>收</t>
        </r>
        <r>
          <rPr>
            <b/>
            <sz val="9"/>
            <color indexed="81"/>
            <rFont val="Tahoma"/>
            <family val="2"/>
          </rPr>
          <t>6</t>
        </r>
        <r>
          <rPr>
            <b/>
            <sz val="9"/>
            <color indexed="81"/>
            <rFont val="宋体"/>
            <charset val="134"/>
          </rPr>
          <t>條留</t>
        </r>
        <r>
          <rPr>
            <b/>
            <sz val="9"/>
            <color indexed="81"/>
            <rFont val="Tahoma"/>
            <family val="2"/>
          </rPr>
          <t>1</t>
        </r>
        <r>
          <rPr>
            <b/>
            <sz val="9"/>
            <color indexed="81"/>
            <rFont val="宋体"/>
            <charset val="134"/>
          </rPr>
          <t>條</t>
        </r>
      </text>
    </comment>
    <comment ref="B1068" authorId="0">
      <text>
        <r>
          <rPr>
            <b/>
            <sz val="9"/>
            <color indexed="81"/>
            <rFont val="宋体"/>
            <charset val="134"/>
          </rPr>
          <t>總重</t>
        </r>
        <r>
          <rPr>
            <b/>
            <sz val="9"/>
            <color indexed="81"/>
            <rFont val="Tahoma"/>
            <family val="2"/>
          </rPr>
          <t xml:space="preserve">: 140.8g
</t>
        </r>
        <r>
          <rPr>
            <b/>
            <sz val="9"/>
            <color indexed="81"/>
            <rFont val="宋体"/>
            <charset val="134"/>
          </rPr>
          <t>空盒</t>
        </r>
        <r>
          <rPr>
            <b/>
            <sz val="9"/>
            <color indexed="81"/>
            <rFont val="Tahoma"/>
            <family val="2"/>
          </rPr>
          <t>: 35.4g</t>
        </r>
      </text>
    </comment>
    <comment ref="E1069" authorId="0">
      <text>
        <r>
          <rPr>
            <b/>
            <sz val="9"/>
            <color indexed="81"/>
            <rFont val="Tahoma"/>
            <family val="2"/>
          </rPr>
          <t xml:space="preserve">1.8 - </t>
        </r>
        <r>
          <rPr>
            <b/>
            <sz val="9"/>
            <color indexed="81"/>
            <rFont val="宋体"/>
            <charset val="134"/>
          </rPr>
          <t>彩卡</t>
        </r>
        <r>
          <rPr>
            <b/>
            <sz val="9"/>
            <color indexed="81"/>
            <rFont val="Tahoma"/>
            <family val="2"/>
          </rPr>
          <t xml:space="preserve"> 0.03</t>
        </r>
      </text>
    </comment>
    <comment ref="A1127" authorId="0">
      <text>
        <r>
          <rPr>
            <b/>
            <sz val="9"/>
            <color indexed="81"/>
            <rFont val="宋体"/>
            <charset val="134"/>
          </rPr>
          <t xml:space="preserve">錯誤編號為
</t>
        </r>
        <r>
          <rPr>
            <b/>
            <sz val="9"/>
            <color indexed="81"/>
            <rFont val="Tahoma"/>
            <family val="2"/>
          </rPr>
          <t>501.xx</t>
        </r>
      </text>
    </comment>
    <comment ref="A1128" authorId="0">
      <text>
        <r>
          <rPr>
            <b/>
            <sz val="9"/>
            <color indexed="81"/>
            <rFont val="宋体"/>
            <charset val="134"/>
          </rPr>
          <t xml:space="preserve">錯誤編號為
</t>
        </r>
        <r>
          <rPr>
            <b/>
            <sz val="9"/>
            <color indexed="81"/>
            <rFont val="Tahoma"/>
            <family val="2"/>
          </rPr>
          <t>501.xx</t>
        </r>
      </text>
    </comment>
    <comment ref="A1129" authorId="0">
      <text>
        <r>
          <rPr>
            <b/>
            <sz val="9"/>
            <color indexed="81"/>
            <rFont val="宋体"/>
            <charset val="134"/>
          </rPr>
          <t xml:space="preserve">錯誤編號為
</t>
        </r>
        <r>
          <rPr>
            <b/>
            <sz val="9"/>
            <color indexed="81"/>
            <rFont val="Tahoma"/>
            <family val="2"/>
          </rPr>
          <t>501.xx</t>
        </r>
      </text>
    </comment>
    <comment ref="A1130" authorId="0">
      <text>
        <r>
          <rPr>
            <b/>
            <sz val="9"/>
            <color indexed="81"/>
            <rFont val="宋体"/>
            <charset val="134"/>
          </rPr>
          <t xml:space="preserve">錯誤編號為
</t>
        </r>
        <r>
          <rPr>
            <b/>
            <sz val="9"/>
            <color indexed="81"/>
            <rFont val="Tahoma"/>
            <family val="2"/>
          </rPr>
          <t>501.xx</t>
        </r>
      </text>
    </comment>
    <comment ref="A1131" authorId="0">
      <text>
        <r>
          <rPr>
            <b/>
            <sz val="9"/>
            <color indexed="81"/>
            <rFont val="宋体"/>
            <charset val="134"/>
          </rPr>
          <t xml:space="preserve">錯誤編號為
</t>
        </r>
        <r>
          <rPr>
            <b/>
            <sz val="9"/>
            <color indexed="81"/>
            <rFont val="Tahoma"/>
            <family val="2"/>
          </rPr>
          <t>501.xx</t>
        </r>
      </text>
    </comment>
    <comment ref="A1132" authorId="0">
      <text>
        <r>
          <rPr>
            <b/>
            <sz val="9"/>
            <color indexed="81"/>
            <rFont val="宋体"/>
            <charset val="134"/>
          </rPr>
          <t xml:space="preserve">錯誤編號為
</t>
        </r>
        <r>
          <rPr>
            <b/>
            <sz val="9"/>
            <color indexed="81"/>
            <rFont val="Tahoma"/>
            <family val="2"/>
          </rPr>
          <t>501.xx</t>
        </r>
      </text>
    </comment>
    <comment ref="A1133" authorId="0">
      <text>
        <r>
          <rPr>
            <b/>
            <sz val="9"/>
            <color indexed="81"/>
            <rFont val="宋体"/>
            <charset val="134"/>
          </rPr>
          <t xml:space="preserve">錯誤編號為
</t>
        </r>
        <r>
          <rPr>
            <b/>
            <sz val="9"/>
            <color indexed="81"/>
            <rFont val="Tahoma"/>
            <family val="2"/>
          </rPr>
          <t>501.xx</t>
        </r>
      </text>
    </comment>
    <comment ref="A1134" authorId="0">
      <text>
        <r>
          <rPr>
            <b/>
            <sz val="9"/>
            <color indexed="81"/>
            <rFont val="宋体"/>
            <charset val="134"/>
          </rPr>
          <t xml:space="preserve">錯誤編號為
</t>
        </r>
        <r>
          <rPr>
            <b/>
            <sz val="9"/>
            <color indexed="81"/>
            <rFont val="Tahoma"/>
            <family val="2"/>
          </rPr>
          <t>501.xx</t>
        </r>
      </text>
    </comment>
    <comment ref="A1135" authorId="0">
      <text>
        <r>
          <rPr>
            <b/>
            <sz val="9"/>
            <color indexed="81"/>
            <rFont val="宋体"/>
            <charset val="134"/>
          </rPr>
          <t xml:space="preserve">錯誤編號為
</t>
        </r>
        <r>
          <rPr>
            <b/>
            <sz val="9"/>
            <color indexed="81"/>
            <rFont val="Tahoma"/>
            <family val="2"/>
          </rPr>
          <t>501.xx</t>
        </r>
      </text>
    </comment>
    <comment ref="A1136" authorId="0">
      <text>
        <r>
          <rPr>
            <b/>
            <sz val="9"/>
            <color indexed="81"/>
            <rFont val="宋体"/>
            <charset val="134"/>
          </rPr>
          <t xml:space="preserve">錯誤編號為
</t>
        </r>
        <r>
          <rPr>
            <b/>
            <sz val="9"/>
            <color indexed="81"/>
            <rFont val="Tahoma"/>
            <family val="2"/>
          </rPr>
          <t>501.xx</t>
        </r>
      </text>
    </comment>
    <comment ref="C1178" authorId="0">
      <text>
        <r>
          <rPr>
            <b/>
            <sz val="9"/>
            <color indexed="81"/>
            <rFont val="宋体"/>
            <charset val="134"/>
          </rPr>
          <t>定</t>
        </r>
        <r>
          <rPr>
            <b/>
            <sz val="9"/>
            <color indexed="81"/>
            <rFont val="Tahoma"/>
            <family val="2"/>
          </rPr>
          <t>3</t>
        </r>
        <r>
          <rPr>
            <b/>
            <sz val="9"/>
            <color indexed="81"/>
            <rFont val="宋体"/>
            <charset val="134"/>
          </rPr>
          <t>個,收到</t>
        </r>
        <r>
          <rPr>
            <b/>
            <sz val="9"/>
            <color indexed="81"/>
            <rFont val="Tahoma"/>
            <family val="2"/>
          </rPr>
          <t>2</t>
        </r>
        <r>
          <rPr>
            <b/>
            <sz val="9"/>
            <color indexed="81"/>
            <rFont val="宋体"/>
            <charset val="134"/>
          </rPr>
          <t>個</t>
        </r>
      </text>
    </comment>
    <comment ref="D1191" authorId="0">
      <text>
        <r>
          <rPr>
            <b/>
            <sz val="9"/>
            <color indexed="81"/>
            <rFont val="宋体"/>
            <charset val="134"/>
          </rPr>
          <t>收</t>
        </r>
        <r>
          <rPr>
            <b/>
            <sz val="9"/>
            <color indexed="81"/>
            <rFont val="Tahoma"/>
            <family val="2"/>
          </rPr>
          <t>10</t>
        </r>
        <r>
          <rPr>
            <b/>
            <sz val="9"/>
            <color indexed="81"/>
            <rFont val="宋体"/>
            <charset val="134"/>
          </rPr>
          <t>把留</t>
        </r>
        <r>
          <rPr>
            <b/>
            <sz val="9"/>
            <color indexed="81"/>
            <rFont val="Tahoma"/>
            <family val="2"/>
          </rPr>
          <t>1</t>
        </r>
        <r>
          <rPr>
            <b/>
            <sz val="9"/>
            <color indexed="81"/>
            <rFont val="宋体"/>
            <charset val="134"/>
          </rPr>
          <t>把出</t>
        </r>
        <r>
          <rPr>
            <b/>
            <sz val="9"/>
            <color indexed="81"/>
            <rFont val="Tahoma"/>
            <family val="2"/>
          </rPr>
          <t>9</t>
        </r>
        <r>
          <rPr>
            <b/>
            <sz val="9"/>
            <color indexed="81"/>
            <rFont val="宋体"/>
            <charset val="134"/>
          </rPr>
          <t>把</t>
        </r>
      </text>
    </comment>
    <comment ref="D1192" authorId="0">
      <text>
        <r>
          <rPr>
            <b/>
            <sz val="9"/>
            <color indexed="81"/>
            <rFont val="宋体"/>
            <charset val="134"/>
          </rPr>
          <t>定平3尖3
收平6</t>
        </r>
      </text>
    </comment>
  </commentList>
</comments>
</file>

<file path=xl/comments5.xml><?xml version="1.0" encoding="utf-8"?>
<comments xmlns="http://schemas.openxmlformats.org/spreadsheetml/2006/main">
  <authors>
    <author>作者</author>
  </authors>
  <commentList>
    <comment ref="A16" authorId="0">
      <text>
        <r>
          <rPr>
            <b/>
            <sz val="9"/>
            <color indexed="81"/>
            <rFont val="宋体"/>
            <charset val="134"/>
          </rPr>
          <t>定作</t>
        </r>
      </text>
    </comment>
    <comment ref="A17" authorId="0">
      <text>
        <r>
          <rPr>
            <b/>
            <sz val="9"/>
            <color indexed="81"/>
            <rFont val="宋体"/>
            <charset val="134"/>
          </rPr>
          <t>定作</t>
        </r>
      </text>
    </comment>
    <comment ref="A18" authorId="0">
      <text>
        <r>
          <rPr>
            <b/>
            <sz val="9"/>
            <color indexed="81"/>
            <rFont val="宋体"/>
            <charset val="134"/>
          </rPr>
          <t>定作</t>
        </r>
      </text>
    </comment>
    <comment ref="A19" authorId="0">
      <text>
        <r>
          <rPr>
            <b/>
            <sz val="9"/>
            <color indexed="81"/>
            <rFont val="宋体"/>
            <charset val="134"/>
          </rPr>
          <t>定作</t>
        </r>
        <r>
          <rPr>
            <b/>
            <sz val="9"/>
            <color indexed="81"/>
            <rFont val="Tahoma"/>
            <family val="2"/>
          </rPr>
          <t xml:space="preserve">6.5cm*8cm
</t>
        </r>
        <r>
          <rPr>
            <b/>
            <sz val="9"/>
            <color indexed="81"/>
            <rFont val="宋体"/>
            <charset val="134"/>
          </rPr>
          <t>工廠作錯為</t>
        </r>
        <r>
          <rPr>
            <b/>
            <sz val="9"/>
            <color indexed="81"/>
            <rFont val="Tahoma"/>
            <family val="2"/>
          </rPr>
          <t>5cm*8cm</t>
        </r>
      </text>
    </comment>
    <comment ref="A20" authorId="0">
      <text>
        <r>
          <rPr>
            <b/>
            <sz val="9"/>
            <color indexed="81"/>
            <rFont val="宋体"/>
            <charset val="134"/>
          </rPr>
          <t>定作</t>
        </r>
      </text>
    </comment>
    <comment ref="A21" authorId="0">
      <text>
        <r>
          <rPr>
            <b/>
            <sz val="9"/>
            <color indexed="81"/>
            <rFont val="宋体"/>
            <charset val="134"/>
          </rPr>
          <t>定作</t>
        </r>
      </text>
    </comment>
    <comment ref="A22" authorId="0">
      <text>
        <r>
          <rPr>
            <b/>
            <sz val="9"/>
            <color indexed="81"/>
            <rFont val="宋体"/>
            <charset val="134"/>
          </rPr>
          <t>工廠作錯為</t>
        </r>
        <r>
          <rPr>
            <b/>
            <sz val="9"/>
            <color indexed="81"/>
            <rFont val="Tahoma"/>
            <family val="2"/>
          </rPr>
          <t xml:space="preserve">5cm*8cm
</t>
        </r>
        <r>
          <rPr>
            <b/>
            <sz val="9"/>
            <color indexed="81"/>
            <rFont val="宋体"/>
            <charset val="134"/>
          </rPr>
          <t>重新定作</t>
        </r>
        <r>
          <rPr>
            <b/>
            <sz val="9"/>
            <color indexed="81"/>
            <rFont val="Tahoma"/>
            <family val="2"/>
          </rPr>
          <t xml:space="preserve">6.5cm*8cm
</t>
        </r>
      </text>
    </comment>
  </commentList>
</comments>
</file>

<file path=xl/comments6.xml><?xml version="1.0" encoding="utf-8"?>
<comments xmlns="http://schemas.openxmlformats.org/spreadsheetml/2006/main">
  <authors>
    <author>作者</author>
  </authors>
  <commentList>
    <comment ref="A4" authorId="0">
      <text>
        <r>
          <rPr>
            <b/>
            <sz val="9"/>
            <color indexed="81"/>
            <rFont val="宋体"/>
            <charset val="134"/>
          </rPr>
          <t>塑膠袋</t>
        </r>
        <r>
          <rPr>
            <b/>
            <sz val="9"/>
            <color indexed="81"/>
            <rFont val="Tahoma"/>
            <family val="2"/>
          </rPr>
          <t>:2.7g</t>
        </r>
      </text>
    </comment>
    <comment ref="A7" authorId="0">
      <text>
        <r>
          <rPr>
            <b/>
            <sz val="9"/>
            <color indexed="81"/>
            <rFont val="宋体"/>
            <charset val="134"/>
          </rPr>
          <t>塑膠袋</t>
        </r>
        <r>
          <rPr>
            <b/>
            <sz val="9"/>
            <color indexed="81"/>
            <rFont val="Tahoma"/>
            <family val="2"/>
          </rPr>
          <t>:2.7g</t>
        </r>
      </text>
    </comment>
    <comment ref="A49" authorId="0">
      <text>
        <r>
          <rPr>
            <b/>
            <sz val="9"/>
            <color indexed="81"/>
            <rFont val="宋体"/>
            <charset val="134"/>
          </rPr>
          <t>塑膠袋</t>
        </r>
        <r>
          <rPr>
            <b/>
            <sz val="9"/>
            <color indexed="81"/>
            <rFont val="Tahoma"/>
            <family val="2"/>
          </rPr>
          <t>:2.7g</t>
        </r>
      </text>
    </comment>
    <comment ref="A50" authorId="0">
      <text>
        <r>
          <rPr>
            <b/>
            <sz val="9"/>
            <color indexed="81"/>
            <rFont val="宋体"/>
            <charset val="134"/>
          </rPr>
          <t>塑膠袋</t>
        </r>
        <r>
          <rPr>
            <b/>
            <sz val="9"/>
            <color indexed="81"/>
            <rFont val="Tahoma"/>
            <family val="2"/>
          </rPr>
          <t>:2.7g</t>
        </r>
      </text>
    </comment>
    <comment ref="A52" authorId="0">
      <text>
        <r>
          <rPr>
            <b/>
            <sz val="9"/>
            <color indexed="81"/>
            <rFont val="宋体"/>
            <charset val="134"/>
          </rPr>
          <t>塑膠袋</t>
        </r>
        <r>
          <rPr>
            <b/>
            <sz val="9"/>
            <color indexed="81"/>
            <rFont val="Tahoma"/>
            <family val="2"/>
          </rPr>
          <t>:2.7g</t>
        </r>
      </text>
    </comment>
    <comment ref="A53" authorId="0">
      <text>
        <r>
          <rPr>
            <b/>
            <sz val="9"/>
            <color indexed="81"/>
            <rFont val="宋体"/>
            <charset val="134"/>
          </rPr>
          <t>塑膠袋</t>
        </r>
        <r>
          <rPr>
            <b/>
            <sz val="9"/>
            <color indexed="81"/>
            <rFont val="Tahoma"/>
            <family val="2"/>
          </rPr>
          <t>:2.7g</t>
        </r>
      </text>
    </comment>
    <comment ref="E81"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 ref="E82" authorId="0">
      <text>
        <r>
          <rPr>
            <b/>
            <sz val="9"/>
            <color indexed="81"/>
            <rFont val="宋体"/>
            <charset val="134"/>
          </rPr>
          <t>進貨</t>
        </r>
        <r>
          <rPr>
            <b/>
            <sz val="9"/>
            <color indexed="81"/>
            <rFont val="Tahoma"/>
            <family val="2"/>
          </rPr>
          <t>5</t>
        </r>
        <r>
          <rPr>
            <b/>
            <sz val="9"/>
            <color indexed="81"/>
            <rFont val="宋体"/>
            <charset val="134"/>
          </rPr>
          <t>色各</t>
        </r>
        <r>
          <rPr>
            <b/>
            <sz val="9"/>
            <color indexed="81"/>
            <rFont val="Tahoma"/>
            <family val="2"/>
          </rPr>
          <t>2</t>
        </r>
        <r>
          <rPr>
            <b/>
            <sz val="9"/>
            <color indexed="81"/>
            <rFont val="宋体"/>
            <charset val="134"/>
          </rPr>
          <t>條
自行分拆</t>
        </r>
        <r>
          <rPr>
            <b/>
            <sz val="9"/>
            <color indexed="81"/>
            <rFont val="Tahoma"/>
            <family val="2"/>
          </rPr>
          <t>5</t>
        </r>
        <r>
          <rPr>
            <b/>
            <sz val="9"/>
            <color indexed="81"/>
            <rFont val="宋体"/>
            <charset val="134"/>
          </rPr>
          <t>色各</t>
        </r>
        <r>
          <rPr>
            <b/>
            <sz val="9"/>
            <color indexed="81"/>
            <rFont val="Tahoma"/>
            <family val="2"/>
          </rPr>
          <t>1</t>
        </r>
        <r>
          <rPr>
            <b/>
            <sz val="9"/>
            <color indexed="81"/>
            <rFont val="宋体"/>
            <charset val="134"/>
          </rPr>
          <t>條</t>
        </r>
      </text>
    </comment>
  </commentList>
</comments>
</file>

<file path=xl/comments7.xml><?xml version="1.0" encoding="utf-8"?>
<comments xmlns="http://schemas.openxmlformats.org/spreadsheetml/2006/main">
  <authors>
    <author>作者</author>
  </authors>
  <commentList>
    <comment ref="G3" authorId="0">
      <text>
        <r>
          <rPr>
            <b/>
            <sz val="9"/>
            <color indexed="81"/>
            <rFont val="Tahoma"/>
            <family val="2"/>
          </rPr>
          <t>ULINE 11</t>
        </r>
        <r>
          <rPr>
            <b/>
            <sz val="9"/>
            <color indexed="81"/>
            <rFont val="宋体"/>
            <charset val="134"/>
          </rPr>
          <t>款</t>
        </r>
      </text>
    </comment>
    <comment ref="I3" authorId="0">
      <text>
        <r>
          <rPr>
            <b/>
            <sz val="9"/>
            <color indexed="81"/>
            <rFont val="Tahoma"/>
            <family val="2"/>
          </rPr>
          <t>0.15-1</t>
        </r>
      </text>
    </comment>
    <comment ref="J3" authorId="0">
      <text>
        <r>
          <rPr>
            <b/>
            <sz val="9"/>
            <color indexed="81"/>
            <rFont val="Tahoma"/>
            <family val="2"/>
          </rPr>
          <t>50-500/</t>
        </r>
        <r>
          <rPr>
            <b/>
            <sz val="9"/>
            <color indexed="81"/>
            <rFont val="宋体"/>
            <charset val="134"/>
          </rPr>
          <t>箱</t>
        </r>
        <r>
          <rPr>
            <b/>
            <sz val="9"/>
            <color indexed="81"/>
            <rFont val="Tahoma"/>
            <family val="2"/>
          </rPr>
          <t xml:space="preserve">
</t>
        </r>
      </text>
    </comment>
    <comment ref="G4" authorId="0">
      <text>
        <r>
          <rPr>
            <b/>
            <sz val="9"/>
            <color indexed="81"/>
            <rFont val="Tahoma"/>
            <family val="2"/>
          </rPr>
          <t>ULINE 12</t>
        </r>
        <r>
          <rPr>
            <b/>
            <sz val="9"/>
            <color indexed="81"/>
            <rFont val="宋体"/>
            <charset val="134"/>
          </rPr>
          <t>款</t>
        </r>
      </text>
    </comment>
    <comment ref="I4" authorId="0">
      <text>
        <r>
          <rPr>
            <b/>
            <sz val="9"/>
            <color indexed="81"/>
            <rFont val="Tahoma"/>
            <family val="2"/>
          </rPr>
          <t>0.15-1</t>
        </r>
      </text>
    </comment>
    <comment ref="J4" authorId="0">
      <text>
        <r>
          <rPr>
            <b/>
            <sz val="9"/>
            <color indexed="81"/>
            <rFont val="Tahoma"/>
            <family val="2"/>
          </rPr>
          <t>50-500/</t>
        </r>
        <r>
          <rPr>
            <b/>
            <sz val="9"/>
            <color indexed="81"/>
            <rFont val="宋体"/>
            <charset val="134"/>
          </rPr>
          <t>箱</t>
        </r>
        <r>
          <rPr>
            <b/>
            <sz val="9"/>
            <color indexed="81"/>
            <rFont val="Tahoma"/>
            <family val="2"/>
          </rPr>
          <t xml:space="preserve">
</t>
        </r>
      </text>
    </comment>
    <comment ref="G5" authorId="0">
      <text>
        <r>
          <rPr>
            <b/>
            <sz val="9"/>
            <color indexed="81"/>
            <rFont val="Tahoma"/>
            <family val="2"/>
          </rPr>
          <t>ULINE 30</t>
        </r>
        <r>
          <rPr>
            <b/>
            <sz val="9"/>
            <color indexed="81"/>
            <rFont val="宋体"/>
            <charset val="134"/>
          </rPr>
          <t>款</t>
        </r>
      </text>
    </comment>
    <comment ref="I5" authorId="0">
      <text>
        <r>
          <rPr>
            <b/>
            <sz val="9"/>
            <color indexed="81"/>
            <rFont val="Tahoma"/>
            <family val="2"/>
          </rPr>
          <t>0.15-1</t>
        </r>
      </text>
    </comment>
    <comment ref="J5" authorId="0">
      <text>
        <r>
          <rPr>
            <b/>
            <sz val="9"/>
            <color indexed="81"/>
            <rFont val="Tahoma"/>
            <family val="2"/>
          </rPr>
          <t>50-500/</t>
        </r>
        <r>
          <rPr>
            <b/>
            <sz val="9"/>
            <color indexed="81"/>
            <rFont val="宋体"/>
            <charset val="134"/>
          </rPr>
          <t>箱</t>
        </r>
        <r>
          <rPr>
            <b/>
            <sz val="9"/>
            <color indexed="81"/>
            <rFont val="Tahoma"/>
            <family val="2"/>
          </rPr>
          <t xml:space="preserve">
</t>
        </r>
      </text>
    </comment>
    <comment ref="G6" authorId="0">
      <text>
        <r>
          <rPr>
            <b/>
            <sz val="9"/>
            <color indexed="81"/>
            <rFont val="Tahoma"/>
            <family val="2"/>
          </rPr>
          <t>ULINE: 10</t>
        </r>
        <r>
          <rPr>
            <b/>
            <sz val="9"/>
            <color indexed="81"/>
            <rFont val="宋体"/>
            <charset val="134"/>
          </rPr>
          <t xml:space="preserve">款
</t>
        </r>
        <r>
          <rPr>
            <b/>
            <sz val="9"/>
            <color indexed="81"/>
            <rFont val="Tahoma"/>
            <family val="2"/>
          </rPr>
          <t>ebay: 9</t>
        </r>
        <r>
          <rPr>
            <b/>
            <sz val="9"/>
            <color indexed="81"/>
            <rFont val="宋体"/>
            <charset val="134"/>
          </rPr>
          <t>款
重覆</t>
        </r>
        <r>
          <rPr>
            <b/>
            <sz val="9"/>
            <color indexed="81"/>
            <rFont val="Tahoma"/>
            <family val="2"/>
          </rPr>
          <t>: 8</t>
        </r>
        <r>
          <rPr>
            <b/>
            <sz val="9"/>
            <color indexed="81"/>
            <rFont val="宋体"/>
            <charset val="134"/>
          </rPr>
          <t>款</t>
        </r>
        <r>
          <rPr>
            <b/>
            <sz val="9"/>
            <color indexed="81"/>
            <rFont val="Tahoma"/>
            <family val="2"/>
          </rPr>
          <t xml:space="preserve">
</t>
        </r>
      </text>
    </comment>
    <comment ref="I6" authorId="0">
      <text>
        <r>
          <rPr>
            <b/>
            <sz val="9"/>
            <color indexed="81"/>
            <rFont val="Tahoma"/>
            <family val="2"/>
          </rPr>
          <t>0.07-0.7</t>
        </r>
      </text>
    </comment>
    <comment ref="J6" authorId="0">
      <text>
        <r>
          <rPr>
            <b/>
            <sz val="9"/>
            <color indexed="81"/>
            <rFont val="Tahoma"/>
            <family val="2"/>
          </rPr>
          <t>100/</t>
        </r>
        <r>
          <rPr>
            <b/>
            <sz val="9"/>
            <color indexed="81"/>
            <rFont val="宋体"/>
            <charset val="134"/>
          </rPr>
          <t>捆</t>
        </r>
      </text>
    </comment>
    <comment ref="G7" authorId="0">
      <text>
        <r>
          <rPr>
            <b/>
            <sz val="9"/>
            <color indexed="81"/>
            <rFont val="Tahoma"/>
            <family val="2"/>
          </rPr>
          <t>ULINE 29</t>
        </r>
        <r>
          <rPr>
            <b/>
            <sz val="9"/>
            <color indexed="81"/>
            <rFont val="宋体"/>
            <charset val="134"/>
          </rPr>
          <t>款</t>
        </r>
      </text>
    </comment>
    <comment ref="I7"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0.006-0.216</t>
        </r>
      </text>
    </comment>
    <comment ref="J7" authorId="0">
      <text>
        <r>
          <rPr>
            <b/>
            <sz val="9"/>
            <color indexed="81"/>
            <rFont val="Tahoma"/>
            <family val="2"/>
          </rPr>
          <t>100/</t>
        </r>
        <r>
          <rPr>
            <b/>
            <sz val="9"/>
            <color indexed="81"/>
            <rFont val="宋体"/>
            <charset val="134"/>
          </rPr>
          <t>包</t>
        </r>
      </text>
    </comment>
    <comment ref="G8" authorId="0">
      <text>
        <r>
          <rPr>
            <b/>
            <sz val="9"/>
            <color indexed="81"/>
            <rFont val="Tahoma"/>
            <family val="2"/>
          </rPr>
          <t>ULINE 29</t>
        </r>
        <r>
          <rPr>
            <b/>
            <sz val="9"/>
            <color indexed="81"/>
            <rFont val="宋体"/>
            <charset val="134"/>
          </rPr>
          <t>款</t>
        </r>
      </text>
    </comment>
    <comment ref="I8"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0.006-0.216</t>
        </r>
      </text>
    </comment>
    <comment ref="J8" authorId="0">
      <text>
        <r>
          <rPr>
            <b/>
            <sz val="9"/>
            <color indexed="81"/>
            <rFont val="Tahoma"/>
            <family val="2"/>
          </rPr>
          <t>100/</t>
        </r>
        <r>
          <rPr>
            <b/>
            <sz val="9"/>
            <color indexed="81"/>
            <rFont val="宋体"/>
            <charset val="134"/>
          </rPr>
          <t>包</t>
        </r>
      </text>
    </comment>
    <comment ref="G9" authorId="0">
      <text>
        <r>
          <rPr>
            <b/>
            <sz val="9"/>
            <color indexed="81"/>
            <rFont val="Tahoma"/>
            <family val="2"/>
          </rPr>
          <t>ULINE 225</t>
        </r>
        <r>
          <rPr>
            <b/>
            <sz val="9"/>
            <color indexed="81"/>
            <rFont val="宋体"/>
            <charset val="134"/>
          </rPr>
          <t>款</t>
        </r>
      </text>
    </comment>
    <comment ref="I9"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0.0035-0.39</t>
        </r>
      </text>
    </comment>
    <comment ref="G10" authorId="0">
      <text>
        <r>
          <rPr>
            <b/>
            <sz val="9"/>
            <color indexed="81"/>
            <rFont val="Tahoma"/>
            <family val="2"/>
          </rPr>
          <t>ULINE 10</t>
        </r>
        <r>
          <rPr>
            <b/>
            <sz val="9"/>
            <color indexed="81"/>
            <rFont val="宋体"/>
            <charset val="134"/>
          </rPr>
          <t>款</t>
        </r>
      </text>
    </comment>
    <comment ref="H10" authorId="0">
      <text>
        <r>
          <rPr>
            <b/>
            <sz val="9"/>
            <color indexed="81"/>
            <rFont val="Tahoma"/>
            <family val="2"/>
          </rPr>
          <t>ULINE 6</t>
        </r>
        <r>
          <rPr>
            <b/>
            <sz val="9"/>
            <color indexed="81"/>
            <rFont val="宋体"/>
            <charset val="134"/>
          </rPr>
          <t>色
銀黑金紅綠藍白</t>
        </r>
      </text>
    </comment>
    <comment ref="I10" authorId="0">
      <text>
        <r>
          <rPr>
            <b/>
            <sz val="9"/>
            <color indexed="81"/>
            <rFont val="Tahoma"/>
            <family val="2"/>
          </rPr>
          <t>0.08-0.35</t>
        </r>
      </text>
    </comment>
    <comment ref="I11"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0.0035-0.39</t>
        </r>
      </text>
    </comment>
    <comment ref="G12" authorId="0">
      <text>
        <r>
          <rPr>
            <b/>
            <sz val="9"/>
            <color indexed="81"/>
            <rFont val="Tahoma"/>
            <family val="2"/>
          </rPr>
          <t>42mmx50m
45mmx70m</t>
        </r>
      </text>
    </comment>
    <comment ref="J12" authorId="0">
      <text>
        <r>
          <rPr>
            <b/>
            <sz val="9"/>
            <color indexed="81"/>
            <rFont val="Tahoma"/>
            <family val="2"/>
          </rPr>
          <t>72</t>
        </r>
        <r>
          <rPr>
            <b/>
            <sz val="9"/>
            <color indexed="81"/>
            <rFont val="宋体"/>
            <charset val="134"/>
          </rPr>
          <t>捲/箱</t>
        </r>
      </text>
    </comment>
    <comment ref="G13" authorId="0">
      <text>
        <r>
          <rPr>
            <b/>
            <sz val="9"/>
            <color indexed="81"/>
            <rFont val="Tahoma"/>
            <family val="2"/>
          </rPr>
          <t xml:space="preserve">19mmx10m
19mmx20m
</t>
        </r>
      </text>
    </comment>
    <comment ref="H13" authorId="0">
      <text>
        <r>
          <rPr>
            <b/>
            <sz val="9"/>
            <color indexed="81"/>
            <rFont val="宋体"/>
            <charset val="134"/>
          </rPr>
          <t xml:space="preserve">黑白紅藍黃綠
黃綠
透明
</t>
        </r>
      </text>
    </comment>
    <comment ref="I13" authorId="0">
      <text>
        <r>
          <rPr>
            <b/>
            <sz val="9"/>
            <color indexed="81"/>
            <rFont val="Tahoma"/>
            <family val="2"/>
          </rPr>
          <t>0.49-1</t>
        </r>
      </text>
    </comment>
    <comment ref="J13" authorId="0">
      <text>
        <r>
          <rPr>
            <b/>
            <sz val="9"/>
            <color indexed="81"/>
            <rFont val="Tahoma"/>
            <family val="2"/>
          </rPr>
          <t>10</t>
        </r>
        <r>
          <rPr>
            <b/>
            <sz val="9"/>
            <color indexed="81"/>
            <rFont val="宋体"/>
            <charset val="134"/>
          </rPr>
          <t>米/捲
20米/捲</t>
        </r>
      </text>
    </comment>
    <comment ref="G14" authorId="0">
      <text>
        <r>
          <rPr>
            <b/>
            <sz val="9"/>
            <color indexed="81"/>
            <rFont val="Tahoma"/>
            <family val="2"/>
          </rPr>
          <t>9mmx15m
19mmx15m</t>
        </r>
      </text>
    </comment>
    <comment ref="I14" authorId="0">
      <text>
        <r>
          <rPr>
            <b/>
            <sz val="9"/>
            <color indexed="81"/>
            <rFont val="Tahoma"/>
            <family val="2"/>
          </rPr>
          <t>1.3-2.5</t>
        </r>
      </text>
    </comment>
    <comment ref="G15" authorId="0">
      <text>
        <r>
          <rPr>
            <b/>
            <sz val="9"/>
            <color indexed="81"/>
            <rFont val="Tahoma"/>
            <family val="2"/>
          </rPr>
          <t>ULINE 10</t>
        </r>
        <r>
          <rPr>
            <b/>
            <sz val="9"/>
            <color indexed="81"/>
            <rFont val="宋体"/>
            <charset val="134"/>
          </rPr>
          <t xml:space="preserve">款
</t>
        </r>
        <r>
          <rPr>
            <b/>
            <sz val="9"/>
            <color indexed="81"/>
            <rFont val="Tahoma"/>
            <family val="2"/>
          </rPr>
          <t>ebay 6</t>
        </r>
        <r>
          <rPr>
            <b/>
            <sz val="9"/>
            <color indexed="81"/>
            <rFont val="宋体"/>
            <charset val="134"/>
          </rPr>
          <t>款
重覆</t>
        </r>
        <r>
          <rPr>
            <b/>
            <sz val="9"/>
            <color indexed="81"/>
            <rFont val="Tahoma"/>
            <family val="2"/>
          </rPr>
          <t xml:space="preserve"> 3</t>
        </r>
        <r>
          <rPr>
            <b/>
            <sz val="9"/>
            <color indexed="81"/>
            <rFont val="宋体"/>
            <charset val="134"/>
          </rPr>
          <t xml:space="preserve">款
</t>
        </r>
        <r>
          <rPr>
            <b/>
            <sz val="9"/>
            <color indexed="81"/>
            <rFont val="Tahoma"/>
            <family val="2"/>
          </rPr>
          <t xml:space="preserve">3mm x 33m 100FT-1.1
6mm x 33m 100FT-2.1
10mm x 33m 100FT-3.5
12mm x 33m 100FT-4.2
</t>
        </r>
      </text>
    </comment>
    <comment ref="I15" authorId="0">
      <text>
        <r>
          <rPr>
            <b/>
            <sz val="9"/>
            <color indexed="81"/>
            <rFont val="Tahoma"/>
            <family val="2"/>
          </rPr>
          <t>1.1-4.2</t>
        </r>
      </text>
    </comment>
    <comment ref="F16" authorId="0">
      <text>
        <r>
          <rPr>
            <b/>
            <sz val="9"/>
            <color indexed="81"/>
            <rFont val="宋体"/>
            <charset val="134"/>
          </rPr>
          <t>單導</t>
        </r>
        <r>
          <rPr>
            <b/>
            <sz val="9"/>
            <color indexed="81"/>
            <rFont val="Tahoma"/>
            <family val="2"/>
          </rPr>
          <t xml:space="preserve">: insulation
</t>
        </r>
        <r>
          <rPr>
            <b/>
            <sz val="9"/>
            <color indexed="81"/>
            <rFont val="宋体"/>
            <charset val="134"/>
          </rPr>
          <t>雙導</t>
        </r>
        <r>
          <rPr>
            <b/>
            <sz val="9"/>
            <color indexed="81"/>
            <rFont val="Tahoma"/>
            <family val="2"/>
          </rPr>
          <t xml:space="preserve">: conductive
</t>
        </r>
      </text>
    </comment>
    <comment ref="G16" authorId="0">
      <text>
        <r>
          <rPr>
            <b/>
            <sz val="9"/>
            <color indexed="81"/>
            <rFont val="Tahoma"/>
            <family val="2"/>
          </rPr>
          <t>3mm x 20m</t>
        </r>
        <r>
          <rPr>
            <b/>
            <sz val="9"/>
            <color indexed="81"/>
            <rFont val="宋体"/>
            <charset val="134"/>
          </rPr>
          <t xml:space="preserve">
</t>
        </r>
        <r>
          <rPr>
            <b/>
            <sz val="9"/>
            <color indexed="81"/>
            <rFont val="Tahoma"/>
            <family val="2"/>
          </rPr>
          <t>6mm x 20m
20mm x 4m
50mm x 2m</t>
        </r>
        <r>
          <rPr>
            <b/>
            <sz val="9"/>
            <color indexed="81"/>
            <rFont val="宋体"/>
            <charset val="134"/>
          </rPr>
          <t xml:space="preserve">
单导</t>
        </r>
        <r>
          <rPr>
            <b/>
            <sz val="9"/>
            <color indexed="81"/>
            <rFont val="Tahoma"/>
            <family val="2"/>
          </rPr>
          <t xml:space="preserve">3mm x 30m-1.98
</t>
        </r>
        <r>
          <rPr>
            <b/>
            <sz val="9"/>
            <color indexed="81"/>
            <rFont val="宋体"/>
            <charset val="134"/>
          </rPr>
          <t>单导</t>
        </r>
        <r>
          <rPr>
            <b/>
            <sz val="9"/>
            <color indexed="81"/>
            <rFont val="Tahoma"/>
            <family val="2"/>
          </rPr>
          <t>6mm x 10m-1.8</t>
        </r>
        <r>
          <rPr>
            <b/>
            <sz val="9"/>
            <color indexed="81"/>
            <rFont val="宋体"/>
            <charset val="134"/>
          </rPr>
          <t xml:space="preserve">
单导</t>
        </r>
        <r>
          <rPr>
            <b/>
            <sz val="9"/>
            <color indexed="81"/>
            <rFont val="Tahoma"/>
            <family val="2"/>
          </rPr>
          <t xml:space="preserve">6mm x 30m-3.6
</t>
        </r>
        <r>
          <rPr>
            <b/>
            <sz val="9"/>
            <color indexed="81"/>
            <rFont val="宋体"/>
            <charset val="134"/>
          </rPr>
          <t>单导</t>
        </r>
        <r>
          <rPr>
            <b/>
            <sz val="9"/>
            <color indexed="81"/>
            <rFont val="Tahoma"/>
            <family val="2"/>
          </rPr>
          <t>12mm x 10m-3.6</t>
        </r>
        <r>
          <rPr>
            <b/>
            <sz val="9"/>
            <color indexed="81"/>
            <rFont val="宋体"/>
            <charset val="134"/>
          </rPr>
          <t xml:space="preserve">
双导</t>
        </r>
        <r>
          <rPr>
            <b/>
            <sz val="9"/>
            <color indexed="81"/>
            <rFont val="Tahoma"/>
            <family val="2"/>
          </rPr>
          <t xml:space="preserve">6mm x 10m-1.6
</t>
        </r>
        <r>
          <rPr>
            <b/>
            <sz val="9"/>
            <color indexed="81"/>
            <rFont val="宋体"/>
            <charset val="134"/>
          </rPr>
          <t>双导</t>
        </r>
        <r>
          <rPr>
            <b/>
            <sz val="9"/>
            <color indexed="81"/>
            <rFont val="Tahoma"/>
            <family val="2"/>
          </rPr>
          <t xml:space="preserve">6mm x 20m-3.98
</t>
        </r>
        <r>
          <rPr>
            <b/>
            <sz val="9"/>
            <color indexed="81"/>
            <rFont val="宋体"/>
            <charset val="134"/>
          </rPr>
          <t>双导</t>
        </r>
        <r>
          <rPr>
            <b/>
            <sz val="9"/>
            <color indexed="81"/>
            <rFont val="Tahoma"/>
            <family val="2"/>
          </rPr>
          <t xml:space="preserve">12mm x 20m-3.2
</t>
        </r>
      </text>
    </comment>
    <comment ref="I16" authorId="0">
      <text>
        <r>
          <rPr>
            <b/>
            <sz val="9"/>
            <color indexed="81"/>
            <rFont val="Tahoma"/>
            <family val="2"/>
          </rPr>
          <t>1.98-3.9</t>
        </r>
      </text>
    </comment>
    <comment ref="G17" authorId="0">
      <text>
        <r>
          <rPr>
            <b/>
            <sz val="9"/>
            <color indexed="81"/>
            <rFont val="Tahoma"/>
            <family val="2"/>
          </rPr>
          <t>50mm x 17m</t>
        </r>
        <r>
          <rPr>
            <b/>
            <sz val="9"/>
            <color indexed="81"/>
            <rFont val="宋体"/>
            <charset val="134"/>
          </rPr>
          <t xml:space="preserve">
</t>
        </r>
        <r>
          <rPr>
            <b/>
            <sz val="9"/>
            <color indexed="81"/>
            <rFont val="Tahoma"/>
            <family val="2"/>
          </rPr>
          <t>50mm x 25m</t>
        </r>
      </text>
    </comment>
    <comment ref="I17" authorId="0">
      <text>
        <r>
          <rPr>
            <b/>
            <sz val="9"/>
            <color indexed="81"/>
            <rFont val="Tahoma"/>
            <family val="2"/>
          </rPr>
          <t>1.9-2.8</t>
        </r>
      </text>
    </comment>
    <comment ref="G18" authorId="0">
      <text>
        <r>
          <rPr>
            <b/>
            <sz val="9"/>
            <color indexed="81"/>
            <rFont val="Tahoma"/>
            <family val="2"/>
          </rPr>
          <t>50mm x 1m
50mm x 3m</t>
        </r>
      </text>
    </comment>
    <comment ref="H18" authorId="0">
      <text>
        <r>
          <rPr>
            <b/>
            <sz val="9"/>
            <color indexed="81"/>
            <rFont val="宋体"/>
            <charset val="134"/>
          </rPr>
          <t>純色晶格</t>
        </r>
        <r>
          <rPr>
            <b/>
            <sz val="9"/>
            <color indexed="81"/>
            <rFont val="Tahoma"/>
            <family val="2"/>
          </rPr>
          <t xml:space="preserve">: 5
</t>
        </r>
        <r>
          <rPr>
            <b/>
            <sz val="9"/>
            <color indexed="81"/>
            <rFont val="宋体"/>
            <charset val="134"/>
          </rPr>
          <t>箭頭</t>
        </r>
        <r>
          <rPr>
            <b/>
            <sz val="9"/>
            <color indexed="81"/>
            <rFont val="Tahoma"/>
            <family val="2"/>
          </rPr>
          <t>: 5
x-</t>
        </r>
        <r>
          <rPr>
            <b/>
            <sz val="9"/>
            <color indexed="81"/>
            <rFont val="宋体"/>
            <charset val="134"/>
          </rPr>
          <t>方格</t>
        </r>
        <r>
          <rPr>
            <b/>
            <sz val="9"/>
            <color indexed="81"/>
            <rFont val="Tahoma"/>
            <family val="2"/>
          </rPr>
          <t>: 5
x-</t>
        </r>
        <r>
          <rPr>
            <b/>
            <sz val="9"/>
            <color indexed="81"/>
            <rFont val="宋体"/>
            <charset val="134"/>
          </rPr>
          <t>斜格</t>
        </r>
        <r>
          <rPr>
            <b/>
            <sz val="9"/>
            <color indexed="81"/>
            <rFont val="Tahoma"/>
            <family val="2"/>
          </rPr>
          <t xml:space="preserve">: 5
</t>
        </r>
      </text>
    </comment>
    <comment ref="G19" authorId="0">
      <text>
        <r>
          <rPr>
            <b/>
            <sz val="9"/>
            <color indexed="81"/>
            <rFont val="Tahoma"/>
            <family val="2"/>
          </rPr>
          <t>48mm x 18m</t>
        </r>
      </text>
    </comment>
    <comment ref="H19" authorId="0">
      <text>
        <r>
          <rPr>
            <b/>
            <sz val="9"/>
            <color indexed="81"/>
            <rFont val="宋体"/>
            <charset val="134"/>
          </rPr>
          <t>黃綠紅黑相間</t>
        </r>
      </text>
    </comment>
    <comment ref="G23" authorId="0">
      <text>
        <r>
          <rPr>
            <b/>
            <sz val="9"/>
            <color indexed="81"/>
            <rFont val="Tahoma"/>
            <family val="2"/>
          </rPr>
          <t>ULINE 5</t>
        </r>
        <r>
          <rPr>
            <b/>
            <sz val="9"/>
            <color indexed="81"/>
            <rFont val="宋体"/>
            <charset val="134"/>
          </rPr>
          <t xml:space="preserve">款
</t>
        </r>
        <r>
          <rPr>
            <b/>
            <sz val="9"/>
            <color indexed="81"/>
            <rFont val="Tahoma"/>
            <family val="2"/>
          </rPr>
          <t>ebay 10</t>
        </r>
        <r>
          <rPr>
            <b/>
            <sz val="9"/>
            <color indexed="81"/>
            <rFont val="宋体"/>
            <charset val="134"/>
          </rPr>
          <t xml:space="preserve">款
</t>
        </r>
        <r>
          <rPr>
            <b/>
            <sz val="9"/>
            <color indexed="81"/>
            <rFont val="Tahoma"/>
            <family val="2"/>
          </rPr>
          <t xml:space="preserve">6mm x 12m-0.31
10mm x 12m-0.49
12mm x 12m-0.58
20mm x 12m-0.96
25mm x 12m-1.2
50mm x 12m-2.4
?-3mm x 12m
</t>
        </r>
      </text>
    </comment>
    <comment ref="H23" authorId="0">
      <text>
        <r>
          <rPr>
            <b/>
            <sz val="9"/>
            <color indexed="81"/>
            <rFont val="Tahoma"/>
            <family val="2"/>
          </rPr>
          <t xml:space="preserve">ULINE: </t>
        </r>
        <r>
          <rPr>
            <b/>
            <sz val="9"/>
            <color indexed="81"/>
            <rFont val="宋体"/>
            <charset val="134"/>
          </rPr>
          <t>原</t>
        </r>
        <r>
          <rPr>
            <b/>
            <sz val="9"/>
            <color indexed="81"/>
            <rFont val="Tahoma"/>
            <family val="2"/>
          </rPr>
          <t>+8</t>
        </r>
        <r>
          <rPr>
            <b/>
            <sz val="9"/>
            <color indexed="81"/>
            <rFont val="宋体"/>
            <charset val="134"/>
          </rPr>
          <t xml:space="preserve">色
</t>
        </r>
      </text>
    </comment>
    <comment ref="I23" authorId="0">
      <text>
        <r>
          <rPr>
            <b/>
            <sz val="9"/>
            <color indexed="81"/>
            <rFont val="Tahoma"/>
            <family val="2"/>
          </rPr>
          <t>0.31-2.4</t>
        </r>
      </text>
    </comment>
    <comment ref="G25" authorId="0">
      <text>
        <r>
          <rPr>
            <b/>
            <sz val="9"/>
            <color indexed="81"/>
            <rFont val="Tahoma"/>
            <family val="2"/>
          </rPr>
          <t>12mm x 27m 90ft</t>
        </r>
      </text>
    </comment>
    <comment ref="H25" authorId="0">
      <text>
        <r>
          <rPr>
            <b/>
            <sz val="9"/>
            <color indexed="81"/>
            <rFont val="宋体"/>
            <charset val="134"/>
          </rPr>
          <t>各色綠/棕為主
白灰黑金深紅</t>
        </r>
      </text>
    </comment>
    <comment ref="G26" authorId="0">
      <text>
        <r>
          <rPr>
            <b/>
            <sz val="9"/>
            <color indexed="81"/>
            <rFont val="Tahoma"/>
            <family val="2"/>
          </rPr>
          <t>10mm x 1m
20mm x 1m</t>
        </r>
      </text>
    </comment>
    <comment ref="I26" authorId="0">
      <text>
        <r>
          <rPr>
            <b/>
            <sz val="9"/>
            <color indexed="81"/>
            <rFont val="Tahoma"/>
            <family val="2"/>
          </rPr>
          <t>1.2-2</t>
        </r>
      </text>
    </comment>
    <comment ref="G27" authorId="0">
      <text>
        <r>
          <rPr>
            <b/>
            <sz val="9"/>
            <color indexed="81"/>
            <rFont val="Tahoma"/>
            <family val="2"/>
          </rPr>
          <t>2mm x 3m
6mm x 3m-0.53
12mm x 3m-1.06
20mm x 3m-1.76
25mm x 3m-2.25
40mm x 3m
50mm x 3m</t>
        </r>
      </text>
    </comment>
    <comment ref="I27" authorId="0">
      <text>
        <r>
          <rPr>
            <b/>
            <sz val="9"/>
            <color indexed="81"/>
            <rFont val="Tahoma"/>
            <family val="2"/>
          </rPr>
          <t>0.53-2.25</t>
        </r>
      </text>
    </comment>
    <comment ref="G28" authorId="0">
      <text>
        <r>
          <rPr>
            <b/>
            <sz val="9"/>
            <color indexed="81"/>
            <rFont val="Tahoma"/>
            <family val="2"/>
          </rPr>
          <t>2mm x 3m
6mm x 3m-0.53
12mm x 3m-1.06
20mm x 3m-1.76
25mm x 3m-2.25</t>
        </r>
      </text>
    </comment>
    <comment ref="I28" authorId="0">
      <text>
        <r>
          <rPr>
            <b/>
            <sz val="9"/>
            <color indexed="81"/>
            <rFont val="Tahoma"/>
            <family val="2"/>
          </rPr>
          <t>0.53-2.25</t>
        </r>
      </text>
    </comment>
    <comment ref="G29" authorId="0">
      <text>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1m-2
</t>
        </r>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3m-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1m-1.85</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2cm*</t>
        </r>
        <r>
          <rPr>
            <b/>
            <sz val="9"/>
            <color indexed="81"/>
            <rFont val="宋体"/>
            <charset val="134"/>
          </rPr>
          <t>长</t>
        </r>
        <r>
          <rPr>
            <b/>
            <sz val="9"/>
            <color indexed="81"/>
            <rFont val="Tahoma"/>
            <family val="2"/>
          </rPr>
          <t xml:space="preserve">5m
</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1cm*</t>
        </r>
        <r>
          <rPr>
            <b/>
            <sz val="9"/>
            <color indexed="81"/>
            <rFont val="宋体"/>
            <charset val="134"/>
          </rPr>
          <t>长</t>
        </r>
        <r>
          <rPr>
            <b/>
            <sz val="9"/>
            <color indexed="81"/>
            <rFont val="Tahoma"/>
            <family val="2"/>
          </rPr>
          <t>1m-0.72</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2cm*</t>
        </r>
        <r>
          <rPr>
            <b/>
            <sz val="9"/>
            <color indexed="81"/>
            <rFont val="宋体"/>
            <charset val="134"/>
          </rPr>
          <t>长</t>
        </r>
        <r>
          <rPr>
            <b/>
            <sz val="9"/>
            <color indexed="81"/>
            <rFont val="Tahoma"/>
            <family val="2"/>
          </rPr>
          <t>3M-2(</t>
        </r>
        <r>
          <rPr>
            <b/>
            <sz val="9"/>
            <color indexed="81"/>
            <rFont val="宋体"/>
            <charset val="134"/>
          </rPr>
          <t>红膜</t>
        </r>
        <r>
          <rPr>
            <b/>
            <sz val="9"/>
            <color indexed="81"/>
            <rFont val="Tahoma"/>
            <family val="2"/>
          </rPr>
          <t xml:space="preserve">)
</t>
        </r>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3M-3(</t>
        </r>
        <r>
          <rPr>
            <b/>
            <sz val="9"/>
            <color indexed="81"/>
            <rFont val="宋体"/>
            <charset val="134"/>
          </rPr>
          <t>红膜</t>
        </r>
        <r>
          <rPr>
            <b/>
            <sz val="9"/>
            <color indexed="81"/>
            <rFont val="Tahoma"/>
            <family val="2"/>
          </rPr>
          <t xml:space="preserve">)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1cm*</t>
        </r>
        <r>
          <rPr>
            <b/>
            <sz val="9"/>
            <color indexed="81"/>
            <rFont val="宋体"/>
            <charset val="134"/>
          </rPr>
          <t>长</t>
        </r>
        <r>
          <rPr>
            <b/>
            <sz val="9"/>
            <color indexed="81"/>
            <rFont val="Tahoma"/>
            <family val="2"/>
          </rPr>
          <t xml:space="preserve">1m-0.85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2m-3.4
</t>
        </r>
      </text>
    </comment>
    <comment ref="I29" authorId="0">
      <text>
        <r>
          <rPr>
            <b/>
            <sz val="9"/>
            <color indexed="81"/>
            <rFont val="Tahoma"/>
            <family val="2"/>
          </rPr>
          <t>0.72-3.4</t>
        </r>
      </text>
    </comment>
    <comment ref="G30" authorId="0">
      <text>
        <r>
          <rPr>
            <b/>
            <sz val="9"/>
            <color indexed="81"/>
            <rFont val="Tahoma"/>
            <family val="2"/>
          </rPr>
          <t xml:space="preserve">10cm*1.5m
10cm*10cm
</t>
        </r>
        <r>
          <rPr>
            <b/>
            <sz val="9"/>
            <color indexed="81"/>
            <rFont val="宋体"/>
            <charset val="134"/>
          </rPr>
          <t xml:space="preserve">
黑色切片</t>
        </r>
        <r>
          <rPr>
            <b/>
            <sz val="9"/>
            <color indexed="81"/>
            <rFont val="Tahoma"/>
            <family val="2"/>
          </rPr>
          <t xml:space="preserve">10cm*10cm-0.58
</t>
        </r>
        <r>
          <rPr>
            <b/>
            <sz val="9"/>
            <color indexed="81"/>
            <rFont val="宋体"/>
            <charset val="134"/>
          </rPr>
          <t>白色切片</t>
        </r>
        <r>
          <rPr>
            <b/>
            <sz val="9"/>
            <color indexed="81"/>
            <rFont val="Tahoma"/>
            <family val="2"/>
          </rPr>
          <t>20</t>
        </r>
        <r>
          <rPr>
            <b/>
            <sz val="9"/>
            <color indexed="81"/>
            <rFont val="宋体"/>
            <charset val="134"/>
          </rPr>
          <t>厘米</t>
        </r>
        <r>
          <rPr>
            <b/>
            <sz val="9"/>
            <color indexed="81"/>
            <rFont val="Tahoma"/>
            <family val="2"/>
          </rPr>
          <t>*20</t>
        </r>
        <r>
          <rPr>
            <b/>
            <sz val="9"/>
            <color indexed="81"/>
            <rFont val="宋体"/>
            <charset val="134"/>
          </rPr>
          <t>厘米</t>
        </r>
        <r>
          <rPr>
            <b/>
            <sz val="9"/>
            <color indexed="81"/>
            <rFont val="Tahoma"/>
            <family val="2"/>
          </rPr>
          <t xml:space="preserve">-1.45
</t>
        </r>
        <r>
          <rPr>
            <b/>
            <sz val="9"/>
            <color indexed="81"/>
            <rFont val="宋体"/>
            <charset val="134"/>
          </rPr>
          <t>白色</t>
        </r>
        <r>
          <rPr>
            <b/>
            <sz val="9"/>
            <color indexed="81"/>
            <rFont val="Tahoma"/>
            <family val="2"/>
          </rPr>
          <t>0.5MM*2.5CM*1</t>
        </r>
        <r>
          <rPr>
            <b/>
            <sz val="9"/>
            <color indexed="81"/>
            <rFont val="宋体"/>
            <charset val="134"/>
          </rPr>
          <t>米</t>
        </r>
        <r>
          <rPr>
            <b/>
            <sz val="9"/>
            <color indexed="81"/>
            <rFont val="Tahoma"/>
            <family val="2"/>
          </rPr>
          <t xml:space="preserve">-2.9
</t>
        </r>
        <r>
          <rPr>
            <b/>
            <sz val="9"/>
            <color indexed="81"/>
            <rFont val="宋体"/>
            <charset val="134"/>
          </rPr>
          <t>新上无彩卡黑色</t>
        </r>
        <r>
          <rPr>
            <b/>
            <sz val="9"/>
            <color indexed="81"/>
            <rFont val="Tahoma"/>
            <family val="2"/>
          </rPr>
          <t xml:space="preserve"> </t>
        </r>
        <r>
          <rPr>
            <b/>
            <sz val="9"/>
            <color indexed="81"/>
            <rFont val="宋体"/>
            <charset val="134"/>
          </rPr>
          <t>宽度厚</t>
        </r>
        <r>
          <rPr>
            <b/>
            <sz val="9"/>
            <color indexed="81"/>
            <rFont val="Tahoma"/>
            <family val="2"/>
          </rPr>
          <t>(5</t>
        </r>
        <r>
          <rPr>
            <b/>
            <sz val="9"/>
            <color indexed="81"/>
            <rFont val="宋体"/>
            <charset val="134"/>
          </rPr>
          <t>厘米</t>
        </r>
        <r>
          <rPr>
            <b/>
            <sz val="9"/>
            <color indexed="81"/>
            <rFont val="Tahoma"/>
            <family val="2"/>
          </rPr>
          <t>)*1.5</t>
        </r>
        <r>
          <rPr>
            <b/>
            <sz val="9"/>
            <color indexed="81"/>
            <rFont val="宋体"/>
            <charset val="134"/>
          </rPr>
          <t>米</t>
        </r>
        <r>
          <rPr>
            <b/>
            <sz val="9"/>
            <color indexed="81"/>
            <rFont val="Tahoma"/>
            <family val="2"/>
          </rPr>
          <t>-2.8</t>
        </r>
      </text>
    </comment>
    <comment ref="I30" authorId="0">
      <text>
        <r>
          <rPr>
            <b/>
            <sz val="9"/>
            <color indexed="81"/>
            <rFont val="Tahoma"/>
            <family val="2"/>
          </rPr>
          <t>0.5-2.9</t>
        </r>
      </text>
    </comment>
    <comment ref="G31" authorId="0">
      <text>
        <r>
          <rPr>
            <b/>
            <sz val="9"/>
            <color indexed="81"/>
            <rFont val="宋体"/>
            <charset val="134"/>
          </rPr>
          <t>膠帶</t>
        </r>
        <r>
          <rPr>
            <b/>
            <sz val="9"/>
            <color indexed="81"/>
            <rFont val="Tahoma"/>
            <family val="2"/>
          </rPr>
          <t>: 100</t>
        </r>
        <r>
          <rPr>
            <b/>
            <sz val="9"/>
            <color indexed="81"/>
            <rFont val="宋体"/>
            <charset val="134"/>
          </rPr>
          <t>粒</t>
        </r>
        <r>
          <rPr>
            <b/>
            <sz val="9"/>
            <color indexed="81"/>
            <rFont val="Tahoma"/>
            <family val="2"/>
          </rPr>
          <t>-0.85
13mm</t>
        </r>
        <r>
          <rPr>
            <b/>
            <sz val="9"/>
            <color indexed="81"/>
            <rFont val="宋体"/>
            <charset val="134"/>
          </rPr>
          <t>紙片</t>
        </r>
        <r>
          <rPr>
            <b/>
            <sz val="9"/>
            <color indexed="81"/>
            <rFont val="Tahoma"/>
            <family val="2"/>
          </rPr>
          <t>: 20</t>
        </r>
        <r>
          <rPr>
            <b/>
            <sz val="9"/>
            <color indexed="81"/>
            <rFont val="宋体"/>
            <charset val="134"/>
          </rPr>
          <t>粒</t>
        </r>
        <r>
          <rPr>
            <b/>
            <sz val="9"/>
            <color indexed="81"/>
            <rFont val="Tahoma"/>
            <family val="2"/>
          </rPr>
          <t>-0.17
10mm</t>
        </r>
        <r>
          <rPr>
            <b/>
            <sz val="9"/>
            <color indexed="81"/>
            <rFont val="宋体"/>
            <charset val="134"/>
          </rPr>
          <t>紙片</t>
        </r>
        <r>
          <rPr>
            <b/>
            <sz val="9"/>
            <color indexed="81"/>
            <rFont val="Tahoma"/>
            <family val="2"/>
          </rPr>
          <t>: 20</t>
        </r>
        <r>
          <rPr>
            <b/>
            <sz val="9"/>
            <color indexed="81"/>
            <rFont val="宋体"/>
            <charset val="134"/>
          </rPr>
          <t>粒</t>
        </r>
        <r>
          <rPr>
            <b/>
            <sz val="9"/>
            <color indexed="81"/>
            <rFont val="Tahoma"/>
            <family val="2"/>
          </rPr>
          <t>-0.16</t>
        </r>
      </text>
    </comment>
    <comment ref="I31" authorId="0">
      <text>
        <r>
          <rPr>
            <b/>
            <sz val="9"/>
            <color indexed="81"/>
            <rFont val="Tahoma"/>
            <family val="2"/>
          </rPr>
          <t>0.16-0.85</t>
        </r>
      </text>
    </comment>
    <comment ref="F33" authorId="0">
      <text>
        <r>
          <rPr>
            <b/>
            <sz val="9"/>
            <color indexed="81"/>
            <rFont val="宋体"/>
            <charset val="134"/>
          </rPr>
          <t>毛鉤</t>
        </r>
      </text>
    </comment>
    <comment ref="G33" authorId="0">
      <text>
        <r>
          <rPr>
            <b/>
            <sz val="9"/>
            <color indexed="81"/>
            <rFont val="Tahoma"/>
            <family val="2"/>
          </rPr>
          <t>ULINE 7</t>
        </r>
        <r>
          <rPr>
            <b/>
            <sz val="9"/>
            <color indexed="81"/>
            <rFont val="宋体"/>
            <charset val="134"/>
          </rPr>
          <t>款</t>
        </r>
      </text>
    </comment>
    <comment ref="H33" authorId="0">
      <text>
        <r>
          <rPr>
            <b/>
            <sz val="9"/>
            <color indexed="81"/>
            <rFont val="Tahoma"/>
            <family val="2"/>
          </rPr>
          <t>ULINE 2</t>
        </r>
        <r>
          <rPr>
            <b/>
            <sz val="9"/>
            <color indexed="81"/>
            <rFont val="宋体"/>
            <charset val="134"/>
          </rPr>
          <t>色
黑白</t>
        </r>
      </text>
    </comment>
    <comment ref="I33" authorId="0">
      <text>
        <r>
          <rPr>
            <b/>
            <sz val="9"/>
            <color indexed="81"/>
            <rFont val="Tahoma"/>
            <family val="2"/>
          </rPr>
          <t>0.58-0.9</t>
        </r>
      </text>
    </comment>
    <comment ref="J33" authorId="0">
      <text>
        <r>
          <rPr>
            <b/>
            <sz val="9"/>
            <color indexed="81"/>
            <rFont val="Tahoma"/>
            <family val="2"/>
          </rPr>
          <t>25M 75FT/</t>
        </r>
        <r>
          <rPr>
            <b/>
            <sz val="9"/>
            <color indexed="81"/>
            <rFont val="宋体"/>
            <charset val="134"/>
          </rPr>
          <t>捲</t>
        </r>
      </text>
    </comment>
    <comment ref="G34" authorId="0">
      <text>
        <r>
          <rPr>
            <b/>
            <sz val="9"/>
            <color indexed="81"/>
            <rFont val="Tahoma"/>
            <family val="2"/>
          </rPr>
          <t>ULINE 2</t>
        </r>
        <r>
          <rPr>
            <b/>
            <sz val="9"/>
            <color indexed="81"/>
            <rFont val="宋体"/>
            <charset val="134"/>
          </rPr>
          <t>款</t>
        </r>
      </text>
    </comment>
    <comment ref="H34" authorId="0">
      <text>
        <r>
          <rPr>
            <b/>
            <sz val="9"/>
            <color indexed="81"/>
            <rFont val="Tahoma"/>
            <family val="2"/>
          </rPr>
          <t>ULINE 2</t>
        </r>
        <r>
          <rPr>
            <b/>
            <sz val="9"/>
            <color indexed="81"/>
            <rFont val="宋体"/>
            <charset val="134"/>
          </rPr>
          <t>色
黑白</t>
        </r>
      </text>
    </comment>
    <comment ref="I34" authorId="0">
      <text>
        <r>
          <rPr>
            <b/>
            <sz val="9"/>
            <color indexed="81"/>
            <rFont val="Tahoma"/>
            <family val="2"/>
          </rPr>
          <t>0.98-1.08</t>
        </r>
      </text>
    </comment>
    <comment ref="F35" authorId="0">
      <text>
        <r>
          <rPr>
            <b/>
            <sz val="9"/>
            <color indexed="81"/>
            <rFont val="宋体"/>
            <charset val="134"/>
          </rPr>
          <t>毛鉤</t>
        </r>
      </text>
    </comment>
    <comment ref="G35" authorId="0">
      <text>
        <r>
          <rPr>
            <b/>
            <sz val="9"/>
            <color indexed="81"/>
            <rFont val="Tahoma"/>
            <family val="2"/>
          </rPr>
          <t>ULINE 4</t>
        </r>
        <r>
          <rPr>
            <b/>
            <sz val="9"/>
            <color indexed="81"/>
            <rFont val="宋体"/>
            <charset val="134"/>
          </rPr>
          <t>款</t>
        </r>
      </text>
    </comment>
    <comment ref="H35" authorId="0">
      <text>
        <r>
          <rPr>
            <b/>
            <sz val="9"/>
            <color indexed="81"/>
            <rFont val="Tahoma"/>
            <family val="2"/>
          </rPr>
          <t>ULINE 2</t>
        </r>
        <r>
          <rPr>
            <b/>
            <sz val="9"/>
            <color indexed="81"/>
            <rFont val="宋体"/>
            <charset val="134"/>
          </rPr>
          <t xml:space="preserve">色
黑
</t>
        </r>
      </text>
    </comment>
    <comment ref="I35" authorId="0">
      <text>
        <r>
          <rPr>
            <b/>
            <sz val="9"/>
            <color indexed="81"/>
            <rFont val="Tahoma"/>
            <family val="2"/>
          </rPr>
          <t>0.28-0.4</t>
        </r>
      </text>
    </comment>
    <comment ref="J35" authorId="0">
      <text>
        <r>
          <rPr>
            <b/>
            <sz val="9"/>
            <color indexed="81"/>
            <rFont val="Tahoma"/>
            <family val="2"/>
          </rPr>
          <t>25M 75FT/</t>
        </r>
        <r>
          <rPr>
            <b/>
            <sz val="9"/>
            <color indexed="81"/>
            <rFont val="宋体"/>
            <charset val="134"/>
          </rPr>
          <t>捲</t>
        </r>
      </text>
    </comment>
    <comment ref="G36" authorId="0">
      <text>
        <r>
          <rPr>
            <b/>
            <sz val="9"/>
            <color indexed="81"/>
            <rFont val="Tahoma"/>
            <family val="2"/>
          </rPr>
          <t>ULINE 3</t>
        </r>
        <r>
          <rPr>
            <b/>
            <sz val="9"/>
            <color indexed="81"/>
            <rFont val="宋体"/>
            <charset val="134"/>
          </rPr>
          <t>款</t>
        </r>
      </text>
    </comment>
    <comment ref="I36" authorId="0">
      <text>
        <r>
          <rPr>
            <b/>
            <sz val="9"/>
            <color indexed="81"/>
            <rFont val="Tahoma"/>
            <family val="2"/>
          </rPr>
          <t>0.37-0.7</t>
        </r>
      </text>
    </comment>
    <comment ref="J36" authorId="0">
      <text>
        <r>
          <rPr>
            <b/>
            <sz val="9"/>
            <color indexed="81"/>
            <rFont val="Tahoma"/>
            <family val="2"/>
          </rPr>
          <t>25M 75FT/</t>
        </r>
        <r>
          <rPr>
            <b/>
            <sz val="9"/>
            <color indexed="81"/>
            <rFont val="宋体"/>
            <charset val="134"/>
          </rPr>
          <t>捲</t>
        </r>
      </text>
    </comment>
    <comment ref="F37" authorId="0">
      <text>
        <r>
          <rPr>
            <b/>
            <sz val="9"/>
            <color indexed="81"/>
            <rFont val="宋体"/>
            <charset val="134"/>
          </rPr>
          <t>T型
貓型
針型</t>
        </r>
      </text>
    </comment>
    <comment ref="G37" authorId="0">
      <text>
        <r>
          <rPr>
            <b/>
            <sz val="9"/>
            <color indexed="81"/>
            <rFont val="Tahoma"/>
            <family val="2"/>
          </rPr>
          <t>1/2" = 12.5mm
3/4" = 20mm</t>
        </r>
      </text>
    </comment>
    <comment ref="H37" authorId="0">
      <text>
        <r>
          <rPr>
            <b/>
            <sz val="9"/>
            <color indexed="81"/>
            <rFont val="宋体"/>
            <charset val="134"/>
          </rPr>
          <t>紅綠藍黑黃</t>
        </r>
      </text>
    </comment>
    <comment ref="I37" authorId="0">
      <text>
        <r>
          <rPr>
            <b/>
            <sz val="9"/>
            <color indexed="81"/>
            <rFont val="Tahoma"/>
            <family val="2"/>
          </rPr>
          <t>0.188-0.258</t>
        </r>
      </text>
    </comment>
    <comment ref="G38" authorId="0">
      <text>
        <r>
          <rPr>
            <b/>
            <sz val="9"/>
            <color indexed="81"/>
            <rFont val="Tahoma"/>
            <family val="2"/>
          </rPr>
          <t xml:space="preserve">2.5cm*1.5cm*X
5cm*1.5cm*X
</t>
        </r>
      </text>
    </comment>
    <comment ref="H38" authorId="0">
      <text>
        <r>
          <rPr>
            <b/>
            <sz val="9"/>
            <color indexed="81"/>
            <rFont val="宋体"/>
            <charset val="134"/>
          </rPr>
          <t>螢光綠
螢光橘
灰</t>
        </r>
      </text>
    </comment>
    <comment ref="G39" authorId="0">
      <text>
        <r>
          <rPr>
            <b/>
            <sz val="9"/>
            <color indexed="81"/>
            <rFont val="Tahoma"/>
            <family val="2"/>
          </rPr>
          <t>(Quantity x Supplied Internal Diameter x Single Length)
120pcs x   φ1.0 x 40mm (Yellow,Black,Red,Green)
60pcs   x   φ2.0 x 40mm (Yellow,Black,Red,Blue)
32pcs   x   φ3.0 x 40mm (Yellow,Black,Red,Green)
32pcs   x   φ4.0 x 40mm (Yellow,Black,Red,Blue)
32pcs   x   φ6.0 x 40mm (Yellow,Black,Red,Green)
20pcs   x   φ8.0 x 80mm (Yellow,Black,Red,Blue)
16pcs   x   φ10.0 x 80mm (Yellow,Black,Red,Green)
16pcs   x   φ14.0 x 80mm (Yellow,Black,Red,Blue) 
40pcs * diameter 2.0 * 30mm
 40pcs * diameter 2.5 * 60mm
 20pcs * diameter 3.5 * 60mm
 15pcs * diameter 5.0 * 60mm
 11pcs * diameter 6.0 * 60mm
 8pcs * diameter 8.0 * 100mm
 8pcs * diameter 10.0 * 100mm
 8pcs * diameter 13.0 * 100mm
30pcs - 2.0 x 40mm
25pcs - 2.5 x 40mm
20pcs - 3.5 x 40mm
20pcs - 5.0 x 40mm
16pcs - 7.0 x 80mm
8pcs - 10.0 x 80mm
8pcs - 13.0 x 85mm</t>
        </r>
      </text>
    </comment>
    <comment ref="I39" authorId="0">
      <text>
        <r>
          <rPr>
            <b/>
            <sz val="9"/>
            <color indexed="81"/>
            <rFont val="Tahoma"/>
            <family val="2"/>
          </rPr>
          <t>2.8-5.5
0.35-0.7</t>
        </r>
      </text>
    </comment>
    <comment ref="J39" authorId="0">
      <text>
        <r>
          <rPr>
            <b/>
            <sz val="9"/>
            <color indexed="81"/>
            <rFont val="Tahoma"/>
            <family val="2"/>
          </rPr>
          <t>8</t>
        </r>
        <r>
          <rPr>
            <b/>
            <sz val="9"/>
            <color indexed="81"/>
            <rFont val="宋体"/>
            <charset val="134"/>
          </rPr>
          <t>種尺寸小包/包</t>
        </r>
      </text>
    </comment>
    <comment ref="G40" authorId="0">
      <text>
        <r>
          <rPr>
            <b/>
            <sz val="9"/>
            <color indexed="81"/>
            <rFont val="Tahoma"/>
            <family val="2"/>
          </rPr>
          <t>ULINE 7</t>
        </r>
        <r>
          <rPr>
            <b/>
            <sz val="9"/>
            <color indexed="81"/>
            <rFont val="宋体"/>
            <charset val="134"/>
          </rPr>
          <t>款</t>
        </r>
        <r>
          <rPr>
            <b/>
            <sz val="9"/>
            <color indexed="81"/>
            <rFont val="Tahoma"/>
            <family val="2"/>
          </rPr>
          <t xml:space="preserve">
</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 xml:space="preserve">2.5mm-1000-6.6
</t>
        </r>
        <r>
          <rPr>
            <b/>
            <sz val="9"/>
            <color indexed="81"/>
            <rFont val="宋体"/>
            <charset val="134"/>
          </rPr>
          <t>国标</t>
        </r>
        <r>
          <rPr>
            <b/>
            <sz val="9"/>
            <color indexed="81"/>
            <rFont val="Tahoma"/>
            <family val="2"/>
          </rPr>
          <t>4*150</t>
        </r>
        <r>
          <rPr>
            <b/>
            <sz val="9"/>
            <color indexed="81"/>
            <rFont val="宋体"/>
            <charset val="134"/>
          </rPr>
          <t>宽</t>
        </r>
        <r>
          <rPr>
            <b/>
            <sz val="9"/>
            <color indexed="81"/>
            <rFont val="Tahoma"/>
            <family val="2"/>
          </rPr>
          <t xml:space="preserve">3.6mm-500-7.99
</t>
        </r>
        <r>
          <rPr>
            <b/>
            <sz val="9"/>
            <color indexed="81"/>
            <rFont val="宋体"/>
            <charset val="134"/>
          </rPr>
          <t>国标</t>
        </r>
        <r>
          <rPr>
            <b/>
            <sz val="9"/>
            <color indexed="81"/>
            <rFont val="Tahoma"/>
            <family val="2"/>
          </rPr>
          <t>4*200</t>
        </r>
        <r>
          <rPr>
            <b/>
            <sz val="9"/>
            <color indexed="81"/>
            <rFont val="宋体"/>
            <charset val="134"/>
          </rPr>
          <t>宽</t>
        </r>
        <r>
          <rPr>
            <b/>
            <sz val="9"/>
            <color indexed="81"/>
            <rFont val="Tahoma"/>
            <family val="2"/>
          </rPr>
          <t xml:space="preserve">3.6mm-500-10.4
</t>
        </r>
        <r>
          <rPr>
            <b/>
            <sz val="9"/>
            <color indexed="81"/>
            <rFont val="宋体"/>
            <charset val="134"/>
          </rPr>
          <t>国标</t>
        </r>
        <r>
          <rPr>
            <b/>
            <sz val="9"/>
            <color indexed="81"/>
            <rFont val="Tahoma"/>
            <family val="2"/>
          </rPr>
          <t>5*300</t>
        </r>
        <r>
          <rPr>
            <b/>
            <sz val="9"/>
            <color indexed="81"/>
            <rFont val="宋体"/>
            <charset val="134"/>
          </rPr>
          <t>宽</t>
        </r>
        <r>
          <rPr>
            <b/>
            <sz val="9"/>
            <color indexed="81"/>
            <rFont val="Tahoma"/>
            <family val="2"/>
          </rPr>
          <t xml:space="preserve">4.8mm-250-11.2
</t>
        </r>
        <r>
          <rPr>
            <b/>
            <sz val="9"/>
            <color indexed="81"/>
            <rFont val="宋体"/>
            <charset val="134"/>
          </rPr>
          <t>国标</t>
        </r>
        <r>
          <rPr>
            <b/>
            <sz val="9"/>
            <color indexed="81"/>
            <rFont val="Tahoma"/>
            <family val="2"/>
          </rPr>
          <t>5*350</t>
        </r>
        <r>
          <rPr>
            <b/>
            <sz val="9"/>
            <color indexed="81"/>
            <rFont val="宋体"/>
            <charset val="134"/>
          </rPr>
          <t>宽</t>
        </r>
        <r>
          <rPr>
            <b/>
            <sz val="9"/>
            <color indexed="81"/>
            <rFont val="Tahoma"/>
            <family val="2"/>
          </rPr>
          <t xml:space="preserve">4.8mm-250-13.5
</t>
        </r>
        <r>
          <rPr>
            <b/>
            <sz val="9"/>
            <color indexed="81"/>
            <rFont val="宋体"/>
            <charset val="134"/>
          </rPr>
          <t>国标</t>
        </r>
        <r>
          <rPr>
            <b/>
            <sz val="9"/>
            <color indexed="81"/>
            <rFont val="Tahoma"/>
            <family val="2"/>
          </rPr>
          <t>5*450</t>
        </r>
        <r>
          <rPr>
            <b/>
            <sz val="9"/>
            <color indexed="81"/>
            <rFont val="宋体"/>
            <charset val="134"/>
          </rPr>
          <t>宽</t>
        </r>
        <r>
          <rPr>
            <b/>
            <sz val="9"/>
            <color indexed="81"/>
            <rFont val="Tahoma"/>
            <family val="2"/>
          </rPr>
          <t>4.8mm-250-19.2
2*100mm
V</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2.5mm-1000-6.6
V</t>
        </r>
        <r>
          <rPr>
            <b/>
            <sz val="9"/>
            <color indexed="81"/>
            <rFont val="宋体"/>
            <charset val="134"/>
          </rPr>
          <t>国标</t>
        </r>
        <r>
          <rPr>
            <b/>
            <sz val="9"/>
            <color indexed="81"/>
            <rFont val="Tahoma"/>
            <family val="2"/>
          </rPr>
          <t>3*150</t>
        </r>
        <r>
          <rPr>
            <b/>
            <sz val="9"/>
            <color indexed="81"/>
            <rFont val="宋体"/>
            <charset val="134"/>
          </rPr>
          <t>宽</t>
        </r>
        <r>
          <rPr>
            <b/>
            <sz val="9"/>
            <color indexed="81"/>
            <rFont val="Tahoma"/>
            <family val="2"/>
          </rPr>
          <t>2.5mm-1000-10
V</t>
        </r>
        <r>
          <rPr>
            <b/>
            <sz val="9"/>
            <color indexed="81"/>
            <rFont val="宋体"/>
            <charset val="134"/>
          </rPr>
          <t>国标</t>
        </r>
        <r>
          <rPr>
            <b/>
            <sz val="9"/>
            <color indexed="81"/>
            <rFont val="Tahoma"/>
            <family val="2"/>
          </rPr>
          <t>3*200</t>
        </r>
        <r>
          <rPr>
            <b/>
            <sz val="9"/>
            <color indexed="81"/>
            <rFont val="宋体"/>
            <charset val="134"/>
          </rPr>
          <t>宽</t>
        </r>
        <r>
          <rPr>
            <b/>
            <sz val="9"/>
            <color indexed="81"/>
            <rFont val="Tahoma"/>
            <family val="2"/>
          </rPr>
          <t xml:space="preserve">2.5mm-500-6.8
</t>
        </r>
        <r>
          <rPr>
            <b/>
            <sz val="9"/>
            <color indexed="81"/>
            <rFont val="宋体"/>
            <charset val="134"/>
          </rPr>
          <t>国标</t>
        </r>
        <r>
          <rPr>
            <b/>
            <sz val="9"/>
            <color indexed="81"/>
            <rFont val="Tahoma"/>
            <family val="2"/>
          </rPr>
          <t>4*250</t>
        </r>
        <r>
          <rPr>
            <b/>
            <sz val="9"/>
            <color indexed="81"/>
            <rFont val="宋体"/>
            <charset val="134"/>
          </rPr>
          <t>宽</t>
        </r>
        <r>
          <rPr>
            <b/>
            <sz val="9"/>
            <color indexed="81"/>
            <rFont val="Tahoma"/>
            <family val="2"/>
          </rPr>
          <t>3.6mm-250-6.6
V</t>
        </r>
        <r>
          <rPr>
            <b/>
            <sz val="9"/>
            <color indexed="81"/>
            <rFont val="宋体"/>
            <charset val="134"/>
          </rPr>
          <t>国标</t>
        </r>
        <r>
          <rPr>
            <b/>
            <sz val="9"/>
            <color indexed="81"/>
            <rFont val="Tahoma"/>
            <family val="2"/>
          </rPr>
          <t>4*300</t>
        </r>
        <r>
          <rPr>
            <b/>
            <sz val="9"/>
            <color indexed="81"/>
            <rFont val="宋体"/>
            <charset val="134"/>
          </rPr>
          <t>宽</t>
        </r>
        <r>
          <rPr>
            <b/>
            <sz val="9"/>
            <color indexed="81"/>
            <rFont val="Tahoma"/>
            <family val="2"/>
          </rPr>
          <t xml:space="preserve">3.6mm-250-8.1
</t>
        </r>
        <r>
          <rPr>
            <b/>
            <sz val="9"/>
            <color indexed="81"/>
            <rFont val="宋体"/>
            <charset val="134"/>
          </rPr>
          <t>国标</t>
        </r>
        <r>
          <rPr>
            <b/>
            <sz val="9"/>
            <color indexed="81"/>
            <rFont val="Tahoma"/>
            <family val="2"/>
          </rPr>
          <t>4*350</t>
        </r>
        <r>
          <rPr>
            <b/>
            <sz val="9"/>
            <color indexed="81"/>
            <rFont val="宋体"/>
            <charset val="134"/>
          </rPr>
          <t>宽</t>
        </r>
        <r>
          <rPr>
            <b/>
            <sz val="9"/>
            <color indexed="81"/>
            <rFont val="Tahoma"/>
            <family val="2"/>
          </rPr>
          <t>3.6mm-250-10.2</t>
        </r>
      </text>
    </comment>
    <comment ref="H40" authorId="0">
      <text>
        <r>
          <rPr>
            <b/>
            <sz val="9"/>
            <color indexed="81"/>
            <rFont val="Tahoma"/>
            <family val="2"/>
          </rPr>
          <t>ULINE 11</t>
        </r>
        <r>
          <rPr>
            <b/>
            <sz val="9"/>
            <color indexed="81"/>
            <rFont val="宋体"/>
            <charset val="134"/>
          </rPr>
          <t>色
黑白黃紅藍綠</t>
        </r>
      </text>
    </comment>
    <comment ref="I40" authorId="0">
      <text>
        <r>
          <rPr>
            <b/>
            <sz val="9"/>
            <color indexed="81"/>
            <rFont val="Tahoma"/>
            <family val="2"/>
          </rPr>
          <t>0.005-0.04</t>
        </r>
      </text>
    </comment>
    <comment ref="G42" authorId="0">
      <text>
        <r>
          <rPr>
            <b/>
            <sz val="9"/>
            <color indexed="81"/>
            <rFont val="Tahoma"/>
            <family val="2"/>
          </rPr>
          <t>ULINE 4</t>
        </r>
        <r>
          <rPr>
            <b/>
            <sz val="9"/>
            <color indexed="81"/>
            <rFont val="宋体"/>
            <charset val="134"/>
          </rPr>
          <t>款</t>
        </r>
        <r>
          <rPr>
            <b/>
            <sz val="9"/>
            <color indexed="81"/>
            <rFont val="Tahoma"/>
            <family val="2"/>
          </rPr>
          <t xml:space="preserve">
4.6*200mm-0.17
V4.6*300mm-0.19
4.6*400mm-0.24
4.6*450mm-0.26
4.6*500mm-0.28
</t>
        </r>
      </text>
    </comment>
    <comment ref="I42" authorId="0">
      <text>
        <r>
          <rPr>
            <b/>
            <sz val="9"/>
            <color indexed="81"/>
            <rFont val="Tahoma"/>
            <family val="2"/>
          </rPr>
          <t>0.17-0.28</t>
        </r>
      </text>
    </comment>
    <comment ref="G43" authorId="0">
      <text>
        <r>
          <rPr>
            <b/>
            <sz val="9"/>
            <color indexed="81"/>
            <rFont val="Tahoma"/>
            <family val="2"/>
          </rPr>
          <t>4.8*80mm</t>
        </r>
      </text>
    </comment>
    <comment ref="H43" authorId="0">
      <text>
        <r>
          <rPr>
            <b/>
            <sz val="9"/>
            <color indexed="81"/>
            <rFont val="宋体"/>
            <charset val="134"/>
          </rPr>
          <t>金銀紅紫藍綠黑</t>
        </r>
      </text>
    </comment>
    <comment ref="J43" authorId="0">
      <text>
        <r>
          <rPr>
            <b/>
            <sz val="9"/>
            <color indexed="81"/>
            <rFont val="Tahoma"/>
            <family val="2"/>
          </rPr>
          <t>100</t>
        </r>
        <r>
          <rPr>
            <b/>
            <sz val="9"/>
            <color indexed="81"/>
            <rFont val="宋体"/>
            <charset val="134"/>
          </rPr>
          <t>根</t>
        </r>
        <r>
          <rPr>
            <b/>
            <sz val="9"/>
            <color indexed="81"/>
            <rFont val="Tahoma"/>
            <family val="2"/>
          </rPr>
          <t>/</t>
        </r>
        <r>
          <rPr>
            <b/>
            <sz val="9"/>
            <color indexed="81"/>
            <rFont val="宋体"/>
            <charset val="134"/>
          </rPr>
          <t>包</t>
        </r>
      </text>
    </comment>
    <comment ref="G44" authorId="0">
      <text>
        <r>
          <rPr>
            <b/>
            <sz val="9"/>
            <color indexed="81"/>
            <rFont val="Tahoma"/>
            <family val="2"/>
          </rPr>
          <t>20mm x 100m
25mm x 100m</t>
        </r>
      </text>
    </comment>
    <comment ref="H44" authorId="0">
      <text>
        <r>
          <rPr>
            <b/>
            <sz val="9"/>
            <color indexed="81"/>
            <rFont val="宋体"/>
            <charset val="134"/>
          </rPr>
          <t xml:space="preserve">透明綠
</t>
        </r>
      </text>
    </comment>
    <comment ref="I44" authorId="0">
      <text>
        <r>
          <rPr>
            <b/>
            <sz val="9"/>
            <color indexed="81"/>
            <rFont val="Tahoma"/>
            <family val="2"/>
          </rPr>
          <t>1.2-2</t>
        </r>
      </text>
    </comment>
    <comment ref="I45" authorId="0">
      <text>
        <r>
          <rPr>
            <b/>
            <sz val="9"/>
            <color indexed="81"/>
            <rFont val="Tahoma"/>
            <family val="2"/>
          </rPr>
          <t>0.16-0.85</t>
        </r>
      </text>
    </comment>
    <comment ref="G46" authorId="0">
      <text>
        <r>
          <rPr>
            <b/>
            <sz val="9"/>
            <color indexed="81"/>
            <rFont val="Tahoma"/>
            <family val="2"/>
          </rPr>
          <t>17mm*20m*0.1mm
14mm*7m*0.075mm</t>
        </r>
      </text>
    </comment>
    <comment ref="I47" authorId="0">
      <text>
        <r>
          <rPr>
            <b/>
            <sz val="9"/>
            <color indexed="81"/>
            <rFont val="Tahoma"/>
            <family val="2"/>
          </rPr>
          <t>0.16-0.85</t>
        </r>
      </text>
    </comment>
    <comment ref="G50" authorId="0">
      <text>
        <r>
          <rPr>
            <b/>
            <sz val="9"/>
            <color indexed="81"/>
            <rFont val="Tahoma"/>
            <family val="2"/>
          </rPr>
          <t>25mm x 5m
x-38mm x 5m</t>
        </r>
      </text>
    </comment>
    <comment ref="H50"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I50" authorId="0">
      <text>
        <r>
          <rPr>
            <b/>
            <sz val="9"/>
            <color indexed="81"/>
            <rFont val="Tahoma"/>
            <family val="2"/>
          </rPr>
          <t>2.5-3.8</t>
        </r>
      </text>
    </comment>
    <comment ref="G51" authorId="0">
      <text>
        <r>
          <rPr>
            <b/>
            <sz val="9"/>
            <color indexed="81"/>
            <rFont val="Tahoma"/>
            <family val="2"/>
          </rPr>
          <t>25mm x 4.5m
50mm x 4.5m</t>
        </r>
      </text>
    </comment>
    <comment ref="H51"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I51" authorId="0">
      <text>
        <r>
          <rPr>
            <b/>
            <sz val="9"/>
            <color indexed="81"/>
            <rFont val="Tahoma"/>
            <family val="2"/>
          </rPr>
          <t>0.55-1.1</t>
        </r>
      </text>
    </comment>
    <comment ref="G52" authorId="0">
      <text>
        <r>
          <rPr>
            <b/>
            <sz val="9"/>
            <color indexed="81"/>
            <rFont val="Tahoma"/>
            <family val="2"/>
          </rPr>
          <t>25mm x 4.5m
50mm x 4.5m</t>
        </r>
      </text>
    </comment>
    <comment ref="H52"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I52" authorId="0">
      <text>
        <r>
          <rPr>
            <b/>
            <sz val="9"/>
            <color indexed="81"/>
            <rFont val="Tahoma"/>
            <family val="2"/>
          </rPr>
          <t>0.55-1.1</t>
        </r>
      </text>
    </comment>
    <comment ref="G53" authorId="0">
      <text>
        <r>
          <rPr>
            <b/>
            <sz val="9"/>
            <color indexed="81"/>
            <rFont val="Tahoma"/>
            <family val="2"/>
          </rPr>
          <t>25mm x 1.2m</t>
        </r>
      </text>
    </comment>
    <comment ref="H53" authorId="0">
      <text>
        <r>
          <rPr>
            <b/>
            <sz val="9"/>
            <color indexed="81"/>
            <rFont val="宋体"/>
            <charset val="134"/>
          </rPr>
          <t xml:space="preserve">黑紅黃藍紫
</t>
        </r>
      </text>
    </comment>
    <comment ref="G54" authorId="0">
      <text>
        <r>
          <rPr>
            <b/>
            <sz val="9"/>
            <color indexed="81"/>
            <rFont val="Tahoma"/>
            <family val="2"/>
          </rPr>
          <t xml:space="preserve">T-Tap Wire Terminals
Red AWG: 22-18 = 0.5-1.5 mm² Max 10A
Blue AWG: 18-14 = 1.5-2.5 mm² Max 15A
Yellow AWG: 12-10 = 2.5-4  mm² Max 24A
Male Spade Connector
Red AWG 22-18; Suits cable/ wire sizes 0.5-1.0mm²
Blue AWG 16-14; Suits cable/ wire sizes 1.5-2.5mm²
Yellow AWG 12-10; Suits cable/ wire sizes 4.0-6.0mm²
</t>
        </r>
      </text>
    </comment>
    <comment ref="I54" authorId="0">
      <text>
        <r>
          <rPr>
            <b/>
            <sz val="9"/>
            <color indexed="81"/>
            <rFont val="Tahoma"/>
            <family val="2"/>
          </rPr>
          <t>0.18-0.25</t>
        </r>
      </text>
    </comment>
    <comment ref="G55"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I55" authorId="0">
      <text>
        <r>
          <rPr>
            <b/>
            <sz val="9"/>
            <color indexed="81"/>
            <rFont val="Tahoma"/>
            <family val="2"/>
          </rPr>
          <t>0.18-0.25</t>
        </r>
      </text>
    </comment>
    <comment ref="F56" authorId="0">
      <text>
        <r>
          <rPr>
            <b/>
            <sz val="9"/>
            <color indexed="81"/>
            <rFont val="宋体"/>
            <charset val="134"/>
          </rPr>
          <t xml:space="preserve">Tin Plated Copper
鍍錫紫銅
X-紫紅銅 </t>
        </r>
      </text>
    </comment>
    <comment ref="G56" authorId="0">
      <text>
        <r>
          <rPr>
            <b/>
            <sz val="9"/>
            <color indexed="81"/>
            <rFont val="Tahoma"/>
            <family val="2"/>
          </rPr>
          <t>SC6-6: 10 PCS-0.18
SC6-8: 10 PCS
SC10-6: 10 PCS-0.18
SC10-8: 10 PCS-0.18
SC16-6: 5 PCS-0.25
SC16-8: 5 PCS-0.26
SC25-6: 5 PCS-0.40
SC25-8: 5 PCS-0.35</t>
        </r>
      </text>
    </comment>
    <comment ref="I56" authorId="0">
      <text>
        <r>
          <rPr>
            <b/>
            <sz val="9"/>
            <color indexed="81"/>
            <rFont val="Tahoma"/>
            <family val="2"/>
          </rPr>
          <t>0.18-0.4</t>
        </r>
      </text>
    </comment>
    <comment ref="G57"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I57" authorId="0">
      <text>
        <r>
          <rPr>
            <b/>
            <sz val="9"/>
            <color indexed="81"/>
            <rFont val="Tahoma"/>
            <family val="2"/>
          </rPr>
          <t>0.18-0.25</t>
        </r>
      </text>
    </comment>
    <comment ref="G58"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I58" authorId="0">
      <text>
        <r>
          <rPr>
            <b/>
            <sz val="9"/>
            <color indexed="81"/>
            <rFont val="Tahoma"/>
            <family val="2"/>
          </rPr>
          <t>0.18-0.25</t>
        </r>
      </text>
    </comment>
    <comment ref="G59" authorId="0">
      <text>
        <r>
          <rPr>
            <b/>
            <sz val="9"/>
            <color indexed="81"/>
            <rFont val="宋体"/>
            <charset val="134"/>
          </rPr>
          <t>白</t>
        </r>
        <r>
          <rPr>
            <b/>
            <sz val="9"/>
            <color indexed="81"/>
            <rFont val="Tahoma"/>
            <family val="2"/>
          </rPr>
          <t xml:space="preserve">AWG 24-26-0.18
</t>
        </r>
        <r>
          <rPr>
            <b/>
            <sz val="9"/>
            <color indexed="81"/>
            <rFont val="宋体"/>
            <charset val="134"/>
          </rPr>
          <t>紅</t>
        </r>
        <r>
          <rPr>
            <b/>
            <sz val="9"/>
            <color indexed="81"/>
            <rFont val="Tahoma"/>
            <family val="2"/>
          </rPr>
          <t xml:space="preserve">AWG 18-22-0.20
</t>
        </r>
        <r>
          <rPr>
            <b/>
            <sz val="9"/>
            <color indexed="81"/>
            <rFont val="宋体"/>
            <charset val="134"/>
          </rPr>
          <t>藍</t>
        </r>
        <r>
          <rPr>
            <b/>
            <sz val="9"/>
            <color indexed="81"/>
            <rFont val="Tahoma"/>
            <family val="2"/>
          </rPr>
          <t xml:space="preserve">AWG 14-16-0.23
</t>
        </r>
        <r>
          <rPr>
            <b/>
            <sz val="9"/>
            <color indexed="81"/>
            <rFont val="宋体"/>
            <charset val="134"/>
          </rPr>
          <t>黃</t>
        </r>
        <r>
          <rPr>
            <b/>
            <sz val="9"/>
            <color indexed="81"/>
            <rFont val="Tahoma"/>
            <family val="2"/>
          </rPr>
          <t xml:space="preserve">AWG 10-12-0.25
</t>
        </r>
      </text>
    </comment>
    <comment ref="I59" authorId="0">
      <text>
        <r>
          <rPr>
            <b/>
            <sz val="9"/>
            <color indexed="81"/>
            <rFont val="Tahoma"/>
            <family val="2"/>
          </rPr>
          <t>0.18-0.25</t>
        </r>
      </text>
    </comment>
    <comment ref="G60"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G61"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G62"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F67" authorId="0">
      <text>
        <r>
          <rPr>
            <b/>
            <sz val="9"/>
            <color indexed="81"/>
            <rFont val="宋体"/>
            <charset val="134"/>
          </rPr>
          <t>普通對接</t>
        </r>
        <r>
          <rPr>
            <b/>
            <sz val="9"/>
            <color indexed="81"/>
            <rFont val="Tahoma"/>
            <family val="2"/>
          </rPr>
          <t>-0.5</t>
        </r>
        <r>
          <rPr>
            <b/>
            <sz val="9"/>
            <color indexed="81"/>
            <rFont val="宋体"/>
            <charset val="134"/>
          </rPr>
          <t xml:space="preserve">
高級對接</t>
        </r>
        <r>
          <rPr>
            <b/>
            <sz val="9"/>
            <color indexed="81"/>
            <rFont val="Tahoma"/>
            <family val="2"/>
          </rPr>
          <t xml:space="preserve">-2.8
1-&gt;2-3
</t>
        </r>
      </text>
    </comment>
    <comment ref="I67" authorId="0">
      <text>
        <r>
          <rPr>
            <b/>
            <sz val="9"/>
            <color indexed="81"/>
            <rFont val="Tahoma"/>
            <family val="2"/>
          </rPr>
          <t>0.5-3</t>
        </r>
      </text>
    </comment>
    <comment ref="F73" authorId="0">
      <text>
        <r>
          <rPr>
            <b/>
            <sz val="9"/>
            <color indexed="81"/>
            <rFont val="Tahoma"/>
            <family val="2"/>
          </rPr>
          <t>splitter cable pair-3
splitter module-2.8</t>
        </r>
      </text>
    </comment>
    <comment ref="J73" authorId="0">
      <text>
        <r>
          <rPr>
            <b/>
            <sz val="9"/>
            <color indexed="81"/>
            <rFont val="Tahoma"/>
            <family val="2"/>
          </rPr>
          <t>2 pcs/pair</t>
        </r>
      </text>
    </comment>
    <comment ref="F81" authorId="0">
      <text>
        <r>
          <rPr>
            <b/>
            <sz val="9"/>
            <color indexed="81"/>
            <rFont val="Tahoma"/>
            <family val="2"/>
          </rPr>
          <t>5.5mm*2.1mm F-F
5.5mm*2.1mm M-M</t>
        </r>
      </text>
    </comment>
    <comment ref="F82" authorId="0">
      <text>
        <r>
          <rPr>
            <b/>
            <sz val="9"/>
            <color indexed="81"/>
            <rFont val="Tahoma"/>
            <family val="2"/>
          </rPr>
          <t>EU-&gt;US-0.3
US-&gt;EU-0.3
US 3-&gt;EU-0.76
US 3-&gt;SW-0.73
US 3-&gt;UK-0.95
US 3-&gt;AU 2-0.72
US 3-&gt;AU 3-0.6
US 1-&gt;3</t>
        </r>
        <r>
          <rPr>
            <b/>
            <sz val="9"/>
            <color indexed="81"/>
            <rFont val="宋体"/>
            <charset val="134"/>
          </rPr>
          <t>開關</t>
        </r>
        <r>
          <rPr>
            <b/>
            <sz val="9"/>
            <color indexed="81"/>
            <rFont val="Tahoma"/>
            <family val="2"/>
          </rPr>
          <t xml:space="preserve">-1.6
US 1-&gt;5-3
</t>
        </r>
      </text>
    </comment>
    <comment ref="I82" authorId="0">
      <text>
        <r>
          <rPr>
            <b/>
            <sz val="9"/>
            <color indexed="81"/>
            <rFont val="Tahoma"/>
            <family val="2"/>
          </rPr>
          <t>0.3-3</t>
        </r>
      </text>
    </comment>
    <comment ref="F87" authorId="0">
      <text>
        <r>
          <rPr>
            <b/>
            <sz val="9"/>
            <color indexed="81"/>
            <rFont val="Tahoma"/>
            <family val="2"/>
          </rPr>
          <t>5.5mm*2.1mm F-F
5.5mm*2.1mm M-M</t>
        </r>
      </text>
    </comment>
    <comment ref="F90" authorId="0">
      <text>
        <r>
          <rPr>
            <b/>
            <sz val="9"/>
            <color indexed="81"/>
            <rFont val="宋体"/>
            <charset val="134"/>
          </rPr>
          <t>電競</t>
        </r>
        <r>
          <rPr>
            <b/>
            <sz val="9"/>
            <color indexed="81"/>
            <rFont val="Tahoma"/>
            <family val="2"/>
          </rPr>
          <t xml:space="preserve">:
</t>
        </r>
        <r>
          <rPr>
            <b/>
            <sz val="9"/>
            <color indexed="81"/>
            <rFont val="宋体"/>
            <charset val="134"/>
          </rPr>
          <t>三層盔甲</t>
        </r>
        <r>
          <rPr>
            <b/>
            <sz val="9"/>
            <color indexed="81"/>
            <rFont val="Tahoma"/>
            <family val="2"/>
          </rPr>
          <t xml:space="preserve">-4
</t>
        </r>
        <r>
          <rPr>
            <b/>
            <sz val="9"/>
            <color indexed="81"/>
            <rFont val="宋体"/>
            <charset val="134"/>
          </rPr>
          <t>左右</t>
        </r>
        <r>
          <rPr>
            <b/>
            <sz val="9"/>
            <color indexed="81"/>
            <rFont val="Tahoma"/>
            <family val="2"/>
          </rPr>
          <t>5</t>
        </r>
        <r>
          <rPr>
            <b/>
            <sz val="9"/>
            <color indexed="81"/>
            <rFont val="宋体"/>
            <charset val="134"/>
          </rPr>
          <t>孔</t>
        </r>
        <r>
          <rPr>
            <b/>
            <sz val="9"/>
            <color indexed="81"/>
            <rFont val="Tahoma"/>
            <family val="2"/>
          </rPr>
          <t>-4
CH823</t>
        </r>
        <r>
          <rPr>
            <b/>
            <sz val="9"/>
            <color indexed="81"/>
            <rFont val="宋体"/>
            <charset val="134"/>
          </rPr>
          <t>綠光</t>
        </r>
        <r>
          <rPr>
            <b/>
            <sz val="9"/>
            <color indexed="81"/>
            <rFont val="Tahoma"/>
            <family val="2"/>
          </rPr>
          <t>-3.5
CH865-3.5
822-3.5
SONY</t>
        </r>
        <r>
          <rPr>
            <b/>
            <sz val="9"/>
            <color indexed="81"/>
            <rFont val="宋体"/>
            <charset val="134"/>
          </rPr>
          <t>環透光</t>
        </r>
        <r>
          <rPr>
            <b/>
            <sz val="9"/>
            <color indexed="81"/>
            <rFont val="Tahoma"/>
            <family val="2"/>
          </rPr>
          <t xml:space="preserve">-3.1
</t>
        </r>
        <r>
          <rPr>
            <b/>
            <sz val="9"/>
            <color indexed="81"/>
            <rFont val="宋体"/>
            <charset val="134"/>
          </rPr>
          <t>小亮面</t>
        </r>
        <r>
          <rPr>
            <b/>
            <sz val="9"/>
            <color indexed="81"/>
            <rFont val="Tahoma"/>
            <family val="2"/>
          </rPr>
          <t xml:space="preserve">-2.8
</t>
        </r>
        <r>
          <rPr>
            <b/>
            <sz val="9"/>
            <color indexed="81"/>
            <rFont val="宋体"/>
            <charset val="134"/>
          </rPr>
          <t>白萍果</t>
        </r>
        <r>
          <rPr>
            <b/>
            <sz val="9"/>
            <color indexed="81"/>
            <rFont val="Tahoma"/>
            <family val="2"/>
          </rPr>
          <t>-3.3
IBM</t>
        </r>
        <r>
          <rPr>
            <b/>
            <sz val="9"/>
            <color indexed="81"/>
            <rFont val="宋体"/>
            <charset val="134"/>
          </rPr>
          <t>紅線</t>
        </r>
        <r>
          <rPr>
            <b/>
            <sz val="9"/>
            <color indexed="81"/>
            <rFont val="Tahoma"/>
            <family val="2"/>
          </rPr>
          <t>-2.98
xHP</t>
        </r>
        <r>
          <rPr>
            <b/>
            <sz val="9"/>
            <color indexed="81"/>
            <rFont val="宋体"/>
            <charset val="134"/>
          </rPr>
          <t>黑長</t>
        </r>
        <r>
          <rPr>
            <b/>
            <sz val="9"/>
            <color indexed="81"/>
            <rFont val="Tahoma"/>
            <family val="2"/>
          </rPr>
          <t>-3
xDELL-3.9</t>
        </r>
      </text>
    </comment>
    <comment ref="I90" authorId="0">
      <text>
        <r>
          <rPr>
            <b/>
            <sz val="9"/>
            <color indexed="81"/>
            <rFont val="Tahoma"/>
            <family val="2"/>
          </rPr>
          <t xml:space="preserve">2.8-4
</t>
        </r>
      </text>
    </comment>
    <comment ref="F95" authorId="0">
      <text>
        <r>
          <rPr>
            <b/>
            <sz val="9"/>
            <color indexed="81"/>
            <rFont val="宋体"/>
            <charset val="134"/>
          </rPr>
          <t>無框黑
半框
金邊
銀邊
LED</t>
        </r>
      </text>
    </comment>
    <comment ref="G95" authorId="0">
      <text>
        <r>
          <rPr>
            <b/>
            <sz val="9"/>
            <color indexed="81"/>
            <rFont val="Tahoma"/>
            <family val="2"/>
          </rPr>
          <t xml:space="preserve">+100,+150,+200
+250,+300,+350
</t>
        </r>
      </text>
    </comment>
    <comment ref="F96" authorId="0">
      <text>
        <r>
          <rPr>
            <b/>
            <sz val="9"/>
            <color indexed="81"/>
            <rFont val="宋体"/>
            <charset val="134"/>
          </rPr>
          <t>蛤蟆
貓眼
貓眼大框
貓眼薄片
圓
心
心無框
三角
希爾頓
戀愛先生
馬賽克</t>
        </r>
      </text>
    </comment>
    <comment ref="I96" authorId="0">
      <text>
        <r>
          <rPr>
            <b/>
            <sz val="9"/>
            <color indexed="81"/>
            <rFont val="Tahoma"/>
            <family val="2"/>
          </rPr>
          <t>1.1-2.1</t>
        </r>
      </text>
    </comment>
    <comment ref="F97" authorId="0">
      <text>
        <r>
          <rPr>
            <b/>
            <sz val="9"/>
            <color indexed="81"/>
            <rFont val="Tahoma"/>
            <family val="2"/>
          </rPr>
          <t>3150
HD</t>
        </r>
      </text>
    </comment>
    <comment ref="F98" authorId="0">
      <text>
        <r>
          <rPr>
            <b/>
            <sz val="9"/>
            <color indexed="81"/>
            <rFont val="宋体"/>
            <charset val="134"/>
          </rPr>
          <t>老花
閃光</t>
        </r>
      </text>
    </comment>
    <comment ref="F100" authorId="0">
      <text>
        <r>
          <rPr>
            <b/>
            <sz val="9"/>
            <color indexed="81"/>
            <rFont val="宋体"/>
            <charset val="134"/>
          </rPr>
          <t>無框黑
半框
金邊
銀邊
LED</t>
        </r>
      </text>
    </comment>
    <comment ref="G100" authorId="0">
      <text>
        <r>
          <rPr>
            <b/>
            <sz val="9"/>
            <color indexed="81"/>
            <rFont val="Tahoma"/>
            <family val="2"/>
          </rPr>
          <t xml:space="preserve">+100,+150,+200
+250,+300,+350
</t>
        </r>
      </text>
    </comment>
  </commentList>
</comments>
</file>

<file path=xl/comments8.xml><?xml version="1.0" encoding="utf-8"?>
<comments xmlns="http://schemas.openxmlformats.org/spreadsheetml/2006/main">
  <authors>
    <author>作者</author>
  </authors>
  <commentList>
    <comment ref="E3" authorId="0">
      <text>
        <r>
          <rPr>
            <b/>
            <sz val="9"/>
            <color indexed="81"/>
            <rFont val="Tahoma"/>
            <family val="2"/>
          </rPr>
          <t>ULINE 11</t>
        </r>
        <r>
          <rPr>
            <b/>
            <sz val="9"/>
            <color indexed="81"/>
            <rFont val="宋体"/>
            <charset val="134"/>
          </rPr>
          <t>款</t>
        </r>
      </text>
    </comment>
    <comment ref="G3" authorId="0">
      <text>
        <r>
          <rPr>
            <b/>
            <sz val="9"/>
            <color indexed="81"/>
            <rFont val="Tahoma"/>
            <family val="2"/>
          </rPr>
          <t>0.15-1</t>
        </r>
      </text>
    </comment>
    <comment ref="H3" authorId="0">
      <text>
        <r>
          <rPr>
            <b/>
            <sz val="9"/>
            <color indexed="81"/>
            <rFont val="Tahoma"/>
            <family val="2"/>
          </rPr>
          <t>50-500/</t>
        </r>
        <r>
          <rPr>
            <b/>
            <sz val="9"/>
            <color indexed="81"/>
            <rFont val="宋体"/>
            <charset val="134"/>
          </rPr>
          <t>箱</t>
        </r>
        <r>
          <rPr>
            <b/>
            <sz val="9"/>
            <color indexed="81"/>
            <rFont val="Tahoma"/>
            <family val="2"/>
          </rPr>
          <t xml:space="preserve">
</t>
        </r>
      </text>
    </comment>
    <comment ref="E4" authorId="0">
      <text>
        <r>
          <rPr>
            <b/>
            <sz val="9"/>
            <color indexed="81"/>
            <rFont val="Tahoma"/>
            <family val="2"/>
          </rPr>
          <t>ULINE 12</t>
        </r>
        <r>
          <rPr>
            <b/>
            <sz val="9"/>
            <color indexed="81"/>
            <rFont val="宋体"/>
            <charset val="134"/>
          </rPr>
          <t>款</t>
        </r>
      </text>
    </comment>
    <comment ref="G4" authorId="0">
      <text>
        <r>
          <rPr>
            <b/>
            <sz val="9"/>
            <color indexed="81"/>
            <rFont val="Tahoma"/>
            <family val="2"/>
          </rPr>
          <t>0.15-1</t>
        </r>
      </text>
    </comment>
    <comment ref="H4" authorId="0">
      <text>
        <r>
          <rPr>
            <b/>
            <sz val="9"/>
            <color indexed="81"/>
            <rFont val="Tahoma"/>
            <family val="2"/>
          </rPr>
          <t>50-500/</t>
        </r>
        <r>
          <rPr>
            <b/>
            <sz val="9"/>
            <color indexed="81"/>
            <rFont val="宋体"/>
            <charset val="134"/>
          </rPr>
          <t>箱</t>
        </r>
        <r>
          <rPr>
            <b/>
            <sz val="9"/>
            <color indexed="81"/>
            <rFont val="Tahoma"/>
            <family val="2"/>
          </rPr>
          <t xml:space="preserve">
</t>
        </r>
      </text>
    </comment>
    <comment ref="E5" authorId="0">
      <text>
        <r>
          <rPr>
            <b/>
            <sz val="9"/>
            <color indexed="81"/>
            <rFont val="Tahoma"/>
            <family val="2"/>
          </rPr>
          <t>ULINE 30</t>
        </r>
        <r>
          <rPr>
            <b/>
            <sz val="9"/>
            <color indexed="81"/>
            <rFont val="宋体"/>
            <charset val="134"/>
          </rPr>
          <t>款</t>
        </r>
      </text>
    </comment>
    <comment ref="G5" authorId="0">
      <text>
        <r>
          <rPr>
            <b/>
            <sz val="9"/>
            <color indexed="81"/>
            <rFont val="Tahoma"/>
            <family val="2"/>
          </rPr>
          <t>0.15-1</t>
        </r>
      </text>
    </comment>
    <comment ref="H5" authorId="0">
      <text>
        <r>
          <rPr>
            <b/>
            <sz val="9"/>
            <color indexed="81"/>
            <rFont val="Tahoma"/>
            <family val="2"/>
          </rPr>
          <t>50-500/</t>
        </r>
        <r>
          <rPr>
            <b/>
            <sz val="9"/>
            <color indexed="81"/>
            <rFont val="宋体"/>
            <charset val="134"/>
          </rPr>
          <t>箱</t>
        </r>
        <r>
          <rPr>
            <b/>
            <sz val="9"/>
            <color indexed="81"/>
            <rFont val="Tahoma"/>
            <family val="2"/>
          </rPr>
          <t xml:space="preserve">
</t>
        </r>
      </text>
    </comment>
    <comment ref="E6" authorId="0">
      <text>
        <r>
          <rPr>
            <b/>
            <sz val="9"/>
            <color indexed="81"/>
            <rFont val="Tahoma"/>
            <family val="2"/>
          </rPr>
          <t xml:space="preserve">ebay: mini </t>
        </r>
        <r>
          <rPr>
            <b/>
            <sz val="9"/>
            <color indexed="81"/>
            <rFont val="宋体"/>
            <charset val="134"/>
          </rPr>
          <t>熱銷</t>
        </r>
        <r>
          <rPr>
            <b/>
            <sz val="9"/>
            <color indexed="81"/>
            <rFont val="Tahoma"/>
            <family val="2"/>
          </rPr>
          <t xml:space="preserve">
2.5" x 3"
3" x 3.5"
3" x 5"
</t>
        </r>
      </text>
    </comment>
    <comment ref="E7" authorId="0">
      <text>
        <r>
          <rPr>
            <b/>
            <sz val="9"/>
            <color indexed="81"/>
            <rFont val="Tahoma"/>
            <family val="2"/>
          </rPr>
          <t xml:space="preserve">ebay: mini </t>
        </r>
        <r>
          <rPr>
            <b/>
            <sz val="9"/>
            <color indexed="81"/>
            <rFont val="宋体"/>
            <charset val="134"/>
          </rPr>
          <t>熱銷</t>
        </r>
        <r>
          <rPr>
            <b/>
            <sz val="9"/>
            <color indexed="81"/>
            <rFont val="Tahoma"/>
            <family val="2"/>
          </rPr>
          <t xml:space="preserve">
2.5" x 3"
3" x 3.5"
3" x 5"
</t>
        </r>
      </text>
    </comment>
    <comment ref="E8" authorId="0">
      <text>
        <r>
          <rPr>
            <b/>
            <sz val="9"/>
            <color indexed="81"/>
            <rFont val="Tahoma"/>
            <family val="2"/>
          </rPr>
          <t>ULINE: 10</t>
        </r>
        <r>
          <rPr>
            <b/>
            <sz val="9"/>
            <color indexed="81"/>
            <rFont val="宋体"/>
            <charset val="134"/>
          </rPr>
          <t xml:space="preserve">款
</t>
        </r>
        <r>
          <rPr>
            <b/>
            <sz val="9"/>
            <color indexed="81"/>
            <rFont val="Tahoma"/>
            <family val="2"/>
          </rPr>
          <t>ebay: 9</t>
        </r>
        <r>
          <rPr>
            <b/>
            <sz val="9"/>
            <color indexed="81"/>
            <rFont val="宋体"/>
            <charset val="134"/>
          </rPr>
          <t>款
重覆</t>
        </r>
        <r>
          <rPr>
            <b/>
            <sz val="9"/>
            <color indexed="81"/>
            <rFont val="Tahoma"/>
            <family val="2"/>
          </rPr>
          <t>: 8</t>
        </r>
        <r>
          <rPr>
            <b/>
            <sz val="9"/>
            <color indexed="81"/>
            <rFont val="宋体"/>
            <charset val="134"/>
          </rPr>
          <t>款</t>
        </r>
        <r>
          <rPr>
            <b/>
            <sz val="9"/>
            <color indexed="81"/>
            <rFont val="Tahoma"/>
            <family val="2"/>
          </rPr>
          <t xml:space="preserve">
</t>
        </r>
      </text>
    </comment>
    <comment ref="G8" authorId="0">
      <text>
        <r>
          <rPr>
            <b/>
            <sz val="9"/>
            <color indexed="81"/>
            <rFont val="Tahoma"/>
            <family val="2"/>
          </rPr>
          <t>0.07-0.7</t>
        </r>
      </text>
    </comment>
    <comment ref="H8" authorId="0">
      <text>
        <r>
          <rPr>
            <b/>
            <sz val="9"/>
            <color indexed="81"/>
            <rFont val="Tahoma"/>
            <family val="2"/>
          </rPr>
          <t>100/</t>
        </r>
        <r>
          <rPr>
            <b/>
            <sz val="9"/>
            <color indexed="81"/>
            <rFont val="宋体"/>
            <charset val="134"/>
          </rPr>
          <t>捆</t>
        </r>
      </text>
    </comment>
    <comment ref="B9" authorId="0">
      <text>
        <r>
          <rPr>
            <b/>
            <sz val="9"/>
            <color indexed="81"/>
            <rFont val="宋体"/>
            <charset val="134"/>
          </rPr>
          <t>一般球星尺寸为：</t>
        </r>
        <r>
          <rPr>
            <b/>
            <sz val="9"/>
            <color indexed="81"/>
            <rFont val="Tahoma"/>
            <family val="2"/>
          </rPr>
          <t>6.3cm×8.85cm-&gt; 2.5" * 3.5"</t>
        </r>
        <r>
          <rPr>
            <b/>
            <sz val="9"/>
            <color indexed="81"/>
            <rFont val="宋体"/>
            <charset val="134"/>
          </rPr>
          <t xml:space="preserve">
大尺寸卡为：</t>
        </r>
        <r>
          <rPr>
            <b/>
            <sz val="9"/>
            <color indexed="81"/>
            <rFont val="Tahoma"/>
            <family val="2"/>
          </rPr>
          <t>9cm×12.8cm-&gt; 3.5" * 5"</t>
        </r>
      </text>
    </comment>
    <comment ref="E9" authorId="0">
      <text>
        <r>
          <rPr>
            <b/>
            <sz val="9"/>
            <color indexed="81"/>
            <rFont val="Tahoma"/>
            <family val="2"/>
          </rPr>
          <t>ULINE 29</t>
        </r>
        <r>
          <rPr>
            <b/>
            <sz val="9"/>
            <color indexed="81"/>
            <rFont val="宋体"/>
            <charset val="134"/>
          </rPr>
          <t>款</t>
        </r>
      </text>
    </comment>
    <comment ref="G9"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0.006-0.216</t>
        </r>
      </text>
    </comment>
    <comment ref="H9" authorId="0">
      <text>
        <r>
          <rPr>
            <b/>
            <sz val="9"/>
            <color indexed="81"/>
            <rFont val="Tahoma"/>
            <family val="2"/>
          </rPr>
          <t>100/</t>
        </r>
        <r>
          <rPr>
            <b/>
            <sz val="9"/>
            <color indexed="81"/>
            <rFont val="宋体"/>
            <charset val="134"/>
          </rPr>
          <t>包</t>
        </r>
      </text>
    </comment>
    <comment ref="E10" authorId="0">
      <text>
        <r>
          <rPr>
            <b/>
            <sz val="9"/>
            <color indexed="81"/>
            <rFont val="Tahoma"/>
            <family val="2"/>
          </rPr>
          <t>ULINE 29</t>
        </r>
        <r>
          <rPr>
            <b/>
            <sz val="9"/>
            <color indexed="81"/>
            <rFont val="宋体"/>
            <charset val="134"/>
          </rPr>
          <t>款</t>
        </r>
      </text>
    </comment>
    <comment ref="G10"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0.006-0.216</t>
        </r>
      </text>
    </comment>
    <comment ref="H10" authorId="0">
      <text>
        <r>
          <rPr>
            <b/>
            <sz val="9"/>
            <color indexed="81"/>
            <rFont val="Tahoma"/>
            <family val="2"/>
          </rPr>
          <t>100/</t>
        </r>
        <r>
          <rPr>
            <b/>
            <sz val="9"/>
            <color indexed="81"/>
            <rFont val="宋体"/>
            <charset val="134"/>
          </rPr>
          <t>包</t>
        </r>
      </text>
    </comment>
    <comment ref="E11" authorId="0">
      <text>
        <r>
          <rPr>
            <b/>
            <sz val="9"/>
            <color indexed="81"/>
            <rFont val="Tahoma"/>
            <family val="2"/>
          </rPr>
          <t>ULINE 225</t>
        </r>
        <r>
          <rPr>
            <b/>
            <sz val="9"/>
            <color indexed="81"/>
            <rFont val="宋体"/>
            <charset val="134"/>
          </rPr>
          <t>款</t>
        </r>
      </text>
    </comment>
    <comment ref="G11"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0.0035-0.39</t>
        </r>
      </text>
    </comment>
    <comment ref="G12"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0.0035-0.39</t>
        </r>
      </text>
    </comment>
    <comment ref="G13" authorId="0">
      <text>
        <r>
          <rPr>
            <b/>
            <sz val="9"/>
            <color indexed="81"/>
            <rFont val="宋体"/>
            <charset val="134"/>
          </rPr>
          <t>标准</t>
        </r>
        <r>
          <rPr>
            <b/>
            <sz val="9"/>
            <color indexed="81"/>
            <rFont val="Tahoma"/>
            <family val="2"/>
          </rPr>
          <t>5</t>
        </r>
        <r>
          <rPr>
            <b/>
            <sz val="9"/>
            <color indexed="81"/>
            <rFont val="宋体"/>
            <charset val="134"/>
          </rPr>
          <t>丝（</t>
        </r>
        <r>
          <rPr>
            <b/>
            <sz val="9"/>
            <color indexed="81"/>
            <rFont val="Tahoma"/>
            <family val="2"/>
          </rPr>
          <t>100</t>
        </r>
        <r>
          <rPr>
            <b/>
            <sz val="9"/>
            <color indexed="81"/>
            <rFont val="宋体"/>
            <charset val="134"/>
          </rPr>
          <t xml:space="preserve">个）
</t>
        </r>
        <r>
          <rPr>
            <b/>
            <sz val="9"/>
            <color indexed="81"/>
            <rFont val="Tahoma"/>
            <family val="2"/>
          </rPr>
          <t>0.0035-0.39</t>
        </r>
      </text>
    </comment>
    <comment ref="E14" authorId="0">
      <text>
        <r>
          <rPr>
            <b/>
            <sz val="9"/>
            <color indexed="81"/>
            <rFont val="Tahoma"/>
            <family val="2"/>
          </rPr>
          <t>ULINE 10</t>
        </r>
        <r>
          <rPr>
            <b/>
            <sz val="9"/>
            <color indexed="81"/>
            <rFont val="宋体"/>
            <charset val="134"/>
          </rPr>
          <t>款</t>
        </r>
      </text>
    </comment>
    <comment ref="F14" authorId="0">
      <text>
        <r>
          <rPr>
            <b/>
            <sz val="9"/>
            <color indexed="81"/>
            <rFont val="Tahoma"/>
            <family val="2"/>
          </rPr>
          <t>ULINE 6</t>
        </r>
        <r>
          <rPr>
            <b/>
            <sz val="9"/>
            <color indexed="81"/>
            <rFont val="宋体"/>
            <charset val="134"/>
          </rPr>
          <t>色
銀黑金紅綠藍白</t>
        </r>
      </text>
    </comment>
    <comment ref="G14" authorId="0">
      <text>
        <r>
          <rPr>
            <b/>
            <sz val="9"/>
            <color indexed="81"/>
            <rFont val="Tahoma"/>
            <family val="2"/>
          </rPr>
          <t>0.08-0.35</t>
        </r>
      </text>
    </comment>
    <comment ref="D15" authorId="0">
      <text>
        <r>
          <rPr>
            <b/>
            <sz val="9"/>
            <color indexed="81"/>
            <rFont val="宋体"/>
            <charset val="134"/>
          </rPr>
          <t>毛鉤</t>
        </r>
      </text>
    </comment>
    <comment ref="E15" authorId="0">
      <text>
        <r>
          <rPr>
            <b/>
            <sz val="9"/>
            <color indexed="81"/>
            <rFont val="Tahoma"/>
            <family val="2"/>
          </rPr>
          <t>ULINE 7</t>
        </r>
        <r>
          <rPr>
            <b/>
            <sz val="9"/>
            <color indexed="81"/>
            <rFont val="宋体"/>
            <charset val="134"/>
          </rPr>
          <t>款</t>
        </r>
      </text>
    </comment>
    <comment ref="F15" authorId="0">
      <text>
        <r>
          <rPr>
            <b/>
            <sz val="9"/>
            <color indexed="81"/>
            <rFont val="Tahoma"/>
            <family val="2"/>
          </rPr>
          <t>ULINE 2</t>
        </r>
        <r>
          <rPr>
            <b/>
            <sz val="9"/>
            <color indexed="81"/>
            <rFont val="宋体"/>
            <charset val="134"/>
          </rPr>
          <t>色
黑白</t>
        </r>
      </text>
    </comment>
    <comment ref="G15" authorId="0">
      <text>
        <r>
          <rPr>
            <b/>
            <sz val="9"/>
            <color indexed="81"/>
            <rFont val="Tahoma"/>
            <family val="2"/>
          </rPr>
          <t>0.58-0.9</t>
        </r>
      </text>
    </comment>
    <comment ref="H15" authorId="0">
      <text>
        <r>
          <rPr>
            <b/>
            <sz val="9"/>
            <color indexed="81"/>
            <rFont val="Tahoma"/>
            <family val="2"/>
          </rPr>
          <t>25M 75FT/</t>
        </r>
        <r>
          <rPr>
            <b/>
            <sz val="9"/>
            <color indexed="81"/>
            <rFont val="宋体"/>
            <charset val="134"/>
          </rPr>
          <t>捲</t>
        </r>
      </text>
    </comment>
    <comment ref="E16" authorId="0">
      <text>
        <r>
          <rPr>
            <b/>
            <sz val="9"/>
            <color indexed="81"/>
            <rFont val="Tahoma"/>
            <family val="2"/>
          </rPr>
          <t>ULINE 2</t>
        </r>
        <r>
          <rPr>
            <b/>
            <sz val="9"/>
            <color indexed="81"/>
            <rFont val="宋体"/>
            <charset val="134"/>
          </rPr>
          <t>款</t>
        </r>
      </text>
    </comment>
    <comment ref="F16" authorId="0">
      <text>
        <r>
          <rPr>
            <b/>
            <sz val="9"/>
            <color indexed="81"/>
            <rFont val="Tahoma"/>
            <family val="2"/>
          </rPr>
          <t>ULINE 2</t>
        </r>
        <r>
          <rPr>
            <b/>
            <sz val="9"/>
            <color indexed="81"/>
            <rFont val="宋体"/>
            <charset val="134"/>
          </rPr>
          <t>色
黑白</t>
        </r>
      </text>
    </comment>
    <comment ref="G16" authorId="0">
      <text>
        <r>
          <rPr>
            <b/>
            <sz val="9"/>
            <color indexed="81"/>
            <rFont val="Tahoma"/>
            <family val="2"/>
          </rPr>
          <t>0.98-1.08</t>
        </r>
      </text>
    </comment>
    <comment ref="D17" authorId="0">
      <text>
        <r>
          <rPr>
            <b/>
            <sz val="9"/>
            <color indexed="81"/>
            <rFont val="宋体"/>
            <charset val="134"/>
          </rPr>
          <t>毛鉤</t>
        </r>
      </text>
    </comment>
    <comment ref="E17" authorId="0">
      <text>
        <r>
          <rPr>
            <b/>
            <sz val="9"/>
            <color indexed="81"/>
            <rFont val="Tahoma"/>
            <family val="2"/>
          </rPr>
          <t>ULINE 4</t>
        </r>
        <r>
          <rPr>
            <b/>
            <sz val="9"/>
            <color indexed="81"/>
            <rFont val="宋体"/>
            <charset val="134"/>
          </rPr>
          <t>款</t>
        </r>
      </text>
    </comment>
    <comment ref="F17" authorId="0">
      <text>
        <r>
          <rPr>
            <b/>
            <sz val="9"/>
            <color indexed="81"/>
            <rFont val="Tahoma"/>
            <family val="2"/>
          </rPr>
          <t>ULINE 2</t>
        </r>
        <r>
          <rPr>
            <b/>
            <sz val="9"/>
            <color indexed="81"/>
            <rFont val="宋体"/>
            <charset val="134"/>
          </rPr>
          <t xml:space="preserve">色
黑
</t>
        </r>
      </text>
    </comment>
    <comment ref="G17" authorId="0">
      <text>
        <r>
          <rPr>
            <b/>
            <sz val="9"/>
            <color indexed="81"/>
            <rFont val="Tahoma"/>
            <family val="2"/>
          </rPr>
          <t>0.28-0.4</t>
        </r>
      </text>
    </comment>
    <comment ref="H17" authorId="0">
      <text>
        <r>
          <rPr>
            <b/>
            <sz val="9"/>
            <color indexed="81"/>
            <rFont val="Tahoma"/>
            <family val="2"/>
          </rPr>
          <t>25M 75FT/</t>
        </r>
        <r>
          <rPr>
            <b/>
            <sz val="9"/>
            <color indexed="81"/>
            <rFont val="宋体"/>
            <charset val="134"/>
          </rPr>
          <t>捲</t>
        </r>
      </text>
    </comment>
    <comment ref="E18" authorId="0">
      <text>
        <r>
          <rPr>
            <b/>
            <sz val="9"/>
            <color indexed="81"/>
            <rFont val="Tahoma"/>
            <family val="2"/>
          </rPr>
          <t>ULINE 3</t>
        </r>
        <r>
          <rPr>
            <b/>
            <sz val="9"/>
            <color indexed="81"/>
            <rFont val="宋体"/>
            <charset val="134"/>
          </rPr>
          <t>款</t>
        </r>
      </text>
    </comment>
    <comment ref="G18" authorId="0">
      <text>
        <r>
          <rPr>
            <b/>
            <sz val="9"/>
            <color indexed="81"/>
            <rFont val="Tahoma"/>
            <family val="2"/>
          </rPr>
          <t>0.37-0.7</t>
        </r>
      </text>
    </comment>
    <comment ref="H18" authorId="0">
      <text>
        <r>
          <rPr>
            <b/>
            <sz val="9"/>
            <color indexed="81"/>
            <rFont val="Tahoma"/>
            <family val="2"/>
          </rPr>
          <t>25M 75FT/</t>
        </r>
        <r>
          <rPr>
            <b/>
            <sz val="9"/>
            <color indexed="81"/>
            <rFont val="宋体"/>
            <charset val="134"/>
          </rPr>
          <t>捲</t>
        </r>
      </text>
    </comment>
    <comment ref="D19" authorId="0">
      <text>
        <r>
          <rPr>
            <b/>
            <sz val="9"/>
            <color indexed="81"/>
            <rFont val="宋体"/>
            <charset val="134"/>
          </rPr>
          <t>T型
貓型
針型</t>
        </r>
      </text>
    </comment>
    <comment ref="E19" authorId="0">
      <text>
        <r>
          <rPr>
            <b/>
            <sz val="9"/>
            <color indexed="81"/>
            <rFont val="Tahoma"/>
            <family val="2"/>
          </rPr>
          <t>1/2" = 12.5mm
3/4" = 20mm</t>
        </r>
      </text>
    </comment>
    <comment ref="F19" authorId="0">
      <text>
        <r>
          <rPr>
            <b/>
            <sz val="9"/>
            <color indexed="81"/>
            <rFont val="宋体"/>
            <charset val="134"/>
          </rPr>
          <t>紅綠藍黑黃</t>
        </r>
      </text>
    </comment>
    <comment ref="G19" authorId="0">
      <text>
        <r>
          <rPr>
            <b/>
            <sz val="9"/>
            <color indexed="81"/>
            <rFont val="Tahoma"/>
            <family val="2"/>
          </rPr>
          <t>0.188-0.258</t>
        </r>
      </text>
    </comment>
    <comment ref="E20" authorId="0">
      <text>
        <r>
          <rPr>
            <b/>
            <sz val="9"/>
            <color indexed="81"/>
            <rFont val="Tahoma"/>
            <family val="2"/>
          </rPr>
          <t>42mmx50m
45mmx70m</t>
        </r>
      </text>
    </comment>
    <comment ref="H20" authorId="0">
      <text>
        <r>
          <rPr>
            <b/>
            <sz val="9"/>
            <color indexed="81"/>
            <rFont val="Tahoma"/>
            <family val="2"/>
          </rPr>
          <t>72</t>
        </r>
        <r>
          <rPr>
            <b/>
            <sz val="9"/>
            <color indexed="81"/>
            <rFont val="宋体"/>
            <charset val="134"/>
          </rPr>
          <t>捲/箱</t>
        </r>
      </text>
    </comment>
    <comment ref="E22" authorId="0">
      <text>
        <r>
          <rPr>
            <b/>
            <sz val="9"/>
            <color indexed="81"/>
            <rFont val="Tahoma"/>
            <family val="2"/>
          </rPr>
          <t>17mm*20m*0.1mm
14mm*7m*0.075mm</t>
        </r>
      </text>
    </comment>
    <comment ref="E24" authorId="0">
      <text>
        <r>
          <rPr>
            <b/>
            <sz val="9"/>
            <color indexed="81"/>
            <rFont val="Tahoma"/>
            <family val="2"/>
          </rPr>
          <t xml:space="preserve">19mmx10m
19mmx20m
</t>
        </r>
      </text>
    </comment>
    <comment ref="F24" authorId="0">
      <text>
        <r>
          <rPr>
            <b/>
            <sz val="9"/>
            <color indexed="81"/>
            <rFont val="宋体"/>
            <charset val="134"/>
          </rPr>
          <t xml:space="preserve">黑白紅藍黃綠
黃綠
透明
</t>
        </r>
      </text>
    </comment>
    <comment ref="G24" authorId="0">
      <text>
        <r>
          <rPr>
            <b/>
            <sz val="9"/>
            <color indexed="81"/>
            <rFont val="Tahoma"/>
            <family val="2"/>
          </rPr>
          <t>0.49-1</t>
        </r>
      </text>
    </comment>
    <comment ref="H24" authorId="0">
      <text>
        <r>
          <rPr>
            <b/>
            <sz val="9"/>
            <color indexed="81"/>
            <rFont val="Tahoma"/>
            <family val="2"/>
          </rPr>
          <t>10</t>
        </r>
        <r>
          <rPr>
            <b/>
            <sz val="9"/>
            <color indexed="81"/>
            <rFont val="宋体"/>
            <charset val="134"/>
          </rPr>
          <t>米/捲
20米/捲</t>
        </r>
      </text>
    </comment>
    <comment ref="E25" authorId="0">
      <text>
        <r>
          <rPr>
            <b/>
            <sz val="9"/>
            <color indexed="81"/>
            <rFont val="Tahoma"/>
            <family val="2"/>
          </rPr>
          <t>9mmx15m
19mmx15m</t>
        </r>
      </text>
    </comment>
    <comment ref="G25" authorId="0">
      <text>
        <r>
          <rPr>
            <b/>
            <sz val="9"/>
            <color indexed="81"/>
            <rFont val="Tahoma"/>
            <family val="2"/>
          </rPr>
          <t>1.3-2.5</t>
        </r>
      </text>
    </comment>
    <comment ref="E26" authorId="0">
      <text>
        <r>
          <rPr>
            <b/>
            <sz val="9"/>
            <color indexed="81"/>
            <rFont val="Tahoma"/>
            <family val="2"/>
          </rPr>
          <t>ULINE 10</t>
        </r>
        <r>
          <rPr>
            <b/>
            <sz val="9"/>
            <color indexed="81"/>
            <rFont val="宋体"/>
            <charset val="134"/>
          </rPr>
          <t xml:space="preserve">款
</t>
        </r>
        <r>
          <rPr>
            <b/>
            <sz val="9"/>
            <color indexed="81"/>
            <rFont val="Tahoma"/>
            <family val="2"/>
          </rPr>
          <t>ebay 6</t>
        </r>
        <r>
          <rPr>
            <b/>
            <sz val="9"/>
            <color indexed="81"/>
            <rFont val="宋体"/>
            <charset val="134"/>
          </rPr>
          <t>款
重覆</t>
        </r>
        <r>
          <rPr>
            <b/>
            <sz val="9"/>
            <color indexed="81"/>
            <rFont val="Tahoma"/>
            <family val="2"/>
          </rPr>
          <t xml:space="preserve"> 3</t>
        </r>
        <r>
          <rPr>
            <b/>
            <sz val="9"/>
            <color indexed="81"/>
            <rFont val="宋体"/>
            <charset val="134"/>
          </rPr>
          <t xml:space="preserve">款
</t>
        </r>
        <r>
          <rPr>
            <b/>
            <sz val="9"/>
            <color indexed="81"/>
            <rFont val="Tahoma"/>
            <family val="2"/>
          </rPr>
          <t xml:space="preserve">3mm x 33m 100FT-1.1
6mm x 33m 100FT-2.1
10mm x 33m 100FT-3.5
12mm x 33m 100FT-4.2
</t>
        </r>
      </text>
    </comment>
    <comment ref="G26" authorId="0">
      <text>
        <r>
          <rPr>
            <b/>
            <sz val="9"/>
            <color indexed="81"/>
            <rFont val="Tahoma"/>
            <family val="2"/>
          </rPr>
          <t>1.1-4.2</t>
        </r>
      </text>
    </comment>
    <comment ref="D27" authorId="0">
      <text>
        <r>
          <rPr>
            <b/>
            <sz val="9"/>
            <color indexed="81"/>
            <rFont val="宋体"/>
            <charset val="134"/>
          </rPr>
          <t>單導</t>
        </r>
        <r>
          <rPr>
            <b/>
            <sz val="9"/>
            <color indexed="81"/>
            <rFont val="Tahoma"/>
            <family val="2"/>
          </rPr>
          <t xml:space="preserve">: insulation
</t>
        </r>
        <r>
          <rPr>
            <b/>
            <sz val="9"/>
            <color indexed="81"/>
            <rFont val="宋体"/>
            <charset val="134"/>
          </rPr>
          <t>雙導</t>
        </r>
        <r>
          <rPr>
            <b/>
            <sz val="9"/>
            <color indexed="81"/>
            <rFont val="Tahoma"/>
            <family val="2"/>
          </rPr>
          <t xml:space="preserve">: conductive
</t>
        </r>
      </text>
    </comment>
    <comment ref="E27" authorId="0">
      <text>
        <r>
          <rPr>
            <b/>
            <sz val="9"/>
            <color indexed="81"/>
            <rFont val="Tahoma"/>
            <family val="2"/>
          </rPr>
          <t>3mm x 20m</t>
        </r>
        <r>
          <rPr>
            <b/>
            <sz val="9"/>
            <color indexed="81"/>
            <rFont val="宋体"/>
            <charset val="134"/>
          </rPr>
          <t xml:space="preserve">
</t>
        </r>
        <r>
          <rPr>
            <b/>
            <sz val="9"/>
            <color indexed="81"/>
            <rFont val="Tahoma"/>
            <family val="2"/>
          </rPr>
          <t>6mm x 20m
20mm x 4m
50mm x 2m</t>
        </r>
        <r>
          <rPr>
            <b/>
            <sz val="9"/>
            <color indexed="81"/>
            <rFont val="宋体"/>
            <charset val="134"/>
          </rPr>
          <t xml:space="preserve">
单导</t>
        </r>
        <r>
          <rPr>
            <b/>
            <sz val="9"/>
            <color indexed="81"/>
            <rFont val="Tahoma"/>
            <family val="2"/>
          </rPr>
          <t xml:space="preserve">3mm x 30m-1.98
</t>
        </r>
        <r>
          <rPr>
            <b/>
            <sz val="9"/>
            <color indexed="81"/>
            <rFont val="宋体"/>
            <charset val="134"/>
          </rPr>
          <t>单导</t>
        </r>
        <r>
          <rPr>
            <b/>
            <sz val="9"/>
            <color indexed="81"/>
            <rFont val="Tahoma"/>
            <family val="2"/>
          </rPr>
          <t>6mm x 10m-1.8</t>
        </r>
        <r>
          <rPr>
            <b/>
            <sz val="9"/>
            <color indexed="81"/>
            <rFont val="宋体"/>
            <charset val="134"/>
          </rPr>
          <t xml:space="preserve">
单导</t>
        </r>
        <r>
          <rPr>
            <b/>
            <sz val="9"/>
            <color indexed="81"/>
            <rFont val="Tahoma"/>
            <family val="2"/>
          </rPr>
          <t xml:space="preserve">6mm x 30m-3.6
</t>
        </r>
        <r>
          <rPr>
            <b/>
            <sz val="9"/>
            <color indexed="81"/>
            <rFont val="宋体"/>
            <charset val="134"/>
          </rPr>
          <t>单导</t>
        </r>
        <r>
          <rPr>
            <b/>
            <sz val="9"/>
            <color indexed="81"/>
            <rFont val="Tahoma"/>
            <family val="2"/>
          </rPr>
          <t>12mm x 10m-3.6</t>
        </r>
        <r>
          <rPr>
            <b/>
            <sz val="9"/>
            <color indexed="81"/>
            <rFont val="宋体"/>
            <charset val="134"/>
          </rPr>
          <t xml:space="preserve">
双导</t>
        </r>
        <r>
          <rPr>
            <b/>
            <sz val="9"/>
            <color indexed="81"/>
            <rFont val="Tahoma"/>
            <family val="2"/>
          </rPr>
          <t xml:space="preserve">6mm x 10m-1.6
</t>
        </r>
        <r>
          <rPr>
            <b/>
            <sz val="9"/>
            <color indexed="81"/>
            <rFont val="宋体"/>
            <charset val="134"/>
          </rPr>
          <t>双导</t>
        </r>
        <r>
          <rPr>
            <b/>
            <sz val="9"/>
            <color indexed="81"/>
            <rFont val="Tahoma"/>
            <family val="2"/>
          </rPr>
          <t xml:space="preserve">6mm x 20m-3.98
</t>
        </r>
        <r>
          <rPr>
            <b/>
            <sz val="9"/>
            <color indexed="81"/>
            <rFont val="宋体"/>
            <charset val="134"/>
          </rPr>
          <t>双导</t>
        </r>
        <r>
          <rPr>
            <b/>
            <sz val="9"/>
            <color indexed="81"/>
            <rFont val="Tahoma"/>
            <family val="2"/>
          </rPr>
          <t xml:space="preserve">12mm x 20m-3.2
</t>
        </r>
      </text>
    </comment>
    <comment ref="G27" authorId="0">
      <text>
        <r>
          <rPr>
            <b/>
            <sz val="9"/>
            <color indexed="81"/>
            <rFont val="Tahoma"/>
            <family val="2"/>
          </rPr>
          <t>1.98-3.9</t>
        </r>
      </text>
    </comment>
    <comment ref="E28" authorId="0">
      <text>
        <r>
          <rPr>
            <b/>
            <sz val="9"/>
            <color indexed="81"/>
            <rFont val="Tahoma"/>
            <family val="2"/>
          </rPr>
          <t>50mm x 17m</t>
        </r>
        <r>
          <rPr>
            <b/>
            <sz val="9"/>
            <color indexed="81"/>
            <rFont val="宋体"/>
            <charset val="134"/>
          </rPr>
          <t xml:space="preserve">
</t>
        </r>
        <r>
          <rPr>
            <b/>
            <sz val="9"/>
            <color indexed="81"/>
            <rFont val="Tahoma"/>
            <family val="2"/>
          </rPr>
          <t>50mm x 25m</t>
        </r>
      </text>
    </comment>
    <comment ref="G28" authorId="0">
      <text>
        <r>
          <rPr>
            <b/>
            <sz val="9"/>
            <color indexed="81"/>
            <rFont val="Tahoma"/>
            <family val="2"/>
          </rPr>
          <t>1.9-2.8</t>
        </r>
      </text>
    </comment>
    <comment ref="E29" authorId="0">
      <text>
        <r>
          <rPr>
            <b/>
            <sz val="9"/>
            <color indexed="81"/>
            <rFont val="Tahoma"/>
            <family val="2"/>
          </rPr>
          <t>25mm x 1.2m</t>
        </r>
      </text>
    </comment>
    <comment ref="F29" authorId="0">
      <text>
        <r>
          <rPr>
            <b/>
            <sz val="9"/>
            <color indexed="81"/>
            <rFont val="宋体"/>
            <charset val="134"/>
          </rPr>
          <t xml:space="preserve">黑紅黃藍紫
</t>
        </r>
      </text>
    </comment>
    <comment ref="E30" authorId="0">
      <text>
        <r>
          <rPr>
            <b/>
            <sz val="9"/>
            <color indexed="81"/>
            <rFont val="Tahoma"/>
            <family val="2"/>
          </rPr>
          <t>12mm x 27m 90ft</t>
        </r>
      </text>
    </comment>
    <comment ref="F30" authorId="0">
      <text>
        <r>
          <rPr>
            <b/>
            <sz val="9"/>
            <color indexed="81"/>
            <rFont val="宋体"/>
            <charset val="134"/>
          </rPr>
          <t>各色綠/棕為主
白灰黑金深紅</t>
        </r>
      </text>
    </comment>
    <comment ref="E31" authorId="0">
      <text>
        <r>
          <rPr>
            <b/>
            <sz val="9"/>
            <color indexed="81"/>
            <rFont val="Tahoma"/>
            <family val="2"/>
          </rPr>
          <t>20mm x 100m
25mm x 100m</t>
        </r>
      </text>
    </comment>
    <comment ref="F31" authorId="0">
      <text>
        <r>
          <rPr>
            <b/>
            <sz val="9"/>
            <color indexed="81"/>
            <rFont val="宋体"/>
            <charset val="134"/>
          </rPr>
          <t xml:space="preserve">透明綠
</t>
        </r>
      </text>
    </comment>
    <comment ref="G31" authorId="0">
      <text>
        <r>
          <rPr>
            <b/>
            <sz val="9"/>
            <color indexed="81"/>
            <rFont val="Tahoma"/>
            <family val="2"/>
          </rPr>
          <t>1.2-2</t>
        </r>
      </text>
    </comment>
    <comment ref="E32" authorId="0">
      <text>
        <r>
          <rPr>
            <b/>
            <sz val="9"/>
            <color indexed="81"/>
            <rFont val="Tahoma"/>
            <family val="2"/>
          </rPr>
          <t>25mm x 5m
x-38mm x 5m</t>
        </r>
      </text>
    </comment>
    <comment ref="F32"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G32" authorId="0">
      <text>
        <r>
          <rPr>
            <b/>
            <sz val="9"/>
            <color indexed="81"/>
            <rFont val="Tahoma"/>
            <family val="2"/>
          </rPr>
          <t>2.5-3.8</t>
        </r>
      </text>
    </comment>
    <comment ref="E33" authorId="0">
      <text>
        <r>
          <rPr>
            <b/>
            <sz val="9"/>
            <color indexed="81"/>
            <rFont val="Tahoma"/>
            <family val="2"/>
          </rPr>
          <t>25mm x 4.5m
50mm x 4.5m</t>
        </r>
      </text>
    </comment>
    <comment ref="F33"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G33" authorId="0">
      <text>
        <r>
          <rPr>
            <b/>
            <sz val="9"/>
            <color indexed="81"/>
            <rFont val="Tahoma"/>
            <family val="2"/>
          </rPr>
          <t>0.55-1.1</t>
        </r>
      </text>
    </comment>
    <comment ref="E34" authorId="0">
      <text>
        <r>
          <rPr>
            <b/>
            <sz val="9"/>
            <color indexed="81"/>
            <rFont val="Tahoma"/>
            <family val="2"/>
          </rPr>
          <t>25mm x 4.5m
50mm x 4.5m</t>
        </r>
      </text>
    </comment>
    <comment ref="F34"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G34" authorId="0">
      <text>
        <r>
          <rPr>
            <b/>
            <sz val="9"/>
            <color indexed="81"/>
            <rFont val="Tahoma"/>
            <family val="2"/>
          </rPr>
          <t>0.55-1.1</t>
        </r>
      </text>
    </comment>
    <comment ref="E35" authorId="0">
      <text>
        <r>
          <rPr>
            <b/>
            <sz val="9"/>
            <color indexed="81"/>
            <rFont val="Tahoma"/>
            <family val="2"/>
          </rPr>
          <t>25mm x 4.5m
50mm x 4.5m</t>
        </r>
      </text>
    </comment>
    <comment ref="F35" authorId="0">
      <text>
        <r>
          <rPr>
            <b/>
            <sz val="9"/>
            <color indexed="81"/>
            <rFont val="Tahoma"/>
            <family val="2"/>
          </rPr>
          <t>TB: 16(</t>
        </r>
        <r>
          <rPr>
            <b/>
            <sz val="9"/>
            <color indexed="81"/>
            <rFont val="宋体"/>
            <charset val="134"/>
          </rPr>
          <t>含迷彩</t>
        </r>
        <r>
          <rPr>
            <b/>
            <sz val="9"/>
            <color indexed="81"/>
            <rFont val="Tahoma"/>
            <family val="2"/>
          </rPr>
          <t xml:space="preserve">3)
ebay: 12
</t>
        </r>
        <r>
          <rPr>
            <b/>
            <sz val="9"/>
            <color indexed="81"/>
            <rFont val="宋体"/>
            <charset val="134"/>
          </rPr>
          <t xml:space="preserve">除迷彩黑白
</t>
        </r>
      </text>
    </comment>
    <comment ref="G35" authorId="0">
      <text>
        <r>
          <rPr>
            <b/>
            <sz val="9"/>
            <color indexed="81"/>
            <rFont val="Tahoma"/>
            <family val="2"/>
          </rPr>
          <t>0.55-1.1</t>
        </r>
      </text>
    </comment>
    <comment ref="E36" authorId="0">
      <text>
        <r>
          <rPr>
            <b/>
            <sz val="9"/>
            <color indexed="81"/>
            <rFont val="Tahoma"/>
            <family val="2"/>
          </rPr>
          <t>50mm x 1m
50mm x 3m</t>
        </r>
      </text>
    </comment>
    <comment ref="F36" authorId="0">
      <text>
        <r>
          <rPr>
            <b/>
            <sz val="9"/>
            <color indexed="81"/>
            <rFont val="宋体"/>
            <charset val="134"/>
          </rPr>
          <t>純色晶格</t>
        </r>
        <r>
          <rPr>
            <b/>
            <sz val="9"/>
            <color indexed="81"/>
            <rFont val="Tahoma"/>
            <family val="2"/>
          </rPr>
          <t xml:space="preserve">: 5
</t>
        </r>
        <r>
          <rPr>
            <b/>
            <sz val="9"/>
            <color indexed="81"/>
            <rFont val="宋体"/>
            <charset val="134"/>
          </rPr>
          <t>箭頭</t>
        </r>
        <r>
          <rPr>
            <b/>
            <sz val="9"/>
            <color indexed="81"/>
            <rFont val="Tahoma"/>
            <family val="2"/>
          </rPr>
          <t>: 5
x-</t>
        </r>
        <r>
          <rPr>
            <b/>
            <sz val="9"/>
            <color indexed="81"/>
            <rFont val="宋体"/>
            <charset val="134"/>
          </rPr>
          <t>方格</t>
        </r>
        <r>
          <rPr>
            <b/>
            <sz val="9"/>
            <color indexed="81"/>
            <rFont val="Tahoma"/>
            <family val="2"/>
          </rPr>
          <t>: 5
x-</t>
        </r>
        <r>
          <rPr>
            <b/>
            <sz val="9"/>
            <color indexed="81"/>
            <rFont val="宋体"/>
            <charset val="134"/>
          </rPr>
          <t>斜格</t>
        </r>
        <r>
          <rPr>
            <b/>
            <sz val="9"/>
            <color indexed="81"/>
            <rFont val="Tahoma"/>
            <family val="2"/>
          </rPr>
          <t xml:space="preserve">: 5
</t>
        </r>
      </text>
    </comment>
    <comment ref="E37" authorId="0">
      <text>
        <r>
          <rPr>
            <b/>
            <sz val="9"/>
            <color indexed="81"/>
            <rFont val="Tahoma"/>
            <family val="2"/>
          </rPr>
          <t xml:space="preserve">2.5cm*1.5cm*X
5cm*1.5cm*X
</t>
        </r>
      </text>
    </comment>
    <comment ref="F37" authorId="0">
      <text>
        <r>
          <rPr>
            <b/>
            <sz val="9"/>
            <color indexed="81"/>
            <rFont val="宋体"/>
            <charset val="134"/>
          </rPr>
          <t>螢光綠
螢光橘
灰</t>
        </r>
      </text>
    </comment>
    <comment ref="E38" authorId="0">
      <text>
        <r>
          <rPr>
            <b/>
            <sz val="9"/>
            <color indexed="81"/>
            <rFont val="Tahoma"/>
            <family val="2"/>
          </rPr>
          <t>48mm x 18m</t>
        </r>
      </text>
    </comment>
    <comment ref="F38" authorId="0">
      <text>
        <r>
          <rPr>
            <b/>
            <sz val="9"/>
            <color indexed="81"/>
            <rFont val="宋体"/>
            <charset val="134"/>
          </rPr>
          <t>黃綠紅黑相間</t>
        </r>
      </text>
    </comment>
    <comment ref="E39" authorId="0">
      <text>
        <r>
          <rPr>
            <b/>
            <sz val="9"/>
            <color indexed="81"/>
            <rFont val="Tahoma"/>
            <family val="2"/>
          </rPr>
          <t>10mm x 1m
20mm x 1m</t>
        </r>
      </text>
    </comment>
    <comment ref="G39" authorId="0">
      <text>
        <r>
          <rPr>
            <b/>
            <sz val="9"/>
            <color indexed="81"/>
            <rFont val="Tahoma"/>
            <family val="2"/>
          </rPr>
          <t>1.2-2</t>
        </r>
      </text>
    </comment>
    <comment ref="E40" authorId="0">
      <text>
        <r>
          <rPr>
            <b/>
            <sz val="9"/>
            <color indexed="81"/>
            <rFont val="Tahoma"/>
            <family val="2"/>
          </rPr>
          <t>2mm x 3m
6mm x 3m-0.53
12mm x 3m-1.06
20mm x 3m-1.76
25mm x 3m-2.25
40mm x 3m
50mm x 3m</t>
        </r>
      </text>
    </comment>
    <comment ref="G40" authorId="0">
      <text>
        <r>
          <rPr>
            <b/>
            <sz val="9"/>
            <color indexed="81"/>
            <rFont val="Tahoma"/>
            <family val="2"/>
          </rPr>
          <t>0.53-2.25</t>
        </r>
      </text>
    </comment>
    <comment ref="E41" authorId="0">
      <text>
        <r>
          <rPr>
            <b/>
            <sz val="9"/>
            <color indexed="81"/>
            <rFont val="Tahoma"/>
            <family val="2"/>
          </rPr>
          <t>2mm x 3m
6mm x 3m-0.53
12mm x 3m-1.06
20mm x 3m-1.76
25mm x 3m-2.25</t>
        </r>
      </text>
    </comment>
    <comment ref="G41" authorId="0">
      <text>
        <r>
          <rPr>
            <b/>
            <sz val="9"/>
            <color indexed="81"/>
            <rFont val="Tahoma"/>
            <family val="2"/>
          </rPr>
          <t>0.53-2.25</t>
        </r>
      </text>
    </comment>
    <comment ref="E42" authorId="0">
      <text>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1m-2
</t>
        </r>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3m-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1m-1.85</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2cm*</t>
        </r>
        <r>
          <rPr>
            <b/>
            <sz val="9"/>
            <color indexed="81"/>
            <rFont val="宋体"/>
            <charset val="134"/>
          </rPr>
          <t>长</t>
        </r>
        <r>
          <rPr>
            <b/>
            <sz val="9"/>
            <color indexed="81"/>
            <rFont val="Tahoma"/>
            <family val="2"/>
          </rPr>
          <t xml:space="preserve">5m
</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1cm*</t>
        </r>
        <r>
          <rPr>
            <b/>
            <sz val="9"/>
            <color indexed="81"/>
            <rFont val="宋体"/>
            <charset val="134"/>
          </rPr>
          <t>长</t>
        </r>
        <r>
          <rPr>
            <b/>
            <sz val="9"/>
            <color indexed="81"/>
            <rFont val="Tahoma"/>
            <family val="2"/>
          </rPr>
          <t>1m-0.72</t>
        </r>
        <r>
          <rPr>
            <b/>
            <sz val="9"/>
            <color indexed="81"/>
            <rFont val="宋体"/>
            <charset val="134"/>
          </rPr>
          <t xml:space="preserve">
厚</t>
        </r>
        <r>
          <rPr>
            <b/>
            <sz val="9"/>
            <color indexed="81"/>
            <rFont val="Tahoma"/>
            <family val="2"/>
          </rPr>
          <t>1mm*</t>
        </r>
        <r>
          <rPr>
            <b/>
            <sz val="9"/>
            <color indexed="81"/>
            <rFont val="宋体"/>
            <charset val="134"/>
          </rPr>
          <t>宽</t>
        </r>
        <r>
          <rPr>
            <b/>
            <sz val="9"/>
            <color indexed="81"/>
            <rFont val="Tahoma"/>
            <family val="2"/>
          </rPr>
          <t>2cm*</t>
        </r>
        <r>
          <rPr>
            <b/>
            <sz val="9"/>
            <color indexed="81"/>
            <rFont val="宋体"/>
            <charset val="134"/>
          </rPr>
          <t>长</t>
        </r>
        <r>
          <rPr>
            <b/>
            <sz val="9"/>
            <color indexed="81"/>
            <rFont val="Tahoma"/>
            <family val="2"/>
          </rPr>
          <t>3M-2(</t>
        </r>
        <r>
          <rPr>
            <b/>
            <sz val="9"/>
            <color indexed="81"/>
            <rFont val="宋体"/>
            <charset val="134"/>
          </rPr>
          <t>红膜</t>
        </r>
        <r>
          <rPr>
            <b/>
            <sz val="9"/>
            <color indexed="81"/>
            <rFont val="Tahoma"/>
            <family val="2"/>
          </rPr>
          <t xml:space="preserve">)
</t>
        </r>
        <r>
          <rPr>
            <b/>
            <sz val="9"/>
            <color indexed="81"/>
            <rFont val="宋体"/>
            <charset val="134"/>
          </rPr>
          <t>厚</t>
        </r>
        <r>
          <rPr>
            <b/>
            <sz val="9"/>
            <color indexed="81"/>
            <rFont val="Tahoma"/>
            <family val="2"/>
          </rPr>
          <t>1mm*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3M-3(</t>
        </r>
        <r>
          <rPr>
            <b/>
            <sz val="9"/>
            <color indexed="81"/>
            <rFont val="宋体"/>
            <charset val="134"/>
          </rPr>
          <t>红膜</t>
        </r>
        <r>
          <rPr>
            <b/>
            <sz val="9"/>
            <color indexed="81"/>
            <rFont val="Tahoma"/>
            <family val="2"/>
          </rPr>
          <t xml:space="preserve">)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1cm*</t>
        </r>
        <r>
          <rPr>
            <b/>
            <sz val="9"/>
            <color indexed="81"/>
            <rFont val="宋体"/>
            <charset val="134"/>
          </rPr>
          <t>长</t>
        </r>
        <r>
          <rPr>
            <b/>
            <sz val="9"/>
            <color indexed="81"/>
            <rFont val="Tahoma"/>
            <family val="2"/>
          </rPr>
          <t xml:space="preserve">1m-0.85
</t>
        </r>
        <r>
          <rPr>
            <b/>
            <sz val="9"/>
            <color indexed="81"/>
            <rFont val="宋体"/>
            <charset val="134"/>
          </rPr>
          <t>厚</t>
        </r>
        <r>
          <rPr>
            <b/>
            <sz val="9"/>
            <color indexed="81"/>
            <rFont val="Tahoma"/>
            <family val="2"/>
          </rPr>
          <t>2mm*</t>
        </r>
        <r>
          <rPr>
            <b/>
            <sz val="9"/>
            <color indexed="81"/>
            <rFont val="宋体"/>
            <charset val="134"/>
          </rPr>
          <t>宽</t>
        </r>
        <r>
          <rPr>
            <b/>
            <sz val="9"/>
            <color indexed="81"/>
            <rFont val="Tahoma"/>
            <family val="2"/>
          </rPr>
          <t>3cm*</t>
        </r>
        <r>
          <rPr>
            <b/>
            <sz val="9"/>
            <color indexed="81"/>
            <rFont val="宋体"/>
            <charset val="134"/>
          </rPr>
          <t>长</t>
        </r>
        <r>
          <rPr>
            <b/>
            <sz val="9"/>
            <color indexed="81"/>
            <rFont val="Tahoma"/>
            <family val="2"/>
          </rPr>
          <t xml:space="preserve">2m-3.4
</t>
        </r>
      </text>
    </comment>
    <comment ref="G42" authorId="0">
      <text>
        <r>
          <rPr>
            <b/>
            <sz val="9"/>
            <color indexed="81"/>
            <rFont val="Tahoma"/>
            <family val="2"/>
          </rPr>
          <t>0.72-3.4</t>
        </r>
      </text>
    </comment>
    <comment ref="E43" authorId="0">
      <text>
        <r>
          <rPr>
            <b/>
            <sz val="9"/>
            <color indexed="81"/>
            <rFont val="Tahoma"/>
            <family val="2"/>
          </rPr>
          <t xml:space="preserve">10cm*1.5m
10cm*10cm
</t>
        </r>
        <r>
          <rPr>
            <b/>
            <sz val="9"/>
            <color indexed="81"/>
            <rFont val="宋体"/>
            <charset val="134"/>
          </rPr>
          <t xml:space="preserve">
黑色切片</t>
        </r>
        <r>
          <rPr>
            <b/>
            <sz val="9"/>
            <color indexed="81"/>
            <rFont val="Tahoma"/>
            <family val="2"/>
          </rPr>
          <t xml:space="preserve">10cm*10cm-0.58
</t>
        </r>
        <r>
          <rPr>
            <b/>
            <sz val="9"/>
            <color indexed="81"/>
            <rFont val="宋体"/>
            <charset val="134"/>
          </rPr>
          <t>白色切片</t>
        </r>
        <r>
          <rPr>
            <b/>
            <sz val="9"/>
            <color indexed="81"/>
            <rFont val="Tahoma"/>
            <family val="2"/>
          </rPr>
          <t>20</t>
        </r>
        <r>
          <rPr>
            <b/>
            <sz val="9"/>
            <color indexed="81"/>
            <rFont val="宋体"/>
            <charset val="134"/>
          </rPr>
          <t>厘米</t>
        </r>
        <r>
          <rPr>
            <b/>
            <sz val="9"/>
            <color indexed="81"/>
            <rFont val="Tahoma"/>
            <family val="2"/>
          </rPr>
          <t>*20</t>
        </r>
        <r>
          <rPr>
            <b/>
            <sz val="9"/>
            <color indexed="81"/>
            <rFont val="宋体"/>
            <charset val="134"/>
          </rPr>
          <t>厘米</t>
        </r>
        <r>
          <rPr>
            <b/>
            <sz val="9"/>
            <color indexed="81"/>
            <rFont val="Tahoma"/>
            <family val="2"/>
          </rPr>
          <t xml:space="preserve">-1.45
</t>
        </r>
        <r>
          <rPr>
            <b/>
            <sz val="9"/>
            <color indexed="81"/>
            <rFont val="宋体"/>
            <charset val="134"/>
          </rPr>
          <t>白色</t>
        </r>
        <r>
          <rPr>
            <b/>
            <sz val="9"/>
            <color indexed="81"/>
            <rFont val="Tahoma"/>
            <family val="2"/>
          </rPr>
          <t>0.5MM*2.5CM*1</t>
        </r>
        <r>
          <rPr>
            <b/>
            <sz val="9"/>
            <color indexed="81"/>
            <rFont val="宋体"/>
            <charset val="134"/>
          </rPr>
          <t>米</t>
        </r>
        <r>
          <rPr>
            <b/>
            <sz val="9"/>
            <color indexed="81"/>
            <rFont val="Tahoma"/>
            <family val="2"/>
          </rPr>
          <t xml:space="preserve">-2.9
</t>
        </r>
        <r>
          <rPr>
            <b/>
            <sz val="9"/>
            <color indexed="81"/>
            <rFont val="宋体"/>
            <charset val="134"/>
          </rPr>
          <t>新上无彩卡黑色</t>
        </r>
        <r>
          <rPr>
            <b/>
            <sz val="9"/>
            <color indexed="81"/>
            <rFont val="Tahoma"/>
            <family val="2"/>
          </rPr>
          <t xml:space="preserve"> </t>
        </r>
        <r>
          <rPr>
            <b/>
            <sz val="9"/>
            <color indexed="81"/>
            <rFont val="宋体"/>
            <charset val="134"/>
          </rPr>
          <t>宽度厚</t>
        </r>
        <r>
          <rPr>
            <b/>
            <sz val="9"/>
            <color indexed="81"/>
            <rFont val="Tahoma"/>
            <family val="2"/>
          </rPr>
          <t>(5</t>
        </r>
        <r>
          <rPr>
            <b/>
            <sz val="9"/>
            <color indexed="81"/>
            <rFont val="宋体"/>
            <charset val="134"/>
          </rPr>
          <t>厘米</t>
        </r>
        <r>
          <rPr>
            <b/>
            <sz val="9"/>
            <color indexed="81"/>
            <rFont val="Tahoma"/>
            <family val="2"/>
          </rPr>
          <t>)*1.5</t>
        </r>
        <r>
          <rPr>
            <b/>
            <sz val="9"/>
            <color indexed="81"/>
            <rFont val="宋体"/>
            <charset val="134"/>
          </rPr>
          <t>米</t>
        </r>
        <r>
          <rPr>
            <b/>
            <sz val="9"/>
            <color indexed="81"/>
            <rFont val="Tahoma"/>
            <family val="2"/>
          </rPr>
          <t>-2.8</t>
        </r>
      </text>
    </comment>
    <comment ref="G43" authorId="0">
      <text>
        <r>
          <rPr>
            <b/>
            <sz val="9"/>
            <color indexed="81"/>
            <rFont val="Tahoma"/>
            <family val="2"/>
          </rPr>
          <t>0.5-2.9</t>
        </r>
      </text>
    </comment>
    <comment ref="G48" authorId="0">
      <text>
        <r>
          <rPr>
            <b/>
            <sz val="9"/>
            <color indexed="81"/>
            <rFont val="Tahoma"/>
            <family val="2"/>
          </rPr>
          <t>0.16-0.85</t>
        </r>
      </text>
    </comment>
    <comment ref="E49" authorId="0">
      <text>
        <r>
          <rPr>
            <b/>
            <sz val="9"/>
            <color indexed="81"/>
            <rFont val="宋体"/>
            <charset val="134"/>
          </rPr>
          <t>膠帶</t>
        </r>
        <r>
          <rPr>
            <b/>
            <sz val="9"/>
            <color indexed="81"/>
            <rFont val="Tahoma"/>
            <family val="2"/>
          </rPr>
          <t>: 100</t>
        </r>
        <r>
          <rPr>
            <b/>
            <sz val="9"/>
            <color indexed="81"/>
            <rFont val="宋体"/>
            <charset val="134"/>
          </rPr>
          <t>粒</t>
        </r>
        <r>
          <rPr>
            <b/>
            <sz val="9"/>
            <color indexed="81"/>
            <rFont val="Tahoma"/>
            <family val="2"/>
          </rPr>
          <t>-0.85
13mm</t>
        </r>
        <r>
          <rPr>
            <b/>
            <sz val="9"/>
            <color indexed="81"/>
            <rFont val="宋体"/>
            <charset val="134"/>
          </rPr>
          <t>紙片</t>
        </r>
        <r>
          <rPr>
            <b/>
            <sz val="9"/>
            <color indexed="81"/>
            <rFont val="Tahoma"/>
            <family val="2"/>
          </rPr>
          <t>: 20</t>
        </r>
        <r>
          <rPr>
            <b/>
            <sz val="9"/>
            <color indexed="81"/>
            <rFont val="宋体"/>
            <charset val="134"/>
          </rPr>
          <t>粒</t>
        </r>
        <r>
          <rPr>
            <b/>
            <sz val="9"/>
            <color indexed="81"/>
            <rFont val="Tahoma"/>
            <family val="2"/>
          </rPr>
          <t>-0.17
10mm</t>
        </r>
        <r>
          <rPr>
            <b/>
            <sz val="9"/>
            <color indexed="81"/>
            <rFont val="宋体"/>
            <charset val="134"/>
          </rPr>
          <t>紙片</t>
        </r>
        <r>
          <rPr>
            <b/>
            <sz val="9"/>
            <color indexed="81"/>
            <rFont val="Tahoma"/>
            <family val="2"/>
          </rPr>
          <t>: 20</t>
        </r>
        <r>
          <rPr>
            <b/>
            <sz val="9"/>
            <color indexed="81"/>
            <rFont val="宋体"/>
            <charset val="134"/>
          </rPr>
          <t>粒</t>
        </r>
        <r>
          <rPr>
            <b/>
            <sz val="9"/>
            <color indexed="81"/>
            <rFont val="Tahoma"/>
            <family val="2"/>
          </rPr>
          <t>-0.16</t>
        </r>
      </text>
    </comment>
    <comment ref="G49" authorId="0">
      <text>
        <r>
          <rPr>
            <b/>
            <sz val="9"/>
            <color indexed="81"/>
            <rFont val="Tahoma"/>
            <family val="2"/>
          </rPr>
          <t>0.16-0.85</t>
        </r>
      </text>
    </comment>
    <comment ref="G50" authorId="0">
      <text>
        <r>
          <rPr>
            <b/>
            <sz val="9"/>
            <color indexed="81"/>
            <rFont val="Tahoma"/>
            <family val="2"/>
          </rPr>
          <t>0.16-0.85</t>
        </r>
      </text>
    </comment>
    <comment ref="E51" authorId="0">
      <text>
        <r>
          <rPr>
            <b/>
            <sz val="9"/>
            <color indexed="81"/>
            <rFont val="Tahoma"/>
            <family val="2"/>
          </rPr>
          <t>ULINE 5</t>
        </r>
        <r>
          <rPr>
            <b/>
            <sz val="9"/>
            <color indexed="81"/>
            <rFont val="宋体"/>
            <charset val="134"/>
          </rPr>
          <t xml:space="preserve">款
</t>
        </r>
        <r>
          <rPr>
            <b/>
            <sz val="9"/>
            <color indexed="81"/>
            <rFont val="Tahoma"/>
            <family val="2"/>
          </rPr>
          <t>ebay 10</t>
        </r>
        <r>
          <rPr>
            <b/>
            <sz val="9"/>
            <color indexed="81"/>
            <rFont val="宋体"/>
            <charset val="134"/>
          </rPr>
          <t xml:space="preserve">款
</t>
        </r>
        <r>
          <rPr>
            <b/>
            <sz val="9"/>
            <color indexed="81"/>
            <rFont val="Tahoma"/>
            <family val="2"/>
          </rPr>
          <t xml:space="preserve">6mm x 12m-0.31
10mm x 12m-0.49
12mm x 12m-0.58
20mm x 12m-0.96
25mm x 12m-1.2
50mm x 12m-2.4
?-3mm x 12m
</t>
        </r>
      </text>
    </comment>
    <comment ref="F51" authorId="0">
      <text>
        <r>
          <rPr>
            <b/>
            <sz val="9"/>
            <color indexed="81"/>
            <rFont val="Tahoma"/>
            <family val="2"/>
          </rPr>
          <t xml:space="preserve">ULINE: </t>
        </r>
        <r>
          <rPr>
            <b/>
            <sz val="9"/>
            <color indexed="81"/>
            <rFont val="宋体"/>
            <charset val="134"/>
          </rPr>
          <t>原</t>
        </r>
        <r>
          <rPr>
            <b/>
            <sz val="9"/>
            <color indexed="81"/>
            <rFont val="Tahoma"/>
            <family val="2"/>
          </rPr>
          <t>+8</t>
        </r>
        <r>
          <rPr>
            <b/>
            <sz val="9"/>
            <color indexed="81"/>
            <rFont val="宋体"/>
            <charset val="134"/>
          </rPr>
          <t xml:space="preserve">色
</t>
        </r>
      </text>
    </comment>
    <comment ref="G51" authorId="0">
      <text>
        <r>
          <rPr>
            <b/>
            <sz val="9"/>
            <color indexed="81"/>
            <rFont val="Tahoma"/>
            <family val="2"/>
          </rPr>
          <t>0.31-2.4</t>
        </r>
      </text>
    </comment>
    <comment ref="E52" authorId="0">
      <text>
        <r>
          <rPr>
            <b/>
            <sz val="9"/>
            <color indexed="81"/>
            <rFont val="Tahoma"/>
            <family val="2"/>
          </rPr>
          <t>ULINE 7</t>
        </r>
        <r>
          <rPr>
            <b/>
            <sz val="9"/>
            <color indexed="81"/>
            <rFont val="宋体"/>
            <charset val="134"/>
          </rPr>
          <t>款</t>
        </r>
        <r>
          <rPr>
            <b/>
            <sz val="9"/>
            <color indexed="81"/>
            <rFont val="Tahoma"/>
            <family val="2"/>
          </rPr>
          <t xml:space="preserve">
</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 xml:space="preserve">2.5mm-1000-6.6
</t>
        </r>
        <r>
          <rPr>
            <b/>
            <sz val="9"/>
            <color indexed="81"/>
            <rFont val="宋体"/>
            <charset val="134"/>
          </rPr>
          <t>国标</t>
        </r>
        <r>
          <rPr>
            <b/>
            <sz val="9"/>
            <color indexed="81"/>
            <rFont val="Tahoma"/>
            <family val="2"/>
          </rPr>
          <t>4*150</t>
        </r>
        <r>
          <rPr>
            <b/>
            <sz val="9"/>
            <color indexed="81"/>
            <rFont val="宋体"/>
            <charset val="134"/>
          </rPr>
          <t>宽</t>
        </r>
        <r>
          <rPr>
            <b/>
            <sz val="9"/>
            <color indexed="81"/>
            <rFont val="Tahoma"/>
            <family val="2"/>
          </rPr>
          <t xml:space="preserve">3.6mm-500-7.99
</t>
        </r>
        <r>
          <rPr>
            <b/>
            <sz val="9"/>
            <color indexed="81"/>
            <rFont val="宋体"/>
            <charset val="134"/>
          </rPr>
          <t>国标</t>
        </r>
        <r>
          <rPr>
            <b/>
            <sz val="9"/>
            <color indexed="81"/>
            <rFont val="Tahoma"/>
            <family val="2"/>
          </rPr>
          <t>4*200</t>
        </r>
        <r>
          <rPr>
            <b/>
            <sz val="9"/>
            <color indexed="81"/>
            <rFont val="宋体"/>
            <charset val="134"/>
          </rPr>
          <t>宽</t>
        </r>
        <r>
          <rPr>
            <b/>
            <sz val="9"/>
            <color indexed="81"/>
            <rFont val="Tahoma"/>
            <family val="2"/>
          </rPr>
          <t xml:space="preserve">3.6mm-500-10.4
</t>
        </r>
        <r>
          <rPr>
            <b/>
            <sz val="9"/>
            <color indexed="81"/>
            <rFont val="宋体"/>
            <charset val="134"/>
          </rPr>
          <t>国标</t>
        </r>
        <r>
          <rPr>
            <b/>
            <sz val="9"/>
            <color indexed="81"/>
            <rFont val="Tahoma"/>
            <family val="2"/>
          </rPr>
          <t>5*300</t>
        </r>
        <r>
          <rPr>
            <b/>
            <sz val="9"/>
            <color indexed="81"/>
            <rFont val="宋体"/>
            <charset val="134"/>
          </rPr>
          <t>宽</t>
        </r>
        <r>
          <rPr>
            <b/>
            <sz val="9"/>
            <color indexed="81"/>
            <rFont val="Tahoma"/>
            <family val="2"/>
          </rPr>
          <t xml:space="preserve">4.8mm-250-11.2
</t>
        </r>
        <r>
          <rPr>
            <b/>
            <sz val="9"/>
            <color indexed="81"/>
            <rFont val="宋体"/>
            <charset val="134"/>
          </rPr>
          <t>国标</t>
        </r>
        <r>
          <rPr>
            <b/>
            <sz val="9"/>
            <color indexed="81"/>
            <rFont val="Tahoma"/>
            <family val="2"/>
          </rPr>
          <t>5*350</t>
        </r>
        <r>
          <rPr>
            <b/>
            <sz val="9"/>
            <color indexed="81"/>
            <rFont val="宋体"/>
            <charset val="134"/>
          </rPr>
          <t>宽</t>
        </r>
        <r>
          <rPr>
            <b/>
            <sz val="9"/>
            <color indexed="81"/>
            <rFont val="Tahoma"/>
            <family val="2"/>
          </rPr>
          <t xml:space="preserve">4.8mm-250-13.5
</t>
        </r>
        <r>
          <rPr>
            <b/>
            <sz val="9"/>
            <color indexed="81"/>
            <rFont val="宋体"/>
            <charset val="134"/>
          </rPr>
          <t>国标</t>
        </r>
        <r>
          <rPr>
            <b/>
            <sz val="9"/>
            <color indexed="81"/>
            <rFont val="Tahoma"/>
            <family val="2"/>
          </rPr>
          <t>5*450</t>
        </r>
        <r>
          <rPr>
            <b/>
            <sz val="9"/>
            <color indexed="81"/>
            <rFont val="宋体"/>
            <charset val="134"/>
          </rPr>
          <t>宽</t>
        </r>
        <r>
          <rPr>
            <b/>
            <sz val="9"/>
            <color indexed="81"/>
            <rFont val="Tahoma"/>
            <family val="2"/>
          </rPr>
          <t>4.8mm-250-19.2
2*100mm
V</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2.5mm-1000-6.6
V</t>
        </r>
        <r>
          <rPr>
            <b/>
            <sz val="9"/>
            <color indexed="81"/>
            <rFont val="宋体"/>
            <charset val="134"/>
          </rPr>
          <t>国标</t>
        </r>
        <r>
          <rPr>
            <b/>
            <sz val="9"/>
            <color indexed="81"/>
            <rFont val="Tahoma"/>
            <family val="2"/>
          </rPr>
          <t>3*150</t>
        </r>
        <r>
          <rPr>
            <b/>
            <sz val="9"/>
            <color indexed="81"/>
            <rFont val="宋体"/>
            <charset val="134"/>
          </rPr>
          <t>宽</t>
        </r>
        <r>
          <rPr>
            <b/>
            <sz val="9"/>
            <color indexed="81"/>
            <rFont val="Tahoma"/>
            <family val="2"/>
          </rPr>
          <t>2.5mm-1000-10
V</t>
        </r>
        <r>
          <rPr>
            <b/>
            <sz val="9"/>
            <color indexed="81"/>
            <rFont val="宋体"/>
            <charset val="134"/>
          </rPr>
          <t>国标</t>
        </r>
        <r>
          <rPr>
            <b/>
            <sz val="9"/>
            <color indexed="81"/>
            <rFont val="Tahoma"/>
            <family val="2"/>
          </rPr>
          <t>3*200</t>
        </r>
        <r>
          <rPr>
            <b/>
            <sz val="9"/>
            <color indexed="81"/>
            <rFont val="宋体"/>
            <charset val="134"/>
          </rPr>
          <t>宽</t>
        </r>
        <r>
          <rPr>
            <b/>
            <sz val="9"/>
            <color indexed="81"/>
            <rFont val="Tahoma"/>
            <family val="2"/>
          </rPr>
          <t xml:space="preserve">2.5mm-500-6.8
</t>
        </r>
        <r>
          <rPr>
            <b/>
            <sz val="9"/>
            <color indexed="81"/>
            <rFont val="宋体"/>
            <charset val="134"/>
          </rPr>
          <t>国标</t>
        </r>
        <r>
          <rPr>
            <b/>
            <sz val="9"/>
            <color indexed="81"/>
            <rFont val="Tahoma"/>
            <family val="2"/>
          </rPr>
          <t>4*250</t>
        </r>
        <r>
          <rPr>
            <b/>
            <sz val="9"/>
            <color indexed="81"/>
            <rFont val="宋体"/>
            <charset val="134"/>
          </rPr>
          <t>宽</t>
        </r>
        <r>
          <rPr>
            <b/>
            <sz val="9"/>
            <color indexed="81"/>
            <rFont val="Tahoma"/>
            <family val="2"/>
          </rPr>
          <t>3.6mm-250-6.6
V</t>
        </r>
        <r>
          <rPr>
            <b/>
            <sz val="9"/>
            <color indexed="81"/>
            <rFont val="宋体"/>
            <charset val="134"/>
          </rPr>
          <t>国标</t>
        </r>
        <r>
          <rPr>
            <b/>
            <sz val="9"/>
            <color indexed="81"/>
            <rFont val="Tahoma"/>
            <family val="2"/>
          </rPr>
          <t>4*300</t>
        </r>
        <r>
          <rPr>
            <b/>
            <sz val="9"/>
            <color indexed="81"/>
            <rFont val="宋体"/>
            <charset val="134"/>
          </rPr>
          <t>宽</t>
        </r>
        <r>
          <rPr>
            <b/>
            <sz val="9"/>
            <color indexed="81"/>
            <rFont val="Tahoma"/>
            <family val="2"/>
          </rPr>
          <t xml:space="preserve">3.6mm-250-8.1
</t>
        </r>
        <r>
          <rPr>
            <b/>
            <sz val="9"/>
            <color indexed="81"/>
            <rFont val="宋体"/>
            <charset val="134"/>
          </rPr>
          <t>国标</t>
        </r>
        <r>
          <rPr>
            <b/>
            <sz val="9"/>
            <color indexed="81"/>
            <rFont val="Tahoma"/>
            <family val="2"/>
          </rPr>
          <t>4*350</t>
        </r>
        <r>
          <rPr>
            <b/>
            <sz val="9"/>
            <color indexed="81"/>
            <rFont val="宋体"/>
            <charset val="134"/>
          </rPr>
          <t>宽</t>
        </r>
        <r>
          <rPr>
            <b/>
            <sz val="9"/>
            <color indexed="81"/>
            <rFont val="Tahoma"/>
            <family val="2"/>
          </rPr>
          <t>3.6mm-250-10.2</t>
        </r>
      </text>
    </comment>
    <comment ref="F52" authorId="0">
      <text>
        <r>
          <rPr>
            <b/>
            <sz val="9"/>
            <color indexed="81"/>
            <rFont val="Tahoma"/>
            <family val="2"/>
          </rPr>
          <t>ULINE 11</t>
        </r>
        <r>
          <rPr>
            <b/>
            <sz val="9"/>
            <color indexed="81"/>
            <rFont val="宋体"/>
            <charset val="134"/>
          </rPr>
          <t>色
黑白黃紅藍綠</t>
        </r>
      </text>
    </comment>
    <comment ref="G52" authorId="0">
      <text>
        <r>
          <rPr>
            <b/>
            <sz val="9"/>
            <color indexed="81"/>
            <rFont val="Tahoma"/>
            <family val="2"/>
          </rPr>
          <t>0.005-0.04</t>
        </r>
      </text>
    </comment>
    <comment ref="E53" authorId="0">
      <text>
        <r>
          <rPr>
            <b/>
            <sz val="9"/>
            <color indexed="81"/>
            <rFont val="Tahoma"/>
            <family val="2"/>
          </rPr>
          <t>ULINE 4</t>
        </r>
        <r>
          <rPr>
            <b/>
            <sz val="9"/>
            <color indexed="81"/>
            <rFont val="宋体"/>
            <charset val="134"/>
          </rPr>
          <t>款</t>
        </r>
        <r>
          <rPr>
            <b/>
            <sz val="9"/>
            <color indexed="81"/>
            <rFont val="Tahoma"/>
            <family val="2"/>
          </rPr>
          <t xml:space="preserve">
4.6*200mm-0.17
V4.6*300mm-0.19
4.6*400mm-0.24
4.6*450mm-0.26
4.6*500mm-0.28
</t>
        </r>
      </text>
    </comment>
    <comment ref="G53" authorId="0">
      <text>
        <r>
          <rPr>
            <b/>
            <sz val="9"/>
            <color indexed="81"/>
            <rFont val="Tahoma"/>
            <family val="2"/>
          </rPr>
          <t>0.17-0.28</t>
        </r>
      </text>
    </comment>
    <comment ref="E54" authorId="0">
      <text>
        <r>
          <rPr>
            <b/>
            <sz val="9"/>
            <color indexed="81"/>
            <rFont val="Tahoma"/>
            <family val="2"/>
          </rPr>
          <t>ULINE 7</t>
        </r>
        <r>
          <rPr>
            <b/>
            <sz val="9"/>
            <color indexed="81"/>
            <rFont val="宋体"/>
            <charset val="134"/>
          </rPr>
          <t>款</t>
        </r>
        <r>
          <rPr>
            <b/>
            <sz val="9"/>
            <color indexed="81"/>
            <rFont val="Tahoma"/>
            <family val="2"/>
          </rPr>
          <t xml:space="preserve">
</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 xml:space="preserve">2.5mm-1000-6.6
</t>
        </r>
        <r>
          <rPr>
            <b/>
            <sz val="9"/>
            <color indexed="81"/>
            <rFont val="宋体"/>
            <charset val="134"/>
          </rPr>
          <t>国标</t>
        </r>
        <r>
          <rPr>
            <b/>
            <sz val="9"/>
            <color indexed="81"/>
            <rFont val="Tahoma"/>
            <family val="2"/>
          </rPr>
          <t>4*150</t>
        </r>
        <r>
          <rPr>
            <b/>
            <sz val="9"/>
            <color indexed="81"/>
            <rFont val="宋体"/>
            <charset val="134"/>
          </rPr>
          <t>宽</t>
        </r>
        <r>
          <rPr>
            <b/>
            <sz val="9"/>
            <color indexed="81"/>
            <rFont val="Tahoma"/>
            <family val="2"/>
          </rPr>
          <t xml:space="preserve">3.6mm-500-7.99
</t>
        </r>
        <r>
          <rPr>
            <b/>
            <sz val="9"/>
            <color indexed="81"/>
            <rFont val="宋体"/>
            <charset val="134"/>
          </rPr>
          <t>国标</t>
        </r>
        <r>
          <rPr>
            <b/>
            <sz val="9"/>
            <color indexed="81"/>
            <rFont val="Tahoma"/>
            <family val="2"/>
          </rPr>
          <t>4*200</t>
        </r>
        <r>
          <rPr>
            <b/>
            <sz val="9"/>
            <color indexed="81"/>
            <rFont val="宋体"/>
            <charset val="134"/>
          </rPr>
          <t>宽</t>
        </r>
        <r>
          <rPr>
            <b/>
            <sz val="9"/>
            <color indexed="81"/>
            <rFont val="Tahoma"/>
            <family val="2"/>
          </rPr>
          <t xml:space="preserve">3.6mm-500-10.4
</t>
        </r>
        <r>
          <rPr>
            <b/>
            <sz val="9"/>
            <color indexed="81"/>
            <rFont val="宋体"/>
            <charset val="134"/>
          </rPr>
          <t>国标</t>
        </r>
        <r>
          <rPr>
            <b/>
            <sz val="9"/>
            <color indexed="81"/>
            <rFont val="Tahoma"/>
            <family val="2"/>
          </rPr>
          <t>5*300</t>
        </r>
        <r>
          <rPr>
            <b/>
            <sz val="9"/>
            <color indexed="81"/>
            <rFont val="宋体"/>
            <charset val="134"/>
          </rPr>
          <t>宽</t>
        </r>
        <r>
          <rPr>
            <b/>
            <sz val="9"/>
            <color indexed="81"/>
            <rFont val="Tahoma"/>
            <family val="2"/>
          </rPr>
          <t xml:space="preserve">4.8mm-250-11.2
</t>
        </r>
        <r>
          <rPr>
            <b/>
            <sz val="9"/>
            <color indexed="81"/>
            <rFont val="宋体"/>
            <charset val="134"/>
          </rPr>
          <t>国标</t>
        </r>
        <r>
          <rPr>
            <b/>
            <sz val="9"/>
            <color indexed="81"/>
            <rFont val="Tahoma"/>
            <family val="2"/>
          </rPr>
          <t>5*350</t>
        </r>
        <r>
          <rPr>
            <b/>
            <sz val="9"/>
            <color indexed="81"/>
            <rFont val="宋体"/>
            <charset val="134"/>
          </rPr>
          <t>宽</t>
        </r>
        <r>
          <rPr>
            <b/>
            <sz val="9"/>
            <color indexed="81"/>
            <rFont val="Tahoma"/>
            <family val="2"/>
          </rPr>
          <t xml:space="preserve">4.8mm-250-13.5
</t>
        </r>
        <r>
          <rPr>
            <b/>
            <sz val="9"/>
            <color indexed="81"/>
            <rFont val="宋体"/>
            <charset val="134"/>
          </rPr>
          <t>国标</t>
        </r>
        <r>
          <rPr>
            <b/>
            <sz val="9"/>
            <color indexed="81"/>
            <rFont val="Tahoma"/>
            <family val="2"/>
          </rPr>
          <t>5*450</t>
        </r>
        <r>
          <rPr>
            <b/>
            <sz val="9"/>
            <color indexed="81"/>
            <rFont val="宋体"/>
            <charset val="134"/>
          </rPr>
          <t>宽</t>
        </r>
        <r>
          <rPr>
            <b/>
            <sz val="9"/>
            <color indexed="81"/>
            <rFont val="Tahoma"/>
            <family val="2"/>
          </rPr>
          <t>4.8mm-250-19.2
2*100mm
V</t>
        </r>
        <r>
          <rPr>
            <b/>
            <sz val="9"/>
            <color indexed="81"/>
            <rFont val="宋体"/>
            <charset val="134"/>
          </rPr>
          <t>国标</t>
        </r>
        <r>
          <rPr>
            <b/>
            <sz val="9"/>
            <color indexed="81"/>
            <rFont val="Tahoma"/>
            <family val="2"/>
          </rPr>
          <t>3*100</t>
        </r>
        <r>
          <rPr>
            <b/>
            <sz val="9"/>
            <color indexed="81"/>
            <rFont val="宋体"/>
            <charset val="134"/>
          </rPr>
          <t>宽</t>
        </r>
        <r>
          <rPr>
            <b/>
            <sz val="9"/>
            <color indexed="81"/>
            <rFont val="Tahoma"/>
            <family val="2"/>
          </rPr>
          <t>2.5mm-1000-6.6
V</t>
        </r>
        <r>
          <rPr>
            <b/>
            <sz val="9"/>
            <color indexed="81"/>
            <rFont val="宋体"/>
            <charset val="134"/>
          </rPr>
          <t>国标</t>
        </r>
        <r>
          <rPr>
            <b/>
            <sz val="9"/>
            <color indexed="81"/>
            <rFont val="Tahoma"/>
            <family val="2"/>
          </rPr>
          <t>3*150</t>
        </r>
        <r>
          <rPr>
            <b/>
            <sz val="9"/>
            <color indexed="81"/>
            <rFont val="宋体"/>
            <charset val="134"/>
          </rPr>
          <t>宽</t>
        </r>
        <r>
          <rPr>
            <b/>
            <sz val="9"/>
            <color indexed="81"/>
            <rFont val="Tahoma"/>
            <family val="2"/>
          </rPr>
          <t>2.5mm-1000-10
V</t>
        </r>
        <r>
          <rPr>
            <b/>
            <sz val="9"/>
            <color indexed="81"/>
            <rFont val="宋体"/>
            <charset val="134"/>
          </rPr>
          <t>国标</t>
        </r>
        <r>
          <rPr>
            <b/>
            <sz val="9"/>
            <color indexed="81"/>
            <rFont val="Tahoma"/>
            <family val="2"/>
          </rPr>
          <t>3*200</t>
        </r>
        <r>
          <rPr>
            <b/>
            <sz val="9"/>
            <color indexed="81"/>
            <rFont val="宋体"/>
            <charset val="134"/>
          </rPr>
          <t>宽</t>
        </r>
        <r>
          <rPr>
            <b/>
            <sz val="9"/>
            <color indexed="81"/>
            <rFont val="Tahoma"/>
            <family val="2"/>
          </rPr>
          <t xml:space="preserve">2.5mm-500-6.8
</t>
        </r>
        <r>
          <rPr>
            <b/>
            <sz val="9"/>
            <color indexed="81"/>
            <rFont val="宋体"/>
            <charset val="134"/>
          </rPr>
          <t>国标</t>
        </r>
        <r>
          <rPr>
            <b/>
            <sz val="9"/>
            <color indexed="81"/>
            <rFont val="Tahoma"/>
            <family val="2"/>
          </rPr>
          <t>4*250</t>
        </r>
        <r>
          <rPr>
            <b/>
            <sz val="9"/>
            <color indexed="81"/>
            <rFont val="宋体"/>
            <charset val="134"/>
          </rPr>
          <t>宽</t>
        </r>
        <r>
          <rPr>
            <b/>
            <sz val="9"/>
            <color indexed="81"/>
            <rFont val="Tahoma"/>
            <family val="2"/>
          </rPr>
          <t>3.6mm-250-6.6
V</t>
        </r>
        <r>
          <rPr>
            <b/>
            <sz val="9"/>
            <color indexed="81"/>
            <rFont val="宋体"/>
            <charset val="134"/>
          </rPr>
          <t>国标</t>
        </r>
        <r>
          <rPr>
            <b/>
            <sz val="9"/>
            <color indexed="81"/>
            <rFont val="Tahoma"/>
            <family val="2"/>
          </rPr>
          <t>4*300</t>
        </r>
        <r>
          <rPr>
            <b/>
            <sz val="9"/>
            <color indexed="81"/>
            <rFont val="宋体"/>
            <charset val="134"/>
          </rPr>
          <t>宽</t>
        </r>
        <r>
          <rPr>
            <b/>
            <sz val="9"/>
            <color indexed="81"/>
            <rFont val="Tahoma"/>
            <family val="2"/>
          </rPr>
          <t xml:space="preserve">3.6mm-250-8.1
</t>
        </r>
        <r>
          <rPr>
            <b/>
            <sz val="9"/>
            <color indexed="81"/>
            <rFont val="宋体"/>
            <charset val="134"/>
          </rPr>
          <t>国标</t>
        </r>
        <r>
          <rPr>
            <b/>
            <sz val="9"/>
            <color indexed="81"/>
            <rFont val="Tahoma"/>
            <family val="2"/>
          </rPr>
          <t>4*350</t>
        </r>
        <r>
          <rPr>
            <b/>
            <sz val="9"/>
            <color indexed="81"/>
            <rFont val="宋体"/>
            <charset val="134"/>
          </rPr>
          <t>宽</t>
        </r>
        <r>
          <rPr>
            <b/>
            <sz val="9"/>
            <color indexed="81"/>
            <rFont val="Tahoma"/>
            <family val="2"/>
          </rPr>
          <t>3.6mm-250-10.2</t>
        </r>
      </text>
    </comment>
    <comment ref="F54" authorId="0">
      <text>
        <r>
          <rPr>
            <b/>
            <sz val="9"/>
            <color indexed="81"/>
            <rFont val="Tahoma"/>
            <family val="2"/>
          </rPr>
          <t>ULINE 11</t>
        </r>
        <r>
          <rPr>
            <b/>
            <sz val="9"/>
            <color indexed="81"/>
            <rFont val="宋体"/>
            <charset val="134"/>
          </rPr>
          <t>色
黑白黃紅藍綠</t>
        </r>
      </text>
    </comment>
    <comment ref="G54" authorId="0">
      <text>
        <r>
          <rPr>
            <b/>
            <sz val="9"/>
            <color indexed="81"/>
            <rFont val="Tahoma"/>
            <family val="2"/>
          </rPr>
          <t>0.005-0.04</t>
        </r>
      </text>
    </comment>
    <comment ref="E55" authorId="0">
      <text>
        <r>
          <rPr>
            <b/>
            <sz val="9"/>
            <color indexed="81"/>
            <rFont val="Tahoma"/>
            <family val="2"/>
          </rPr>
          <t>(Quantity x Supplied Internal Diameter x Single Length)
120pcs x   φ1.0 x 40mm (Yellow,Black,Red,Green)
60pcs   x   φ2.0 x 40mm (Yellow,Black,Red,Blue)
32pcs   x   φ3.0 x 40mm (Yellow,Black,Red,Green)
32pcs   x   φ4.0 x 40mm (Yellow,Black,Red,Blue)
32pcs   x   φ6.0 x 40mm (Yellow,Black,Red,Green)
20pcs   x   φ8.0 x 80mm (Yellow,Black,Red,Blue)
16pcs   x   φ10.0 x 80mm (Yellow,Black,Red,Green)
16pcs   x   φ14.0 x 80mm (Yellow,Black,Red,Blue) 
40pcs * diameter 2.0 * 30mm
 40pcs * diameter 2.5 * 60mm
 20pcs * diameter 3.5 * 60mm
 15pcs * diameter 5.0 * 60mm
 11pcs * diameter 6.0 * 60mm
 8pcs * diameter 8.0 * 100mm
 8pcs * diameter 10.0 * 100mm
 8pcs * diameter 13.0 * 100mm
30pcs - 2.0 x 40mm
25pcs - 2.5 x 40mm
20pcs - 3.5 x 40mm
20pcs - 5.0 x 40mm
16pcs - 7.0 x 80mm
8pcs - 10.0 x 80mm
8pcs - 13.0 x 85mm</t>
        </r>
      </text>
    </comment>
    <comment ref="G55" authorId="0">
      <text>
        <r>
          <rPr>
            <b/>
            <sz val="9"/>
            <color indexed="81"/>
            <rFont val="Tahoma"/>
            <family val="2"/>
          </rPr>
          <t>2.8-5.5
0.35-0.7</t>
        </r>
      </text>
    </comment>
    <comment ref="H55" authorId="0">
      <text>
        <r>
          <rPr>
            <b/>
            <sz val="9"/>
            <color indexed="81"/>
            <rFont val="Tahoma"/>
            <family val="2"/>
          </rPr>
          <t>8</t>
        </r>
        <r>
          <rPr>
            <b/>
            <sz val="9"/>
            <color indexed="81"/>
            <rFont val="宋体"/>
            <charset val="134"/>
          </rPr>
          <t>種尺寸小包/包</t>
        </r>
      </text>
    </comment>
    <comment ref="E57" authorId="0">
      <text>
        <r>
          <rPr>
            <b/>
            <sz val="9"/>
            <color indexed="81"/>
            <rFont val="Tahoma"/>
            <family val="2"/>
          </rPr>
          <t>4.8*80mm</t>
        </r>
      </text>
    </comment>
    <comment ref="F57" authorId="0">
      <text>
        <r>
          <rPr>
            <b/>
            <sz val="9"/>
            <color indexed="81"/>
            <rFont val="宋体"/>
            <charset val="134"/>
          </rPr>
          <t>金銀紅紫藍綠黑</t>
        </r>
      </text>
    </comment>
    <comment ref="H57" authorId="0">
      <text>
        <r>
          <rPr>
            <b/>
            <sz val="9"/>
            <color indexed="81"/>
            <rFont val="Tahoma"/>
            <family val="2"/>
          </rPr>
          <t>100</t>
        </r>
        <r>
          <rPr>
            <b/>
            <sz val="9"/>
            <color indexed="81"/>
            <rFont val="宋体"/>
            <charset val="134"/>
          </rPr>
          <t>根</t>
        </r>
        <r>
          <rPr>
            <b/>
            <sz val="9"/>
            <color indexed="81"/>
            <rFont val="Tahoma"/>
            <family val="2"/>
          </rPr>
          <t>/</t>
        </r>
        <r>
          <rPr>
            <b/>
            <sz val="9"/>
            <color indexed="81"/>
            <rFont val="宋体"/>
            <charset val="134"/>
          </rPr>
          <t>包</t>
        </r>
      </text>
    </comment>
    <comment ref="E58" authorId="0">
      <text>
        <r>
          <rPr>
            <b/>
            <sz val="9"/>
            <color indexed="81"/>
            <rFont val="Tahoma"/>
            <family val="2"/>
          </rPr>
          <t xml:space="preserve">T-Tap Wire Terminals
Red AWG: 22-18 = 0.5-1.5 mm² Max 10A
Blue AWG: 18-14 = 1.5-2.5 mm² Max 15A
Yellow AWG: 12-10 = 2.5-4  mm² Max 24A
Male Spade Connector
Red AWG 22-18; Suits cable/ wire sizes 0.5-1.0mm²
Blue AWG 16-14; Suits cable/ wire sizes 1.5-2.5mm²
Yellow AWG 12-10; Suits cable/ wire sizes 4.0-6.0mm²
</t>
        </r>
      </text>
    </comment>
    <comment ref="G58" authorId="0">
      <text>
        <r>
          <rPr>
            <b/>
            <sz val="9"/>
            <color indexed="81"/>
            <rFont val="Tahoma"/>
            <family val="2"/>
          </rPr>
          <t>0.18-0.25</t>
        </r>
      </text>
    </comment>
    <comment ref="E59"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G59" authorId="0">
      <text>
        <r>
          <rPr>
            <b/>
            <sz val="9"/>
            <color indexed="81"/>
            <rFont val="Tahoma"/>
            <family val="2"/>
          </rPr>
          <t>0.18-0.25</t>
        </r>
      </text>
    </comment>
    <comment ref="E60"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G60" authorId="0">
      <text>
        <r>
          <rPr>
            <b/>
            <sz val="9"/>
            <color indexed="81"/>
            <rFont val="Tahoma"/>
            <family val="2"/>
          </rPr>
          <t>0.18-0.25</t>
        </r>
      </text>
    </comment>
    <comment ref="E61"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G61" authorId="0">
      <text>
        <r>
          <rPr>
            <b/>
            <sz val="9"/>
            <color indexed="81"/>
            <rFont val="Tahoma"/>
            <family val="2"/>
          </rPr>
          <t>0.18-0.25</t>
        </r>
      </text>
    </comment>
    <comment ref="E62" authorId="0">
      <text>
        <r>
          <rPr>
            <b/>
            <sz val="9"/>
            <color indexed="81"/>
            <rFont val="宋体"/>
            <charset val="134"/>
          </rPr>
          <t>白</t>
        </r>
        <r>
          <rPr>
            <b/>
            <sz val="9"/>
            <color indexed="81"/>
            <rFont val="Tahoma"/>
            <family val="2"/>
          </rPr>
          <t xml:space="preserve">AWG 24-26-0.18
</t>
        </r>
        <r>
          <rPr>
            <b/>
            <sz val="9"/>
            <color indexed="81"/>
            <rFont val="宋体"/>
            <charset val="134"/>
          </rPr>
          <t>紅</t>
        </r>
        <r>
          <rPr>
            <b/>
            <sz val="9"/>
            <color indexed="81"/>
            <rFont val="Tahoma"/>
            <family val="2"/>
          </rPr>
          <t xml:space="preserve">AWG 18-22-0.20
</t>
        </r>
        <r>
          <rPr>
            <b/>
            <sz val="9"/>
            <color indexed="81"/>
            <rFont val="宋体"/>
            <charset val="134"/>
          </rPr>
          <t>藍</t>
        </r>
        <r>
          <rPr>
            <b/>
            <sz val="9"/>
            <color indexed="81"/>
            <rFont val="Tahoma"/>
            <family val="2"/>
          </rPr>
          <t xml:space="preserve">AWG 14-16-0.23
</t>
        </r>
        <r>
          <rPr>
            <b/>
            <sz val="9"/>
            <color indexed="81"/>
            <rFont val="宋体"/>
            <charset val="134"/>
          </rPr>
          <t>黃</t>
        </r>
        <r>
          <rPr>
            <b/>
            <sz val="9"/>
            <color indexed="81"/>
            <rFont val="Tahoma"/>
            <family val="2"/>
          </rPr>
          <t xml:space="preserve">AWG 10-12-0.25
</t>
        </r>
      </text>
    </comment>
    <comment ref="G62" authorId="0">
      <text>
        <r>
          <rPr>
            <b/>
            <sz val="9"/>
            <color indexed="81"/>
            <rFont val="Tahoma"/>
            <family val="2"/>
          </rPr>
          <t>0.18-0.25</t>
        </r>
      </text>
    </comment>
    <comment ref="E63"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E64"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E65" authorId="0">
      <text>
        <r>
          <rPr>
            <b/>
            <sz val="9"/>
            <color indexed="81"/>
            <rFont val="Tahoma"/>
            <family val="2"/>
          </rPr>
          <t xml:space="preserve">Red A.W.G: 22-18 Wire range: 0.5-1.0mm²
Cable nominal cross-section: 0.5 to 1.5 mm
Blue A.W.G: 18-14 Wire range: 0.75-2.5mm²
Cable cross-section: 1.5 to 2.5 mm
Yellow A.W.G: 12-10 Wire range: 4-6mm²
Cable cross-section: 2.5 to 6.0 mm
</t>
        </r>
      </text>
    </comment>
    <comment ref="D66" authorId="0">
      <text>
        <r>
          <rPr>
            <b/>
            <sz val="9"/>
            <color indexed="81"/>
            <rFont val="宋体"/>
            <charset val="134"/>
          </rPr>
          <t xml:space="preserve">Tin Plated Copper
鍍錫紫銅
X-紫紅銅 </t>
        </r>
      </text>
    </comment>
    <comment ref="E66" authorId="0">
      <text>
        <r>
          <rPr>
            <b/>
            <sz val="9"/>
            <color indexed="81"/>
            <rFont val="Tahoma"/>
            <family val="2"/>
          </rPr>
          <t>SC6-6: 10 PCS-0.18
SC6-8: 10 PCS
SC10-6: 10 PCS-0.18
SC10-8: 10 PCS-0.18
SC16-6: 5 PCS-0.25
SC16-8: 5 PCS-0.26
SC25-6: 5 PCS-0.40
SC25-8: 5 PCS-0.35</t>
        </r>
      </text>
    </comment>
    <comment ref="G66" authorId="0">
      <text>
        <r>
          <rPr>
            <b/>
            <sz val="9"/>
            <color indexed="81"/>
            <rFont val="Tahoma"/>
            <family val="2"/>
          </rPr>
          <t>0.18-0.4</t>
        </r>
      </text>
    </comment>
    <comment ref="D67" authorId="0">
      <text>
        <r>
          <rPr>
            <b/>
            <sz val="9"/>
            <color indexed="81"/>
            <rFont val="Tahoma"/>
            <family val="2"/>
          </rPr>
          <t>cat5e-0.04
cat5e pass through-0.075
cat6 pass through-0.14
RJ11</t>
        </r>
      </text>
    </comment>
    <comment ref="G67" authorId="0">
      <text>
        <r>
          <rPr>
            <b/>
            <sz val="9"/>
            <color indexed="81"/>
            <rFont val="Tahoma"/>
            <family val="2"/>
          </rPr>
          <t>0.04-0.14</t>
        </r>
      </text>
    </comment>
    <comment ref="D68" authorId="0">
      <text>
        <r>
          <rPr>
            <b/>
            <sz val="9"/>
            <color indexed="81"/>
            <rFont val="宋体"/>
            <charset val="134"/>
          </rPr>
          <t>正常</t>
        </r>
        <r>
          <rPr>
            <b/>
            <sz val="9"/>
            <color indexed="81"/>
            <rFont val="Tahoma"/>
            <family val="2"/>
          </rPr>
          <t xml:space="preserve">-0.04
</t>
        </r>
        <r>
          <rPr>
            <b/>
            <sz val="9"/>
            <color indexed="81"/>
            <rFont val="宋体"/>
            <charset val="134"/>
          </rPr>
          <t>爪子</t>
        </r>
        <r>
          <rPr>
            <b/>
            <sz val="9"/>
            <color indexed="81"/>
            <rFont val="Tahoma"/>
            <family val="2"/>
          </rPr>
          <t>-0.07</t>
        </r>
      </text>
    </comment>
    <comment ref="G68" authorId="0">
      <text>
        <r>
          <rPr>
            <b/>
            <sz val="9"/>
            <color indexed="81"/>
            <rFont val="Tahoma"/>
            <family val="2"/>
          </rPr>
          <t>0.04-0.07</t>
        </r>
      </text>
    </comment>
    <comment ref="D69" authorId="0">
      <text>
        <r>
          <rPr>
            <b/>
            <sz val="9"/>
            <color indexed="81"/>
            <rFont val="宋体"/>
            <charset val="134"/>
          </rPr>
          <t>普通對接</t>
        </r>
        <r>
          <rPr>
            <b/>
            <sz val="9"/>
            <color indexed="81"/>
            <rFont val="Tahoma"/>
            <family val="2"/>
          </rPr>
          <t>-0.5</t>
        </r>
        <r>
          <rPr>
            <b/>
            <sz val="9"/>
            <color indexed="81"/>
            <rFont val="宋体"/>
            <charset val="134"/>
          </rPr>
          <t xml:space="preserve">
高級對接</t>
        </r>
        <r>
          <rPr>
            <b/>
            <sz val="9"/>
            <color indexed="81"/>
            <rFont val="Tahoma"/>
            <family val="2"/>
          </rPr>
          <t xml:space="preserve">-2.8
1-&gt;2-3
</t>
        </r>
      </text>
    </comment>
    <comment ref="G69" authorId="0">
      <text>
        <r>
          <rPr>
            <b/>
            <sz val="9"/>
            <color indexed="81"/>
            <rFont val="Tahoma"/>
            <family val="2"/>
          </rPr>
          <t>0.5-3</t>
        </r>
      </text>
    </comment>
    <comment ref="D70" authorId="0">
      <text>
        <r>
          <rPr>
            <b/>
            <sz val="9"/>
            <color indexed="81"/>
            <rFont val="Tahoma"/>
            <family val="2"/>
          </rPr>
          <t>splitter cable pair-3
splitter module-2.8</t>
        </r>
      </text>
    </comment>
    <comment ref="H70" authorId="0">
      <text>
        <r>
          <rPr>
            <b/>
            <sz val="9"/>
            <color indexed="81"/>
            <rFont val="Tahoma"/>
            <family val="2"/>
          </rPr>
          <t>2 pcs/pair</t>
        </r>
      </text>
    </comment>
    <comment ref="D71" authorId="0">
      <text>
        <r>
          <rPr>
            <b/>
            <sz val="9"/>
            <color indexed="81"/>
            <rFont val="宋体"/>
            <charset val="134"/>
          </rPr>
          <t>對接</t>
        </r>
        <r>
          <rPr>
            <b/>
            <sz val="9"/>
            <color indexed="81"/>
            <rFont val="Tahoma"/>
            <family val="2"/>
          </rPr>
          <t>-0.16</t>
        </r>
        <r>
          <rPr>
            <b/>
            <sz val="9"/>
            <color indexed="81"/>
            <rFont val="宋体"/>
            <charset val="134"/>
          </rPr>
          <t xml:space="preserve">
</t>
        </r>
        <r>
          <rPr>
            <b/>
            <sz val="9"/>
            <color indexed="81"/>
            <rFont val="Tahoma"/>
            <family val="2"/>
          </rPr>
          <t xml:space="preserve">1-&gt;2-0.39
1-&gt;5-2
</t>
        </r>
      </text>
    </comment>
    <comment ref="G71" authorId="0">
      <text>
        <r>
          <rPr>
            <b/>
            <sz val="9"/>
            <color indexed="81"/>
            <rFont val="Tahoma"/>
            <family val="2"/>
          </rPr>
          <t>0.16-2</t>
        </r>
      </text>
    </comment>
    <comment ref="D74" authorId="0">
      <text>
        <r>
          <rPr>
            <b/>
            <sz val="9"/>
            <color indexed="81"/>
            <rFont val="Tahoma"/>
            <family val="2"/>
          </rPr>
          <t>5.5mm*2.1mm F-F
5.5mm*2.1mm M-M</t>
        </r>
      </text>
    </comment>
    <comment ref="D75" authorId="0">
      <text>
        <r>
          <rPr>
            <b/>
            <sz val="9"/>
            <color indexed="81"/>
            <rFont val="Tahoma"/>
            <family val="2"/>
          </rPr>
          <t>5.5mm*2.1mm jack F
5.5mm*2.1mm jack M</t>
        </r>
      </text>
    </comment>
    <comment ref="D76" authorId="0">
      <text>
        <r>
          <rPr>
            <b/>
            <sz val="9"/>
            <color indexed="81"/>
            <rFont val="Tahoma"/>
            <family val="2"/>
          </rPr>
          <t>1-&gt;4-1.8
1-&gt;2-0.9</t>
        </r>
      </text>
    </comment>
    <comment ref="G76" authorId="0">
      <text>
        <r>
          <rPr>
            <b/>
            <sz val="9"/>
            <color indexed="81"/>
            <rFont val="Tahoma"/>
            <family val="2"/>
          </rPr>
          <t>0.9-1.8</t>
        </r>
      </text>
    </comment>
    <comment ref="D78" authorId="0">
      <text>
        <r>
          <rPr>
            <b/>
            <sz val="9"/>
            <color indexed="81"/>
            <rFont val="Tahoma"/>
            <family val="2"/>
          </rPr>
          <t>BNC M-&gt;2 BNC F
BNC M -&gt; BNC M
BNC M -&gt; RCA F
BNC M -&gt; jack
BNC F-&gt;2 BNC F
BNC F -&gt; BNC F
BNC F -&gt; RCA M
BNC F -&gt; jack
BNC M -&gt; RCA M-1
BNC F -&gt; RCA F-1</t>
        </r>
      </text>
    </comment>
    <comment ref="G79" authorId="0">
      <text>
        <r>
          <rPr>
            <b/>
            <sz val="9"/>
            <color indexed="81"/>
            <rFont val="Tahoma"/>
            <family val="2"/>
          </rPr>
          <t>1-&gt;1.45
pair -&gt; 2.9</t>
        </r>
      </text>
    </comment>
    <comment ref="H79" authorId="0">
      <text>
        <r>
          <rPr>
            <b/>
            <sz val="9"/>
            <color indexed="81"/>
            <rFont val="Tahoma"/>
            <family val="2"/>
          </rPr>
          <t>2 pcs/pair</t>
        </r>
      </text>
    </comment>
    <comment ref="D80" authorId="0">
      <text>
        <r>
          <rPr>
            <b/>
            <sz val="9"/>
            <color indexed="81"/>
            <rFont val="Tahoma"/>
            <family val="2"/>
          </rPr>
          <t xml:space="preserve">90d-1.8
270d-1.8
</t>
        </r>
        <r>
          <rPr>
            <b/>
            <sz val="9"/>
            <color indexed="81"/>
            <rFont val="宋体"/>
            <charset val="134"/>
          </rPr>
          <t>直接</t>
        </r>
        <r>
          <rPr>
            <b/>
            <sz val="9"/>
            <color indexed="81"/>
            <rFont val="Tahoma"/>
            <family val="2"/>
          </rPr>
          <t xml:space="preserve">M-F-1.1
</t>
        </r>
        <r>
          <rPr>
            <b/>
            <sz val="9"/>
            <color indexed="81"/>
            <rFont val="宋体"/>
            <charset val="134"/>
          </rPr>
          <t>直接</t>
        </r>
        <r>
          <rPr>
            <b/>
            <sz val="9"/>
            <color indexed="81"/>
            <rFont val="Tahoma"/>
            <family val="2"/>
          </rPr>
          <t>F-F-0.8
mini HDMI -&gt; HDMI-1.9
micro HDMI -&gt;HDMI-1.9
left-2
right-2
HDMI F-&gt;DVI M-3.5
HDMI M-&gt;DVI F-3.5
HDMI M-&gt;3 RCA-4.2
micro-mini-HDMI-3.5</t>
        </r>
      </text>
    </comment>
    <comment ref="G80" authorId="0">
      <text>
        <r>
          <rPr>
            <b/>
            <sz val="9"/>
            <color indexed="81"/>
            <rFont val="Tahoma"/>
            <family val="2"/>
          </rPr>
          <t>0.8-4.2</t>
        </r>
      </text>
    </comment>
    <comment ref="D81" authorId="0">
      <text>
        <r>
          <rPr>
            <b/>
            <sz val="9"/>
            <color indexed="81"/>
            <rFont val="Tahoma"/>
            <family val="2"/>
          </rPr>
          <t>1-&gt;3 switch-3
1-&gt;2 -4</t>
        </r>
      </text>
    </comment>
    <comment ref="G81" authorId="0">
      <text>
        <r>
          <rPr>
            <b/>
            <sz val="9"/>
            <color indexed="81"/>
            <rFont val="Tahoma"/>
            <family val="2"/>
          </rPr>
          <t>3-4</t>
        </r>
      </text>
    </comment>
    <comment ref="D82" authorId="0">
      <text>
        <r>
          <rPr>
            <b/>
            <sz val="9"/>
            <color indexed="81"/>
            <rFont val="Tahoma"/>
            <family val="2"/>
          </rPr>
          <t>RCA M-&gt;2 F-0.36
RCA F-&gt;2 F-0.6
RCA 3 M-&gt;6 F-
RCA F-&gt;F-0.23
RCA M-&gt;M-0.5
AV-&gt;3 RCA M
AV-&gt;2 RCA M(no cable)-0.35</t>
        </r>
      </text>
    </comment>
    <comment ref="G82" authorId="0">
      <text>
        <r>
          <rPr>
            <b/>
            <sz val="9"/>
            <color indexed="81"/>
            <rFont val="Tahoma"/>
            <family val="2"/>
          </rPr>
          <t>0.36-1</t>
        </r>
      </text>
    </comment>
    <comment ref="D83" authorId="0">
      <text>
        <r>
          <rPr>
            <b/>
            <sz val="9"/>
            <color indexed="81"/>
            <rFont val="Tahoma"/>
            <family val="2"/>
          </rPr>
          <t>EU-&gt;US-0.3
US-&gt;EU-0.3
US 3-&gt;EU-0.76
US 3-&gt;SW-0.73
US 3-&gt;UK-0.95
US 3-&gt;AU 2-0.72
US 3-&gt;AU 3-0.6
US 1-&gt;3</t>
        </r>
        <r>
          <rPr>
            <b/>
            <sz val="9"/>
            <color indexed="81"/>
            <rFont val="宋体"/>
            <charset val="134"/>
          </rPr>
          <t>開關</t>
        </r>
        <r>
          <rPr>
            <b/>
            <sz val="9"/>
            <color indexed="81"/>
            <rFont val="Tahoma"/>
            <family val="2"/>
          </rPr>
          <t xml:space="preserve">-1.6
US 1-&gt;5-3
</t>
        </r>
      </text>
    </comment>
    <comment ref="G83" authorId="0">
      <text>
        <r>
          <rPr>
            <b/>
            <sz val="9"/>
            <color indexed="81"/>
            <rFont val="Tahoma"/>
            <family val="2"/>
          </rPr>
          <t>0.3-3</t>
        </r>
      </text>
    </comment>
    <comment ref="D87" authorId="0">
      <text>
        <r>
          <rPr>
            <b/>
            <sz val="9"/>
            <color indexed="81"/>
            <rFont val="宋体"/>
            <charset val="134"/>
          </rPr>
          <t>電競</t>
        </r>
        <r>
          <rPr>
            <b/>
            <sz val="9"/>
            <color indexed="81"/>
            <rFont val="Tahoma"/>
            <family val="2"/>
          </rPr>
          <t xml:space="preserve">:
</t>
        </r>
        <r>
          <rPr>
            <b/>
            <sz val="9"/>
            <color indexed="81"/>
            <rFont val="宋体"/>
            <charset val="134"/>
          </rPr>
          <t>三層盔甲</t>
        </r>
        <r>
          <rPr>
            <b/>
            <sz val="9"/>
            <color indexed="81"/>
            <rFont val="Tahoma"/>
            <family val="2"/>
          </rPr>
          <t xml:space="preserve">-4
</t>
        </r>
        <r>
          <rPr>
            <b/>
            <sz val="9"/>
            <color indexed="81"/>
            <rFont val="宋体"/>
            <charset val="134"/>
          </rPr>
          <t>左右</t>
        </r>
        <r>
          <rPr>
            <b/>
            <sz val="9"/>
            <color indexed="81"/>
            <rFont val="Tahoma"/>
            <family val="2"/>
          </rPr>
          <t>5</t>
        </r>
        <r>
          <rPr>
            <b/>
            <sz val="9"/>
            <color indexed="81"/>
            <rFont val="宋体"/>
            <charset val="134"/>
          </rPr>
          <t>孔</t>
        </r>
        <r>
          <rPr>
            <b/>
            <sz val="9"/>
            <color indexed="81"/>
            <rFont val="Tahoma"/>
            <family val="2"/>
          </rPr>
          <t>-4
CH823</t>
        </r>
        <r>
          <rPr>
            <b/>
            <sz val="9"/>
            <color indexed="81"/>
            <rFont val="宋体"/>
            <charset val="134"/>
          </rPr>
          <t>綠光</t>
        </r>
        <r>
          <rPr>
            <b/>
            <sz val="9"/>
            <color indexed="81"/>
            <rFont val="Tahoma"/>
            <family val="2"/>
          </rPr>
          <t>-3.5
CH865-3.5
822-3.5
SONY</t>
        </r>
        <r>
          <rPr>
            <b/>
            <sz val="9"/>
            <color indexed="81"/>
            <rFont val="宋体"/>
            <charset val="134"/>
          </rPr>
          <t>環透光</t>
        </r>
        <r>
          <rPr>
            <b/>
            <sz val="9"/>
            <color indexed="81"/>
            <rFont val="Tahoma"/>
            <family val="2"/>
          </rPr>
          <t xml:space="preserve">-3.1
</t>
        </r>
        <r>
          <rPr>
            <b/>
            <sz val="9"/>
            <color indexed="81"/>
            <rFont val="宋体"/>
            <charset val="134"/>
          </rPr>
          <t>小亮面</t>
        </r>
        <r>
          <rPr>
            <b/>
            <sz val="9"/>
            <color indexed="81"/>
            <rFont val="Tahoma"/>
            <family val="2"/>
          </rPr>
          <t xml:space="preserve">-2.8
</t>
        </r>
        <r>
          <rPr>
            <b/>
            <sz val="9"/>
            <color indexed="81"/>
            <rFont val="宋体"/>
            <charset val="134"/>
          </rPr>
          <t>白萍果</t>
        </r>
        <r>
          <rPr>
            <b/>
            <sz val="9"/>
            <color indexed="81"/>
            <rFont val="Tahoma"/>
            <family val="2"/>
          </rPr>
          <t>-3.3
IBM</t>
        </r>
        <r>
          <rPr>
            <b/>
            <sz val="9"/>
            <color indexed="81"/>
            <rFont val="宋体"/>
            <charset val="134"/>
          </rPr>
          <t>紅線</t>
        </r>
        <r>
          <rPr>
            <b/>
            <sz val="9"/>
            <color indexed="81"/>
            <rFont val="Tahoma"/>
            <family val="2"/>
          </rPr>
          <t>-2.98
xHP</t>
        </r>
        <r>
          <rPr>
            <b/>
            <sz val="9"/>
            <color indexed="81"/>
            <rFont val="宋体"/>
            <charset val="134"/>
          </rPr>
          <t>黑長</t>
        </r>
        <r>
          <rPr>
            <b/>
            <sz val="9"/>
            <color indexed="81"/>
            <rFont val="Tahoma"/>
            <family val="2"/>
          </rPr>
          <t>-3
xDELL-3.9</t>
        </r>
      </text>
    </comment>
    <comment ref="G87" authorId="0">
      <text>
        <r>
          <rPr>
            <b/>
            <sz val="9"/>
            <color indexed="81"/>
            <rFont val="Tahoma"/>
            <family val="2"/>
          </rPr>
          <t xml:space="preserve">2.8-4
</t>
        </r>
      </text>
    </comment>
    <comment ref="D88" authorId="0">
      <text>
        <r>
          <rPr>
            <b/>
            <sz val="9"/>
            <color indexed="81"/>
            <rFont val="宋体"/>
            <charset val="134"/>
          </rPr>
          <t>無框黑
半框
金邊
銀邊
LED</t>
        </r>
      </text>
    </comment>
    <comment ref="E88" authorId="0">
      <text>
        <r>
          <rPr>
            <b/>
            <sz val="9"/>
            <color indexed="81"/>
            <rFont val="Tahoma"/>
            <family val="2"/>
          </rPr>
          <t xml:space="preserve">+100,+150,+200
+250,+300,+350
</t>
        </r>
      </text>
    </comment>
    <comment ref="D89" authorId="0">
      <text>
        <r>
          <rPr>
            <b/>
            <sz val="9"/>
            <color indexed="81"/>
            <rFont val="宋体"/>
            <charset val="134"/>
          </rPr>
          <t>蛤蟆
貓眼
貓眼大框
貓眼薄片
圓
心
心無框
三角
希爾頓
戀愛先生
馬賽克</t>
        </r>
      </text>
    </comment>
    <comment ref="G89" authorId="0">
      <text>
        <r>
          <rPr>
            <b/>
            <sz val="9"/>
            <color indexed="81"/>
            <rFont val="Tahoma"/>
            <family val="2"/>
          </rPr>
          <t>1.1-2.1</t>
        </r>
      </text>
    </comment>
    <comment ref="D90" authorId="0">
      <text>
        <r>
          <rPr>
            <b/>
            <sz val="9"/>
            <color indexed="81"/>
            <rFont val="宋体"/>
            <charset val="134"/>
          </rPr>
          <t>老花
閃光</t>
        </r>
      </text>
    </comment>
    <comment ref="D91" authorId="0">
      <text>
        <r>
          <rPr>
            <b/>
            <sz val="9"/>
            <color indexed="81"/>
            <rFont val="Tahoma"/>
            <family val="2"/>
          </rPr>
          <t>3150
HD</t>
        </r>
      </text>
    </comment>
    <comment ref="B93" authorId="0">
      <text>
        <r>
          <rPr>
            <b/>
            <sz val="9"/>
            <color indexed="81"/>
            <rFont val="Tahoma"/>
            <family val="2"/>
          </rPr>
          <t>20+1+2=23</t>
        </r>
        <r>
          <rPr>
            <b/>
            <sz val="9"/>
            <color indexed="81"/>
            <rFont val="宋体"/>
            <charset val="134"/>
          </rPr>
          <t xml:space="preserve">件
</t>
        </r>
        <r>
          <rPr>
            <b/>
            <sz val="9"/>
            <color indexed="81"/>
            <rFont val="Tahoma"/>
            <family val="2"/>
          </rPr>
          <t>d-9</t>
        </r>
        <r>
          <rPr>
            <b/>
            <sz val="9"/>
            <color indexed="81"/>
            <rFont val="宋体"/>
            <charset val="134"/>
          </rPr>
          <t xml:space="preserve">件
</t>
        </r>
        <r>
          <rPr>
            <b/>
            <sz val="9"/>
            <color indexed="81"/>
            <rFont val="Tahoma"/>
            <family val="2"/>
          </rPr>
          <t>qt2-13</t>
        </r>
        <r>
          <rPr>
            <b/>
            <sz val="9"/>
            <color indexed="81"/>
            <rFont val="宋体"/>
            <charset val="134"/>
          </rPr>
          <t>家</t>
        </r>
        <r>
          <rPr>
            <b/>
            <sz val="9"/>
            <color indexed="81"/>
            <rFont val="Tahoma"/>
            <family val="2"/>
          </rPr>
          <t>14</t>
        </r>
        <r>
          <rPr>
            <b/>
            <sz val="9"/>
            <color indexed="81"/>
            <rFont val="宋体"/>
            <charset val="134"/>
          </rPr>
          <t>件</t>
        </r>
      </text>
    </comment>
    <comment ref="B94" authorId="0">
      <text>
        <r>
          <rPr>
            <b/>
            <sz val="9"/>
            <color indexed="81"/>
            <rFont val="Tahoma"/>
            <family val="2"/>
          </rPr>
          <t>DV</t>
        </r>
        <r>
          <rPr>
            <b/>
            <sz val="9"/>
            <color indexed="81"/>
            <rFont val="宋体"/>
            <charset val="134"/>
          </rPr>
          <t>樓下自取氣泡袋</t>
        </r>
        <r>
          <rPr>
            <b/>
            <sz val="9"/>
            <color indexed="81"/>
            <rFont val="Tahoma"/>
            <family val="2"/>
          </rPr>
          <t xml:space="preserve">
1(</t>
        </r>
        <r>
          <rPr>
            <b/>
            <sz val="9"/>
            <color indexed="81"/>
            <rFont val="宋体"/>
            <charset val="134"/>
          </rPr>
          <t>昨天到</t>
        </r>
        <r>
          <rPr>
            <b/>
            <sz val="9"/>
            <color indexed="81"/>
            <rFont val="Tahoma"/>
            <family val="2"/>
          </rPr>
          <t>)+13+1(</t>
        </r>
        <r>
          <rPr>
            <b/>
            <sz val="9"/>
            <color indexed="81"/>
            <rFont val="宋体"/>
            <charset val="134"/>
          </rPr>
          <t>電子秤)</t>
        </r>
      </text>
    </comment>
  </commentList>
</comments>
</file>

<file path=xl/comments9.xml><?xml version="1.0" encoding="utf-8"?>
<comments xmlns="http://schemas.openxmlformats.org/spreadsheetml/2006/main">
  <authors>
    <author>作者</author>
  </authors>
  <commentList>
    <comment ref="J301" authorId="0">
      <text>
        <r>
          <rPr>
            <b/>
            <sz val="9"/>
            <color indexed="81"/>
            <rFont val="新細明體"/>
            <family val="1"/>
            <charset val="136"/>
          </rPr>
          <t>11/4: 9500 轉帳
11/5: 10000 現金
11/6: 9900 轉帳
11/7: 475 現金</t>
        </r>
      </text>
    </comment>
    <comment ref="B318" authorId="0">
      <text>
        <r>
          <rPr>
            <b/>
            <sz val="9"/>
            <color indexed="81"/>
            <rFont val="新細明體"/>
            <family val="1"/>
            <charset val="136"/>
          </rPr>
          <t>2014-03-16 淨寶:5包</t>
        </r>
      </text>
    </comment>
    <comment ref="H334" authorId="0">
      <text>
        <r>
          <rPr>
            <b/>
            <sz val="9"/>
            <color indexed="81"/>
            <rFont val="新細明體"/>
            <family val="1"/>
            <charset val="136"/>
          </rPr>
          <t>96*1.6*0.8</t>
        </r>
      </text>
    </comment>
    <comment ref="E340" authorId="0">
      <text>
        <r>
          <rPr>
            <b/>
            <sz val="9"/>
            <color indexed="81"/>
            <rFont val="新細明體"/>
            <family val="1"/>
            <charset val="136"/>
          </rPr>
          <t xml:space="preserve">分2次從王健拿各5包
10包作990支
</t>
        </r>
      </text>
    </comment>
    <comment ref="J342" authorId="0">
      <text>
        <r>
          <rPr>
            <b/>
            <sz val="9"/>
            <color indexed="81"/>
            <rFont val="新細明體"/>
            <family val="1"/>
            <charset val="136"/>
          </rPr>
          <t xml:space="preserve">4/4: 10000 現金
</t>
        </r>
      </text>
    </comment>
    <comment ref="F381" authorId="0">
      <text>
        <r>
          <rPr>
            <b/>
            <sz val="9"/>
            <color indexed="81"/>
            <rFont val="新細明體"/>
            <family val="1"/>
            <charset val="136"/>
          </rPr>
          <t>群里有12元</t>
        </r>
      </text>
    </comment>
    <comment ref="H387" authorId="0">
      <text>
        <r>
          <rPr>
            <b/>
            <sz val="9"/>
            <color indexed="81"/>
            <rFont val="新細明體"/>
            <family val="1"/>
            <charset val="136"/>
          </rPr>
          <t>5元 代收款手續費</t>
        </r>
      </text>
    </comment>
    <comment ref="H391" authorId="0">
      <text>
        <r>
          <rPr>
            <b/>
            <sz val="9"/>
            <color indexed="81"/>
            <rFont val="新細明體"/>
            <family val="1"/>
            <charset val="136"/>
          </rPr>
          <t>12元 代收款手續費</t>
        </r>
      </text>
    </comment>
    <comment ref="G434" authorId="0">
      <text>
        <r>
          <rPr>
            <b/>
            <sz val="9"/>
            <color indexed="81"/>
            <rFont val="新細明體"/>
            <family val="1"/>
            <charset val="136"/>
          </rPr>
          <t xml:space="preserve">120元
2款便宜算
110元
</t>
        </r>
      </text>
    </comment>
    <comment ref="F439" authorId="0">
      <text>
        <r>
          <rPr>
            <b/>
            <sz val="9"/>
            <color indexed="81"/>
            <rFont val="新細明體"/>
            <family val="1"/>
            <charset val="136"/>
          </rPr>
          <t>18元
扣橡膠頭2元
=16元</t>
        </r>
      </text>
    </comment>
    <comment ref="E458" authorId="0">
      <text>
        <r>
          <rPr>
            <b/>
            <sz val="9"/>
            <color indexed="81"/>
            <rFont val="新細明體"/>
            <family val="1"/>
            <charset val="136"/>
          </rPr>
          <t>2箱各少1支</t>
        </r>
      </text>
    </comment>
    <comment ref="E459" authorId="0">
      <text>
        <r>
          <rPr>
            <b/>
            <sz val="9"/>
            <color indexed="81"/>
            <rFont val="新細明體"/>
            <family val="1"/>
            <charset val="136"/>
          </rPr>
          <t>從王健拿15包</t>
        </r>
      </text>
    </comment>
    <comment ref="E479" authorId="0">
      <text>
        <r>
          <rPr>
            <b/>
            <sz val="9"/>
            <color indexed="81"/>
            <rFont val="新細明體"/>
            <family val="1"/>
            <charset val="136"/>
          </rPr>
          <t xml:space="preserve">多出500
</t>
        </r>
      </text>
    </comment>
    <comment ref="E480" authorId="0">
      <text>
        <r>
          <rPr>
            <b/>
            <sz val="9"/>
            <color indexed="81"/>
            <rFont val="新細明體"/>
            <family val="1"/>
            <charset val="136"/>
          </rPr>
          <t xml:space="preserve">少出500
</t>
        </r>
      </text>
    </comment>
    <comment ref="E481" authorId="0">
      <text>
        <r>
          <rPr>
            <b/>
            <sz val="9"/>
            <color indexed="81"/>
            <rFont val="新細明體"/>
            <family val="1"/>
            <charset val="136"/>
          </rPr>
          <t>故障2</t>
        </r>
      </text>
    </comment>
    <comment ref="F506" authorId="0">
      <text>
        <r>
          <rPr>
            <b/>
            <sz val="9"/>
            <color indexed="81"/>
            <rFont val="新細明體"/>
            <family val="1"/>
            <charset val="136"/>
          </rPr>
          <t>3.2元算錯為3.1元
10/11補匯400元</t>
        </r>
      </text>
    </comment>
    <comment ref="H506" authorId="0">
      <text>
        <r>
          <rPr>
            <b/>
            <sz val="9"/>
            <color indexed="81"/>
            <rFont val="新細明體"/>
            <family val="1"/>
            <charset val="136"/>
          </rPr>
          <t>楊生扣 0.05*4000</t>
        </r>
      </text>
    </comment>
    <comment ref="F529" authorId="0">
      <text>
        <r>
          <rPr>
            <b/>
            <sz val="9"/>
            <color indexed="81"/>
            <rFont val="新細明體"/>
            <family val="1"/>
            <charset val="136"/>
          </rPr>
          <t xml:space="preserve">12/31 1.38-&gt;1.35
</t>
        </r>
      </text>
    </comment>
    <comment ref="D534" authorId="0">
      <text>
        <r>
          <rPr>
            <b/>
            <sz val="9"/>
            <color indexed="81"/>
            <rFont val="新細明體"/>
            <family val="1"/>
            <charset val="136"/>
          </rPr>
          <t>SLOW PHOS salt-free water softening technology to naturally condition your water and protect your pipes from corrosion without the use of added sodium. SLOW PHOS technology works by altering the ionic charge of hard mineral carbonate crystals to reduce their attraction to one another in your water. By altering their ionic charge, hard minerals will no longer clump or pack together and create scale (CA, Mg and Ba buildup). In addition, SLOW PHOS phosphates act as a protective barrier in your plumbing to protect from pipe corrosion. Unlike salt-based water softeners, PremierSoft SLOW PHOS technology will not demineralize your water nor will it negatively affect the environment by adding excessive amounts of sodium into our communal water system.</t>
        </r>
      </text>
    </comment>
    <comment ref="E554" authorId="0">
      <text>
        <r>
          <rPr>
            <b/>
            <sz val="9"/>
            <color indexed="81"/>
            <rFont val="新細明體"/>
            <family val="1"/>
            <charset val="136"/>
          </rPr>
          <t xml:space="preserve">少發1000個
</t>
        </r>
      </text>
    </comment>
    <comment ref="I568" authorId="0">
      <text>
        <r>
          <rPr>
            <b/>
            <sz val="9"/>
            <color indexed="81"/>
            <rFont val="新細明體"/>
            <family val="1"/>
            <charset val="136"/>
          </rPr>
          <t>司機貨丟門口
打手機去狂罵</t>
        </r>
      </text>
    </comment>
    <comment ref="E611" authorId="0">
      <text>
        <r>
          <rPr>
            <b/>
            <sz val="9"/>
            <color indexed="81"/>
            <rFont val="新細明體"/>
            <family val="1"/>
            <charset val="136"/>
          </rPr>
          <t xml:space="preserve">上次寄王健2000個
少發1000個
</t>
        </r>
      </text>
    </comment>
    <comment ref="F644" authorId="0">
      <text>
        <r>
          <rPr>
            <b/>
            <sz val="9"/>
            <color indexed="81"/>
            <rFont val="MingLiU"/>
            <family val="3"/>
            <charset val="136"/>
          </rPr>
          <t>應該是老板
不同意</t>
        </r>
        <r>
          <rPr>
            <b/>
            <sz val="9"/>
            <color indexed="81"/>
            <rFont val="Tahoma"/>
            <family val="2"/>
          </rPr>
          <t xml:space="preserve">0.08
</t>
        </r>
        <r>
          <rPr>
            <b/>
            <sz val="9"/>
            <color indexed="81"/>
            <rFont val="MingLiU"/>
            <family val="3"/>
            <charset val="136"/>
          </rPr>
          <t>最低</t>
        </r>
        <r>
          <rPr>
            <b/>
            <sz val="9"/>
            <color indexed="81"/>
            <rFont val="Tahoma"/>
            <family val="2"/>
          </rPr>
          <t>0.1</t>
        </r>
      </text>
    </comment>
    <comment ref="C668" authorId="0">
      <text>
        <r>
          <rPr>
            <b/>
            <sz val="9"/>
            <color indexed="81"/>
            <rFont val="Tahoma"/>
            <family val="2"/>
          </rPr>
          <t>QQ: 1512626989</t>
        </r>
      </text>
    </comment>
    <comment ref="F672" authorId="0">
      <text>
        <r>
          <rPr>
            <b/>
            <sz val="9"/>
            <color indexed="81"/>
            <rFont val="Tahoma"/>
            <family val="2"/>
          </rPr>
          <t>20160415
1.8-&gt;1.5</t>
        </r>
      </text>
    </comment>
    <comment ref="E707" authorId="0">
      <text>
        <r>
          <rPr>
            <b/>
            <sz val="9"/>
            <color indexed="81"/>
            <rFont val="MingLiU"/>
            <family val="3"/>
            <charset val="136"/>
          </rPr>
          <t xml:space="preserve">多寄
</t>
        </r>
        <r>
          <rPr>
            <b/>
            <sz val="9"/>
            <color indexed="81"/>
            <rFont val="Tahoma"/>
            <family val="2"/>
          </rPr>
          <t>7</t>
        </r>
        <r>
          <rPr>
            <b/>
            <sz val="9"/>
            <color indexed="81"/>
            <rFont val="MingLiU"/>
            <family val="3"/>
            <charset val="136"/>
          </rPr>
          <t>月</t>
        </r>
        <r>
          <rPr>
            <b/>
            <sz val="9"/>
            <color indexed="81"/>
            <rFont val="Tahoma"/>
            <family val="2"/>
          </rPr>
          <t>17</t>
        </r>
        <r>
          <rPr>
            <b/>
            <sz val="9"/>
            <color indexed="81"/>
            <rFont val="MingLiU"/>
            <family val="3"/>
            <charset val="136"/>
          </rPr>
          <t>日用全峰寄回</t>
        </r>
      </text>
    </comment>
    <comment ref="C713" authorId="0">
      <text>
        <r>
          <rPr>
            <b/>
            <sz val="9"/>
            <color indexed="81"/>
            <rFont val="MingLiU"/>
            <family val="3"/>
            <charset val="136"/>
          </rPr>
          <t>530076595</t>
        </r>
        <r>
          <rPr>
            <b/>
            <sz val="9"/>
            <color indexed="81"/>
            <rFont val="宋体"/>
            <charset val="134"/>
          </rPr>
          <t xml:space="preserve">
单县</t>
        </r>
        <r>
          <rPr>
            <b/>
            <sz val="9"/>
            <color indexed="81"/>
            <rFont val="MingLiU"/>
            <family val="3"/>
            <charset val="136"/>
          </rPr>
          <t>超</t>
        </r>
        <r>
          <rPr>
            <b/>
            <sz val="9"/>
            <color indexed="81"/>
            <rFont val="宋体"/>
            <charset val="134"/>
          </rPr>
          <t>华</t>
        </r>
        <r>
          <rPr>
            <b/>
            <sz val="9"/>
            <color indexed="81"/>
            <rFont val="MingLiU"/>
            <family val="3"/>
            <charset val="136"/>
          </rPr>
          <t>塑</t>
        </r>
        <r>
          <rPr>
            <b/>
            <sz val="9"/>
            <color indexed="81"/>
            <rFont val="宋体"/>
            <charset val="134"/>
          </rPr>
          <t>胶</t>
        </r>
        <r>
          <rPr>
            <b/>
            <sz val="9"/>
            <color indexed="81"/>
            <rFont val="MingLiU"/>
            <family val="3"/>
            <charset val="136"/>
          </rPr>
          <t xml:space="preserve">15865057333
</t>
        </r>
      </text>
    </comment>
    <comment ref="G722" authorId="0">
      <text>
        <r>
          <rPr>
            <b/>
            <sz val="9"/>
            <color indexed="81"/>
            <rFont val="MingLiU"/>
            <family val="3"/>
            <charset val="136"/>
          </rPr>
          <t>说明书全部都是</t>
        </r>
        <r>
          <rPr>
            <b/>
            <sz val="9"/>
            <color indexed="81"/>
            <rFont val="Tahoma"/>
            <family val="2"/>
          </rPr>
          <t>0.08</t>
        </r>
        <r>
          <rPr>
            <b/>
            <sz val="9"/>
            <color indexed="81"/>
            <rFont val="MingLiU"/>
            <family val="3"/>
            <charset val="136"/>
          </rPr>
          <t>元单价算了；还有那个贴纸收你</t>
        </r>
        <r>
          <rPr>
            <b/>
            <sz val="9"/>
            <color indexed="81"/>
            <rFont val="Tahoma"/>
            <family val="2"/>
          </rPr>
          <t>100</t>
        </r>
        <r>
          <rPr>
            <b/>
            <sz val="9"/>
            <color indexed="81"/>
            <rFont val="MingLiU"/>
            <family val="3"/>
            <charset val="136"/>
          </rPr>
          <t>块，运费</t>
        </r>
        <r>
          <rPr>
            <b/>
            <sz val="9"/>
            <color indexed="81"/>
            <rFont val="Tahoma"/>
            <family val="2"/>
          </rPr>
          <t>50</t>
        </r>
        <r>
          <rPr>
            <b/>
            <sz val="9"/>
            <color indexed="81"/>
            <rFont val="MingLiU"/>
            <family val="3"/>
            <charset val="136"/>
          </rPr>
          <t>块。</t>
        </r>
      </text>
    </comment>
    <comment ref="F753" authorId="0">
      <text>
        <r>
          <rPr>
            <b/>
            <sz val="9"/>
            <color indexed="81"/>
            <rFont val="Tahoma"/>
            <family val="2"/>
          </rPr>
          <t>9/28 0.032-&gt;0.04</t>
        </r>
      </text>
    </comment>
    <comment ref="F757" authorId="0">
      <text>
        <r>
          <rPr>
            <b/>
            <sz val="9"/>
            <color indexed="81"/>
            <rFont val="Tahoma"/>
            <family val="2"/>
          </rPr>
          <t>送1下浮球閥</t>
        </r>
      </text>
    </comment>
    <comment ref="D772" authorId="0">
      <text>
        <r>
          <rPr>
            <b/>
            <sz val="9"/>
            <color indexed="81"/>
            <rFont val="Tahoma"/>
            <family val="2"/>
          </rPr>
          <t xml:space="preserve">配橡膠墊片
7.5 x 13 x 3
-&gt;5 x 13 x 4?
</t>
        </r>
      </text>
    </comment>
    <comment ref="F772" authorId="0">
      <text>
        <r>
          <rPr>
            <b/>
            <sz val="9"/>
            <color indexed="81"/>
            <rFont val="Tahoma"/>
            <family val="2"/>
          </rPr>
          <t>4.8-&gt;5.3</t>
        </r>
      </text>
    </comment>
    <comment ref="D774" authorId="0">
      <text>
        <r>
          <rPr>
            <b/>
            <sz val="9"/>
            <color indexed="81"/>
            <rFont val="Tahoma"/>
            <family val="2"/>
          </rPr>
          <t>進水口
2分-&gt;3分(配K4046)</t>
        </r>
      </text>
    </comment>
    <comment ref="D776" authorId="0">
      <text>
        <r>
          <rPr>
            <b/>
            <sz val="9"/>
            <color indexed="81"/>
            <rFont val="Tahoma"/>
            <family val="2"/>
          </rPr>
          <t>殺價
1.5-&gt;1</t>
        </r>
      </text>
    </comment>
    <comment ref="D814" authorId="0">
      <text>
        <r>
          <rPr>
            <b/>
            <sz val="9"/>
            <color indexed="81"/>
            <rFont val="Tahoma"/>
            <family val="2"/>
          </rPr>
          <t xml:space="preserve">金維 
O型圈\13*7*3\透明\硅胶\50A
0.03元
</t>
        </r>
      </text>
    </comment>
    <comment ref="D816" authorId="0">
      <text>
        <r>
          <rPr>
            <b/>
            <sz val="9"/>
            <color indexed="81"/>
            <rFont val="Tahoma"/>
            <family val="2"/>
          </rPr>
          <t>打樣:400/款
下單退200/款</t>
        </r>
      </text>
    </comment>
    <comment ref="H833" authorId="0">
      <text>
        <r>
          <rPr>
            <b/>
            <sz val="9"/>
            <color indexed="81"/>
            <rFont val="Tahoma"/>
            <family val="2"/>
          </rPr>
          <t>王健代付</t>
        </r>
      </text>
    </comment>
    <comment ref="H835" authorId="0">
      <text>
        <r>
          <rPr>
            <b/>
            <sz val="9"/>
            <color indexed="81"/>
            <rFont val="Tahoma"/>
            <family val="2"/>
          </rPr>
          <t>王健代付</t>
        </r>
      </text>
    </comment>
    <comment ref="D837" authorId="0">
      <text>
        <r>
          <rPr>
            <b/>
            <sz val="9"/>
            <color indexed="81"/>
            <rFont val="Tahoma"/>
            <family val="2"/>
          </rPr>
          <t>寛:68mm 长:140mm
单面彩色 105克铜版纸</t>
        </r>
      </text>
    </comment>
    <comment ref="D838" authorId="0">
      <text>
        <r>
          <rPr>
            <b/>
            <sz val="9"/>
            <color indexed="81"/>
            <rFont val="Tahoma"/>
            <family val="2"/>
          </rPr>
          <t>寛:68mm 长:140mm
单面彩色 105克铜版纸</t>
        </r>
      </text>
    </comment>
    <comment ref="D839" authorId="0">
      <text>
        <r>
          <rPr>
            <b/>
            <sz val="9"/>
            <color indexed="81"/>
            <rFont val="Tahoma"/>
            <family val="2"/>
          </rPr>
          <t>寛:68mm 长:140mm
单面彩色 105克铜版纸</t>
        </r>
      </text>
    </comment>
    <comment ref="D841" authorId="0">
      <text>
        <r>
          <rPr>
            <b/>
            <sz val="9"/>
            <color indexed="81"/>
            <rFont val="Tahoma"/>
            <family val="2"/>
          </rPr>
          <t>寛:65mm 长:135mm 直角彩色8丝光白PVC不干胶</t>
        </r>
      </text>
    </comment>
    <comment ref="D842" authorId="0">
      <text>
        <r>
          <rPr>
            <b/>
            <sz val="9"/>
            <color indexed="81"/>
            <rFont val="Tahoma"/>
            <family val="2"/>
          </rPr>
          <t>寛:65mm 长:135mm 直角彩色8丝光白PVC不干胶</t>
        </r>
      </text>
    </comment>
    <comment ref="D843" authorId="0">
      <text>
        <r>
          <rPr>
            <b/>
            <sz val="9"/>
            <color indexed="81"/>
            <rFont val="Tahoma"/>
            <family val="2"/>
          </rPr>
          <t>寛:65mm 长:135mm 直角彩色8丝光白PVC不干胶</t>
        </r>
      </text>
    </comment>
    <comment ref="D844" authorId="0">
      <text>
        <r>
          <rPr>
            <b/>
            <sz val="9"/>
            <color indexed="81"/>
            <rFont val="Tahoma"/>
            <family val="2"/>
          </rPr>
          <t>寛:90mm 长:75mm 直角彩色8丝光白PVC不干胶</t>
        </r>
      </text>
    </comment>
    <comment ref="D845" authorId="0">
      <text>
        <r>
          <rPr>
            <b/>
            <sz val="9"/>
            <color indexed="81"/>
            <rFont val="Tahoma"/>
            <family val="2"/>
          </rPr>
          <t>寛:90mm 长:75mm 直角彩色8丝光白PVC不干胶</t>
        </r>
      </text>
    </comment>
    <comment ref="D847" authorId="0">
      <text>
        <r>
          <rPr>
            <b/>
            <sz val="9"/>
            <color indexed="81"/>
            <rFont val="Tahoma"/>
            <family val="2"/>
          </rPr>
          <t>寛:20mm 长:285mm 直角彩色5丝透明PVC不干胶1款1000张</t>
        </r>
      </text>
    </comment>
    <comment ref="D862" authorId="0">
      <text>
        <r>
          <rPr>
            <b/>
            <sz val="9"/>
            <color indexed="81"/>
            <rFont val="Tahoma"/>
            <family val="2"/>
          </rPr>
          <t>寛:30mm 长:10mm 直角彩色8丝光白PVC不干胶</t>
        </r>
      </text>
    </comment>
    <comment ref="D863" authorId="0">
      <text>
        <r>
          <rPr>
            <b/>
            <sz val="9"/>
            <color indexed="81"/>
            <rFont val="Tahoma"/>
            <family val="2"/>
          </rPr>
          <t>寛:30mm 长:10mm 直角彩色8丝光白PVC不干胶</t>
        </r>
      </text>
    </comment>
    <comment ref="D864" authorId="0">
      <text>
        <r>
          <rPr>
            <b/>
            <sz val="9"/>
            <color indexed="81"/>
            <rFont val="Tahoma"/>
            <family val="2"/>
          </rPr>
          <t>寛:30mm 长:10mm 直角彩色8丝光白PVC不干胶</t>
        </r>
      </text>
    </comment>
    <comment ref="D865" authorId="0">
      <text>
        <r>
          <rPr>
            <b/>
            <sz val="9"/>
            <color indexed="81"/>
            <rFont val="Tahoma"/>
            <family val="2"/>
          </rPr>
          <t>寛:30mm 长:10mm 直角彩色8丝光白PVC不干胶</t>
        </r>
      </text>
    </comment>
    <comment ref="D866" authorId="0">
      <text>
        <r>
          <rPr>
            <b/>
            <sz val="9"/>
            <color indexed="81"/>
            <rFont val="Tahoma"/>
            <family val="2"/>
          </rPr>
          <t>寛:60mm 长:20mm 直角彩色8丝光白PVC不干胶</t>
        </r>
      </text>
    </comment>
    <comment ref="D867" authorId="0">
      <text>
        <r>
          <rPr>
            <b/>
            <sz val="9"/>
            <color indexed="81"/>
            <rFont val="Tahoma"/>
            <family val="2"/>
          </rPr>
          <t>直徑:50mm 圓形彩色8丝光白PVC不干胶</t>
        </r>
      </text>
    </comment>
    <comment ref="D891" authorId="0">
      <text>
        <r>
          <rPr>
            <b/>
            <sz val="9"/>
            <color indexed="81"/>
            <rFont val="Tahoma"/>
            <family val="2"/>
          </rPr>
          <t>直徑:50mm 圓形彩色8丝光白PVC不干胶</t>
        </r>
      </text>
    </comment>
    <comment ref="H902" authorId="0">
      <text>
        <r>
          <rPr>
            <b/>
            <sz val="9"/>
            <color indexed="81"/>
            <rFont val="Tahoma"/>
            <family val="2"/>
          </rPr>
          <t>盛豐物流
物流: 165
送貨: 80</t>
        </r>
      </text>
    </comment>
    <comment ref="D906" authorId="0">
      <text>
        <r>
          <rPr>
            <b/>
            <sz val="9"/>
            <color indexed="81"/>
            <rFont val="Tahoma"/>
            <family val="2"/>
          </rPr>
          <t>工廠出錯多送2片</t>
        </r>
      </text>
    </comment>
    <comment ref="D914" authorId="0">
      <text>
        <r>
          <rPr>
            <b/>
            <sz val="9"/>
            <color indexed="81"/>
            <rFont val="Tahoma"/>
            <family val="2"/>
          </rPr>
          <t>封面+内页157铜板 16P 210乘以140MM竖式 骑马钉</t>
        </r>
      </text>
    </comment>
    <comment ref="F940" authorId="0">
      <text>
        <r>
          <rPr>
            <b/>
            <sz val="9"/>
            <color indexed="81"/>
            <rFont val="Tahoma"/>
            <family val="2"/>
          </rPr>
          <t>1.4-&gt;1.35</t>
        </r>
      </text>
    </comment>
    <comment ref="C949" authorId="0">
      <text>
        <r>
          <rPr>
            <b/>
            <sz val="9"/>
            <color indexed="81"/>
            <rFont val="宋体"/>
            <charset val="134"/>
          </rPr>
          <t>单县</t>
        </r>
        <r>
          <rPr>
            <b/>
            <sz val="9"/>
            <color indexed="81"/>
            <rFont val="MingLiU"/>
            <family val="3"/>
            <charset val="136"/>
          </rPr>
          <t>超</t>
        </r>
        <r>
          <rPr>
            <b/>
            <sz val="9"/>
            <color indexed="81"/>
            <rFont val="宋体"/>
            <charset val="134"/>
          </rPr>
          <t>华</t>
        </r>
        <r>
          <rPr>
            <b/>
            <sz val="9"/>
            <color indexed="81"/>
            <rFont val="MingLiU"/>
            <family val="3"/>
            <charset val="136"/>
          </rPr>
          <t>塑</t>
        </r>
        <r>
          <rPr>
            <b/>
            <sz val="9"/>
            <color indexed="81"/>
            <rFont val="宋体"/>
            <charset val="134"/>
          </rPr>
          <t>胶</t>
        </r>
        <r>
          <rPr>
            <b/>
            <sz val="9"/>
            <color indexed="81"/>
            <rFont val="MingLiU"/>
            <family val="3"/>
            <charset val="136"/>
          </rPr>
          <t xml:space="preserve">15865057333
</t>
        </r>
      </text>
    </comment>
    <comment ref="G961" authorId="0">
      <text>
        <r>
          <rPr>
            <b/>
            <sz val="9"/>
            <color indexed="81"/>
            <rFont val="Tahoma"/>
            <family val="2"/>
          </rPr>
          <t>切 1.5米2200條
加工費: 150</t>
        </r>
      </text>
    </comment>
    <comment ref="G962" authorId="0">
      <text>
        <r>
          <rPr>
            <b/>
            <sz val="9"/>
            <color indexed="81"/>
            <rFont val="Tahoma"/>
            <family val="2"/>
          </rPr>
          <t>切 1.5米2200條
加工費: 150</t>
        </r>
      </text>
    </comment>
    <comment ref="F972" authorId="0">
      <text>
        <r>
          <rPr>
            <b/>
            <sz val="9"/>
            <color indexed="81"/>
            <rFont val="Tahoma"/>
            <family val="2"/>
          </rPr>
          <t>20170918 0.19-&gt;0.22</t>
        </r>
      </text>
    </comment>
    <comment ref="F974" authorId="0">
      <text>
        <r>
          <rPr>
            <b/>
            <sz val="9"/>
            <color indexed="81"/>
            <rFont val="Tahoma"/>
            <family val="2"/>
          </rPr>
          <t>20160928 0.032-&gt;0.04
20170914 0.04-&gt;0.052
20170919 70A-&gt;60A</t>
        </r>
      </text>
    </comment>
    <comment ref="D982" authorId="0">
      <text>
        <r>
          <rPr>
            <b/>
            <sz val="9"/>
            <color indexed="81"/>
            <rFont val="Tahoma"/>
            <family val="2"/>
          </rPr>
          <t>下單 碘值800-900椰壳碳
出貨 碘值1000-1100椰壳碳</t>
        </r>
      </text>
    </comment>
  </commentList>
</comments>
</file>

<file path=xl/sharedStrings.xml><?xml version="1.0" encoding="utf-8"?>
<sst xmlns="http://schemas.openxmlformats.org/spreadsheetml/2006/main" count="12359" uniqueCount="6010">
  <si>
    <t>4040Q</t>
    <phoneticPr fontId="2" type="noConversion"/>
  </si>
  <si>
    <t>4044Q</t>
    <phoneticPr fontId="2" type="noConversion"/>
  </si>
  <si>
    <t>1044Q</t>
    <phoneticPr fontId="2" type="noConversion"/>
  </si>
  <si>
    <t>4042Q</t>
  </si>
  <si>
    <t>福怡</t>
    <phoneticPr fontId="2" type="noConversion"/>
  </si>
  <si>
    <t>行動</t>
  </si>
  <si>
    <t>CTO</t>
  </si>
  <si>
    <t>小计</t>
  </si>
  <si>
    <t>單價</t>
  </si>
  <si>
    <t>小計</t>
  </si>
  <si>
    <t>减压阀</t>
  </si>
  <si>
    <t>漂萊特</t>
  </si>
  <si>
    <t>数量</t>
  </si>
  <si>
    <t>2分PE管白色(普通管)</t>
  </si>
  <si>
    <t>备注</t>
  </si>
  <si>
    <t>厂商</t>
  </si>
  <si>
    <t>含運/收代(0.26-&gt;0.24)</t>
  </si>
  <si>
    <t>陶氏</t>
  </si>
  <si>
    <t>产品名称</t>
  </si>
  <si>
    <t>奥泰</t>
  </si>
  <si>
    <t>PP棉</t>
  </si>
  <si>
    <t>运费</t>
  </si>
  <si>
    <t>城市之星</t>
  </si>
  <si>
    <t>王健</t>
  </si>
  <si>
    <t>4040Q</t>
  </si>
  <si>
    <t>長春</t>
  </si>
  <si>
    <t>10寸2分快接透明滤瓶</t>
  </si>
  <si>
    <t>10寸2分快接白色滤瓶</t>
  </si>
  <si>
    <t>二分三通球閥</t>
  </si>
  <si>
    <t>快接球閥</t>
  </si>
  <si>
    <t>小三叉水龍頭</t>
  </si>
  <si>
    <t>702Q</t>
  </si>
  <si>
    <t>4044Q</t>
  </si>
  <si>
    <t>小雙夾</t>
  </si>
  <si>
    <t>龍頭吊片</t>
  </si>
  <si>
    <t>定單日期</t>
  </si>
  <si>
    <t>到貨日期</t>
  </si>
  <si>
    <t>天地華宇</t>
  </si>
  <si>
    <t>800定日達+50上門費</t>
  </si>
  <si>
    <t>RO膜50G</t>
  </si>
  <si>
    <t>快遞代收</t>
  </si>
  <si>
    <t>物流</t>
  </si>
  <si>
    <t>MB400</t>
  </si>
  <si>
    <t>世通</t>
  </si>
  <si>
    <t>6分内牙转2分快接</t>
  </si>
  <si>
    <t>實付:7601.9 + 5.5</t>
  </si>
  <si>
    <t>實付:9048.8 + 5.5</t>
  </si>
  <si>
    <t>純源</t>
  </si>
  <si>
    <t>1044Q</t>
  </si>
  <si>
    <t>4040逆止阀</t>
  </si>
  <si>
    <t>1144Q</t>
  </si>
  <si>
    <t>拨管工具</t>
  </si>
  <si>
    <t>實付:5294.8 + 5.5</t>
  </si>
  <si>
    <t>日豐</t>
  </si>
  <si>
    <t>18包發琦怡斯+2包發厚街</t>
  </si>
  <si>
    <t>飛全</t>
  </si>
  <si>
    <t>CTO(未包)</t>
  </si>
  <si>
    <t>親送</t>
  </si>
  <si>
    <t>小T碳棒</t>
  </si>
  <si>
    <t>泓洋</t>
  </si>
  <si>
    <t>大扳手</t>
  </si>
  <si>
    <t>豐達代收</t>
  </si>
  <si>
    <t>淨寶</t>
  </si>
  <si>
    <t>小T-CTO(收縮不要蓋子)</t>
  </si>
  <si>
    <t>小T-PP</t>
  </si>
  <si>
    <t>珂怡斯</t>
  </si>
  <si>
    <t>松崗萬盛</t>
  </si>
  <si>
    <t>實付:7873.6 + 5.5</t>
  </si>
  <si>
    <t>18包砂運費</t>
  </si>
  <si>
    <t>DI代裝</t>
  </si>
  <si>
    <t>2分PE管藍色</t>
  </si>
  <si>
    <t>快遞</t>
  </si>
  <si>
    <t>實付:1360 + 2.72</t>
  </si>
  <si>
    <t>預付陶氏120(陶氏欠15元)</t>
  </si>
  <si>
    <t>預付陶氏60+15(陶氏欠13元)</t>
  </si>
  <si>
    <t>含運/收代</t>
  </si>
  <si>
    <t>2分PE管紅色</t>
  </si>
  <si>
    <t>小RO箱(38x14x46)</t>
  </si>
  <si>
    <t>行動箱(35.5x30.5x26.5)</t>
  </si>
  <si>
    <t>強隆</t>
  </si>
  <si>
    <t>驊康</t>
  </si>
  <si>
    <t>福怡</t>
  </si>
  <si>
    <t>三通</t>
  </si>
  <si>
    <t>球閥</t>
  </si>
  <si>
    <t>盛輝</t>
  </si>
  <si>
    <t>代收</t>
  </si>
  <si>
    <t>普通鵝頸</t>
  </si>
  <si>
    <t>水之源</t>
  </si>
  <si>
    <t>廢水夾</t>
  </si>
  <si>
    <t>佳吉</t>
  </si>
  <si>
    <t>實付:750 + 2</t>
  </si>
  <si>
    <t>大單夾</t>
  </si>
  <si>
    <t>RO膜400G</t>
  </si>
  <si>
    <t>吉麒</t>
  </si>
  <si>
    <t>纸箱(厚RO)38 x 18 x 46</t>
  </si>
  <si>
    <t>小T-黃金椰殼</t>
  </si>
  <si>
    <t>三贏</t>
  </si>
  <si>
    <t>TDS-2</t>
  </si>
  <si>
    <t>曾金源</t>
  </si>
  <si>
    <t>鐵板</t>
  </si>
  <si>
    <t>實付:4903.5 + 5.5</t>
  </si>
  <si>
    <t>物流上門</t>
  </si>
  <si>
    <t>上浮球</t>
  </si>
  <si>
    <t>實付:9705.6 + 5.5</t>
  </si>
  <si>
    <t>640運費+60上門費</t>
  </si>
  <si>
    <t>小T-黃金椰殼碳</t>
  </si>
  <si>
    <t>實付:9900 + 5.5</t>
  </si>
  <si>
    <t>超康</t>
  </si>
  <si>
    <t>廢水比800cc</t>
  </si>
  <si>
    <t>廢水比1100cc</t>
  </si>
  <si>
    <t>廢水比1500cc</t>
  </si>
  <si>
    <t>銳豐</t>
  </si>
  <si>
    <t>普通水龍頭</t>
  </si>
  <si>
    <t>實付:2400+4.8+1600+3.2</t>
  </si>
  <si>
    <t>實付:9829.9 + 5.5</t>
  </si>
  <si>
    <t>撥式水龍頭</t>
  </si>
  <si>
    <t>UDF顆粒碳</t>
  </si>
  <si>
    <t>少發一支UDF顆粒碳</t>
  </si>
  <si>
    <t>少二支白瓶</t>
  </si>
  <si>
    <t>10寸2分透明滤瓶</t>
  </si>
  <si>
    <t>10寸2分白色滤瓶</t>
  </si>
  <si>
    <t>亦正</t>
  </si>
  <si>
    <t>2分PE管白色</t>
  </si>
  <si>
    <t>550運費+50上門費</t>
  </si>
  <si>
    <t>實付:9255.7 + 5.5</t>
  </si>
  <si>
    <t>18包-&gt;1865支=103.6/包</t>
  </si>
  <si>
    <t>實付:4139.3 + 8.28</t>
  </si>
  <si>
    <t>13包發琦怡斯+2包發厚街</t>
  </si>
  <si>
    <t>實付:6424.8 + 5.5</t>
  </si>
  <si>
    <t>多給200個</t>
  </si>
  <si>
    <t>多給100個</t>
  </si>
  <si>
    <t>28支故障,換了一箱40支</t>
  </si>
  <si>
    <t>退10個空紙箱,給回100元</t>
  </si>
  <si>
    <t>預付陶氏120(陶氏仍欠11元)</t>
  </si>
  <si>
    <t>CCK水管</t>
  </si>
  <si>
    <t>13包砂運費</t>
  </si>
  <si>
    <t>實付:5607.9 + 5.5</t>
  </si>
  <si>
    <t>13包-&gt;1280支=98.5/包</t>
  </si>
  <si>
    <t>運費200元+上門150元</t>
  </si>
  <si>
    <t>實付:9902.1 + 5.5</t>
  </si>
  <si>
    <t>390運費+50上門費</t>
  </si>
  <si>
    <t>10寸滤瓶扳手</t>
  </si>
  <si>
    <t>583片-上批少8片=578片</t>
  </si>
  <si>
    <t>實付:4577.1 + 5.5</t>
  </si>
  <si>
    <t>联昊通代收</t>
  </si>
  <si>
    <t>華宇</t>
  </si>
  <si>
    <t>實付:825 + 2</t>
  </si>
  <si>
    <t>Y三通接頭</t>
  </si>
  <si>
    <t>702Q(T型三通)</t>
  </si>
  <si>
    <t>131Q(快接旁通阀)</t>
  </si>
  <si>
    <t>Y三通接头</t>
  </si>
  <si>
    <t>實付:13312 + 10.5</t>
  </si>
  <si>
    <t>560運費+50上門費</t>
  </si>
  <si>
    <t>扣除-&gt;藍色卡子</t>
  </si>
  <si>
    <t>實付:6502.4 + 5.5</t>
  </si>
  <si>
    <t>1042Q</t>
  </si>
  <si>
    <t>親送王健</t>
  </si>
  <si>
    <t>交貨淨寶</t>
  </si>
  <si>
    <t>實付:2000+2</t>
  </si>
  <si>
    <t>M66</t>
  </si>
  <si>
    <t>4分内牙转2分快接</t>
  </si>
  <si>
    <t>實付:683 + 2</t>
  </si>
  <si>
    <t>(欠11元已扣)</t>
  </si>
  <si>
    <t>李明UV</t>
  </si>
  <si>
    <t>8W灯管</t>
  </si>
  <si>
    <t>8W扁二插110V(SJY-UV 005G)</t>
  </si>
  <si>
    <t>10W灯管</t>
  </si>
  <si>
    <t>10W扁二插110V(SJY-UV 01G)</t>
  </si>
  <si>
    <t>國通</t>
  </si>
  <si>
    <t>實付:4150 + 2</t>
  </si>
  <si>
    <t>6G壓力桶</t>
  </si>
  <si>
    <t>實付:2046 + 4.09</t>
  </si>
  <si>
    <t>發王健代收</t>
  </si>
  <si>
    <t>三分三通</t>
  </si>
  <si>
    <t>港中快遞代收</t>
  </si>
  <si>
    <t>快接小T-PP</t>
  </si>
  <si>
    <t>快接小T-CTO</t>
  </si>
  <si>
    <t>小RO</t>
  </si>
  <si>
    <t>立卓</t>
  </si>
  <si>
    <t>3G壓力桶</t>
  </si>
  <si>
    <t>實付:8040 + 5.5</t>
  </si>
  <si>
    <t>包運費</t>
  </si>
  <si>
    <t>廢水比450</t>
  </si>
  <si>
    <t>反冲阀FY003-A（2分球阀）</t>
  </si>
  <si>
    <t>球阀FY004-A（2分外牙转2分快接球阀）</t>
  </si>
  <si>
    <t xml:space="preserve">进水三通FY021-A  </t>
  </si>
  <si>
    <t>702QT型三通</t>
  </si>
  <si>
    <t>4分内牙(水龙头口细牙)转2分快接</t>
  </si>
  <si>
    <t>實付:4522.8 + 5.5</t>
  </si>
  <si>
    <t>泓沁</t>
  </si>
  <si>
    <t>弘揚</t>
  </si>
  <si>
    <t>防漏衛士</t>
  </si>
  <si>
    <t>三分四通</t>
  </si>
  <si>
    <t>實付:900 + 2</t>
  </si>
  <si>
    <t>信豐快遞代收</t>
  </si>
  <si>
    <t>三分四通(退貨)</t>
  </si>
  <si>
    <t>信豐快遞</t>
  </si>
  <si>
    <t>能達快遞代收</t>
  </si>
  <si>
    <t>能達快遞</t>
  </si>
  <si>
    <t>順豐</t>
  </si>
  <si>
    <t>小T快接負電位</t>
  </si>
  <si>
    <t>小T快接KDF55除氯</t>
  </si>
  <si>
    <t>實付:1680 + 2</t>
  </si>
  <si>
    <t>2分转换球阀</t>
  </si>
  <si>
    <t>2分雙切</t>
  </si>
  <si>
    <t>信豐代收</t>
  </si>
  <si>
    <t>2分转换球阀(發錯退回)</t>
  </si>
  <si>
    <t>實付:3450 + 2</t>
  </si>
  <si>
    <t>豐達</t>
  </si>
  <si>
    <t>王福成</t>
  </si>
  <si>
    <t>窄浮球架</t>
  </si>
  <si>
    <t>寬浮球架</t>
  </si>
  <si>
    <t>未付</t>
  </si>
  <si>
    <t>自取</t>
  </si>
  <si>
    <t>小單夾</t>
  </si>
  <si>
    <t>四面閥</t>
  </si>
  <si>
    <t>雙切轉換頭</t>
  </si>
  <si>
    <t>E16</t>
  </si>
  <si>
    <t>漂萊特廣州進貨價差(1150-950=200)</t>
  </si>
  <si>
    <t>E15-800支DI(400支用秦一文)</t>
  </si>
  <si>
    <t>E15王健不同意扣款</t>
  </si>
  <si>
    <t>E16-1200支DI(800支用秦一文)</t>
  </si>
  <si>
    <t>E15多付</t>
  </si>
  <si>
    <t>2分PE無字白管</t>
  </si>
  <si>
    <t>3+1濾水器</t>
  </si>
  <si>
    <t>剪管刀</t>
  </si>
  <si>
    <t>快接大T-CTO</t>
  </si>
  <si>
    <t>快接大T-PP</t>
  </si>
  <si>
    <t>快接大T-树脂</t>
  </si>
  <si>
    <t>美成</t>
  </si>
  <si>
    <t>快接小T-树脂</t>
  </si>
  <si>
    <t>數量</t>
  </si>
  <si>
    <t>子母夾</t>
  </si>
  <si>
    <t>拔管工具</t>
  </si>
  <si>
    <t>鵝頸塑料工具</t>
  </si>
  <si>
    <t>淨之源</t>
  </si>
  <si>
    <t>亦正3.2G壓力桶</t>
  </si>
  <si>
    <t>1414(2分快接旁通阀)</t>
  </si>
  <si>
    <t>實付:5746.13 + 11.49</t>
  </si>
  <si>
    <t>實付:6400 + 2- 200(賣秦一文發票)</t>
  </si>
  <si>
    <t>實付:40000(6/8訂金) + 53381(7/28轉帳) + 5</t>
  </si>
  <si>
    <t>實付:38000 - 1140(賣秦一文發票)</t>
  </si>
  <si>
    <t>實付:760 + 15</t>
  </si>
  <si>
    <t>鵝頸</t>
  </si>
  <si>
    <t>虎門自領免運費</t>
  </si>
  <si>
    <t>利鵬自領免運費</t>
  </si>
  <si>
    <t>景光代收</t>
  </si>
  <si>
    <t>專車送淨寶免運費</t>
  </si>
  <si>
    <t>代收費:5元</t>
  </si>
  <si>
    <t>親送2107</t>
  </si>
  <si>
    <t>11/2/2013 樹脂到40包</t>
  </si>
  <si>
    <t>實付:1900 + 3.6</t>
  </si>
  <si>
    <t>景光</t>
  </si>
  <si>
    <t>實付:6370 + 2</t>
  </si>
  <si>
    <t>泓洋付運費含上門100元</t>
  </si>
  <si>
    <t>大RO纸箱38x38x40.5</t>
  </si>
  <si>
    <t>大逕張生小車</t>
  </si>
  <si>
    <t>實付:615 + 2</t>
  </si>
  <si>
    <t>方/個</t>
  </si>
  <si>
    <t>內容</t>
  </si>
  <si>
    <t>龍邦</t>
  </si>
  <si>
    <t>實付: 29875 + 2 + 2</t>
  </si>
  <si>
    <t>王健E15</t>
  </si>
  <si>
    <t>王健E16</t>
  </si>
  <si>
    <t>五级RO</t>
  </si>
  <si>
    <t>四级行動</t>
  </si>
  <si>
    <t>六分全透三级+PP+2CTO</t>
  </si>
  <si>
    <t>(加)16%:</t>
  </si>
  <si>
    <t>(減)舊配件:</t>
  </si>
  <si>
    <t>鐵板取出4片只出16片,100米白管沒出</t>
  </si>
  <si>
    <t>實付:30K(訂金) + 50K+5(轉帳) + 9K+2(轉帳) + 7K+2(轉帳)</t>
  </si>
  <si>
    <t>專車送王健免運費</t>
  </si>
  <si>
    <t>實付:38000 - 1140(賣秦一文發票) + 5 手續費</t>
  </si>
  <si>
    <t>龍光</t>
  </si>
  <si>
    <t>實付:1950 + 3.9</t>
  </si>
  <si>
    <t>快接小T-椰殼</t>
  </si>
  <si>
    <t>奧泰</t>
  </si>
  <si>
    <t>2分白PE管</t>
  </si>
  <si>
    <t>8W蓋子</t>
  </si>
  <si>
    <t>可調流量接頭</t>
  </si>
  <si>
    <t>增益代收</t>
  </si>
  <si>
    <t>CJ1/4-BTF01(2分快接旁通阀)</t>
  </si>
  <si>
    <t>CJ1/4-BTF02(2分带螺纹旁通阀)</t>
  </si>
  <si>
    <t>154Q(直通)</t>
  </si>
  <si>
    <t>鵝頸接头墊片</t>
  </si>
  <si>
    <t>切管刀</t>
  </si>
  <si>
    <t>實付:6890.38 + 5.5 (記錯少匯20元)</t>
  </si>
  <si>
    <t>恆通</t>
  </si>
  <si>
    <t>4分八角內絲球閥</t>
  </si>
  <si>
    <t>6分八角內絲球閥</t>
  </si>
  <si>
    <t>1寸口接头</t>
  </si>
  <si>
    <t>優速(到付多收5元)</t>
  </si>
  <si>
    <t>預付物流-&gt;王健</t>
  </si>
  <si>
    <t>濾康</t>
  </si>
  <si>
    <t>三叉龍頭</t>
  </si>
  <si>
    <t>單把撥示鵝頸</t>
  </si>
  <si>
    <t>信豐代收350</t>
  </si>
  <si>
    <t>能達代收</t>
  </si>
  <si>
    <t>景光長安街口</t>
  </si>
  <si>
    <t>景光厚街</t>
  </si>
  <si>
    <t>淘寶拍(2500+2500+5500)支付寶付款</t>
  </si>
  <si>
    <t>恩泰家居</t>
  </si>
  <si>
    <t>塑料变径补芯6分转1寸</t>
  </si>
  <si>
    <t>發王健</t>
  </si>
  <si>
    <t>實付:1710 + 3.42 +350</t>
  </si>
  <si>
    <t>發王健代付(126+12)</t>
  </si>
  <si>
    <t>發王健代付(快遞)</t>
  </si>
  <si>
    <t>捷惠</t>
  </si>
  <si>
    <t>PVC1寸對絲</t>
  </si>
  <si>
    <t>發王健代付(順豐快遞)</t>
  </si>
  <si>
    <t>淘寶拍支付寶付款</t>
  </si>
  <si>
    <t>K4040(扣掉藍色卡子)</t>
  </si>
  <si>
    <t>E18-小RO</t>
  </si>
  <si>
    <t>實付:6235 + 5.5</t>
  </si>
  <si>
    <t>實付:23600 + 10.5</t>
  </si>
  <si>
    <t>(代墊下次扣回)</t>
  </si>
  <si>
    <t>PVC6分對絲</t>
  </si>
  <si>
    <t>PVC4分對絲</t>
  </si>
  <si>
    <t>金維</t>
  </si>
  <si>
    <t>景光自取包運費</t>
  </si>
  <si>
    <t>1寸O型圈硅膠(32x4)</t>
  </si>
  <si>
    <t>萬江工廠自取,4/8換貨</t>
  </si>
  <si>
    <t>發王健代付(德邦)</t>
  </si>
  <si>
    <t>大雙夾</t>
  </si>
  <si>
    <t>4/4預付:9300</t>
  </si>
  <si>
    <t>龍頭接頭密封圈</t>
  </si>
  <si>
    <t>實付:75 + 2</t>
  </si>
  <si>
    <t>4/11通知物流翻車,改廣州出圓形</t>
  </si>
  <si>
    <t>專線到萬江</t>
  </si>
  <si>
    <t>圓通快遞</t>
  </si>
  <si>
    <t>能達送王健</t>
  </si>
  <si>
    <t>包運費送王健</t>
  </si>
  <si>
    <t>扣回上次4/7代墊10元</t>
  </si>
  <si>
    <t>聯昊通代收</t>
  </si>
  <si>
    <t>4/12王健領貨付70元</t>
  </si>
  <si>
    <t>4/13小郭支付寶轉70元</t>
  </si>
  <si>
    <t>長安上沙誠記物流自提</t>
  </si>
  <si>
    <t>沒貨取消</t>
  </si>
  <si>
    <t>實付:10000+2+20000+70000+15000</t>
  </si>
  <si>
    <t>信豐厚街北方-&gt;長安</t>
  </si>
  <si>
    <t>退回</t>
  </si>
  <si>
    <t>換</t>
  </si>
  <si>
    <t>天天快遞</t>
  </si>
  <si>
    <t>億源</t>
  </si>
  <si>
    <t>濾材貼紙-DI</t>
  </si>
  <si>
    <t>濾材貼紙-GAC</t>
  </si>
  <si>
    <t>濾材貼紙-空白</t>
  </si>
  <si>
    <t>濾材貼紙-PP</t>
  </si>
  <si>
    <t>鳳崗自取</t>
  </si>
  <si>
    <t>80gA4雙面說明書-RO機</t>
  </si>
  <si>
    <t>80gA4雙面說明書-行動</t>
  </si>
  <si>
    <t>80gA4雙面說明書-通用P1</t>
  </si>
  <si>
    <t>80gA4雙面說明書-通用P2</t>
  </si>
  <si>
    <t>2014-08-17庫存:</t>
  </si>
  <si>
    <t>80gA4雙面說明書-照片行動P1</t>
  </si>
  <si>
    <t>80gA4雙面說明書-照片行動P2</t>
  </si>
  <si>
    <t>80gA4單面說明書-WH</t>
  </si>
  <si>
    <t>單切漲9元退</t>
  </si>
  <si>
    <t>信豐(拒收退回)</t>
  </si>
  <si>
    <t>李雙要求下次補付來回運費</t>
  </si>
  <si>
    <t>優速</t>
  </si>
  <si>
    <t>1414(2分快接旁通阀)131Q</t>
  </si>
  <si>
    <t>永赞工艺</t>
  </si>
  <si>
    <t>丰达</t>
  </si>
  <si>
    <t>1144Q(4011)</t>
  </si>
  <si>
    <t>2分四通</t>
  </si>
  <si>
    <t>實付:12390 + 2 + 2</t>
  </si>
  <si>
    <t>實付:1336 + 2.67</t>
  </si>
  <si>
    <t>代寄快遞淨寶</t>
  </si>
  <si>
    <t>支付寶</t>
  </si>
  <si>
    <t>沁泉</t>
  </si>
  <si>
    <t>實付:4800 + 5</t>
  </si>
  <si>
    <t>實付:3420 + 5</t>
  </si>
  <si>
    <t>實付:6650 + 10</t>
  </si>
  <si>
    <t>實付:5864.2 + 10</t>
  </si>
  <si>
    <t>實付:2385 + 2</t>
  </si>
  <si>
    <t>信豐</t>
  </si>
  <si>
    <t>實付:24400 + 5</t>
  </si>
  <si>
    <t>60元小四輪36件景光-&gt;2107</t>
  </si>
  <si>
    <t>涌口物流</t>
  </si>
  <si>
    <t>利鵬物流</t>
  </si>
  <si>
    <t>將軍路安信達</t>
  </si>
  <si>
    <t>實付:6200 + 2.6 + 5</t>
  </si>
  <si>
    <t>協倉貨車分2地拉貨加200</t>
  </si>
  <si>
    <t>增益</t>
  </si>
  <si>
    <t>十一前無法出貨取消訂單</t>
  </si>
  <si>
    <t>百福康</t>
  </si>
  <si>
    <t>實付:1980 + 3.96</t>
  </si>
  <si>
    <t>錯發街口轉厚街50元扣上次退貨運費10元下次扣回40元</t>
  </si>
  <si>
    <t>x1042Q</t>
  </si>
  <si>
    <t>至</t>
  </si>
  <si>
    <t>箱號起</t>
  </si>
  <si>
    <t>只出了281支</t>
  </si>
  <si>
    <t>10/7已退款2090元匯交行DV</t>
  </si>
  <si>
    <t>下次扣152+40=192</t>
  </si>
  <si>
    <t>合鑫</t>
  </si>
  <si>
    <t>D20塑料三通</t>
  </si>
  <si>
    <t>D20對絲</t>
  </si>
  <si>
    <t>實付:12200 + 2 + 2 + 400 + 2</t>
  </si>
  <si>
    <t>塑膠水口轉換頭</t>
  </si>
  <si>
    <t>實付:4029.75 + 8.06</t>
  </si>
  <si>
    <t>O型圈\21.3*16*2.65\黑色\橡胶\70A</t>
  </si>
  <si>
    <t>21.3*16.5*3.7</t>
  </si>
  <si>
    <t>塑料水口轉快接用密封圈(O型圈\21.3*16*2.65\黑色\橡胶\70A)</t>
  </si>
  <si>
    <t>美成叫車</t>
  </si>
  <si>
    <t>實付:1552 + 2</t>
  </si>
  <si>
    <t>WH3纸箱42x15x37</t>
  </si>
  <si>
    <t>快遞包郵</t>
  </si>
  <si>
    <t>河田北方貨運</t>
  </si>
  <si>
    <t>實付:1094.5 + 2.19</t>
  </si>
  <si>
    <t>直接發王健</t>
  </si>
  <si>
    <t>實付:1402.95 + 2.81</t>
  </si>
  <si>
    <t>實付:675 + 2</t>
  </si>
  <si>
    <t>扣上次只出了281支=152+40=192</t>
  </si>
  <si>
    <t>水龍頭螺母</t>
  </si>
  <si>
    <t>前置</t>
  </si>
  <si>
    <t>管釘</t>
  </si>
  <si>
    <t>管夾</t>
  </si>
  <si>
    <t>2分管钉(100个一包）</t>
  </si>
  <si>
    <t>2分龙头元宝</t>
  </si>
  <si>
    <t>海淘</t>
  </si>
  <si>
    <t>KT-206沐浴净水器滤芯</t>
  </si>
  <si>
    <t>KT-206沐浴净水器</t>
  </si>
  <si>
    <t>KT-002沐浴净水器</t>
  </si>
  <si>
    <t>KT-002沐浴净水器滤芯</t>
  </si>
  <si>
    <t>KT-102透明铜牙龙头净水器</t>
  </si>
  <si>
    <t>KT-102龙头净水器滤芯</t>
  </si>
  <si>
    <t>開拓</t>
  </si>
  <si>
    <t>雙控單出鵝頸</t>
  </si>
  <si>
    <t>鸿达</t>
  </si>
  <si>
    <t>10寸多折滤芯-1um</t>
  </si>
  <si>
    <t>10寸多折滤芯-5um</t>
  </si>
  <si>
    <t>10寸線繞滤芯-1um</t>
  </si>
  <si>
    <t>10寸線繞滤芯-5um</t>
  </si>
  <si>
    <t>你这个内扣的是跟培升还是丰达拿的？</t>
  </si>
  <si>
    <t>沁泉K154泄压阀-2.5元</t>
  </si>
  <si>
    <t>2分快接一字调节阀</t>
  </si>
  <si>
    <t>明煌硅磷晶(slow phos,Polyphosphate beads,siliphos, power phos)</t>
  </si>
  <si>
    <t>銅前置過濾6分口</t>
  </si>
  <si>
    <t>高壓國產塑料微噴噴嘴</t>
  </si>
  <si>
    <t>噴嘴之家</t>
  </si>
  <si>
    <t>Shurflo,aquatec</t>
  </si>
  <si>
    <t>韵达</t>
  </si>
  <si>
    <t>京廣代收</t>
  </si>
  <si>
    <t>信丰</t>
  </si>
  <si>
    <t>實付:7363 + 14.73</t>
  </si>
  <si>
    <t>沙邦</t>
  </si>
  <si>
    <t>景越</t>
  </si>
  <si>
    <t>進口食品級透明硅膠管</t>
  </si>
  <si>
    <t>康郡</t>
  </si>
  <si>
    <t>4021不鏽鋼膜殼雙4分口</t>
  </si>
  <si>
    <t>4分外牙轉2分快接</t>
  </si>
  <si>
    <t>4分外牙轉3分快接</t>
  </si>
  <si>
    <t>支付寶 2025元</t>
  </si>
  <si>
    <t>支付寶 270元</t>
  </si>
  <si>
    <t>支付寶 29元</t>
  </si>
  <si>
    <t>潮源</t>
  </si>
  <si>
    <t>汇通ULP31-4021 800G RO膜</t>
  </si>
  <si>
    <t>RO箱1-150箱</t>
  </si>
  <si>
    <t>RO箱151-300箱</t>
  </si>
  <si>
    <t>RO鐵板</t>
  </si>
  <si>
    <t>紅色2分PE管</t>
  </si>
  <si>
    <t>藍色2分PE管</t>
  </si>
  <si>
    <t>4040Q(純源)</t>
  </si>
  <si>
    <t>4044Q(純源)</t>
  </si>
  <si>
    <t>3分PE管</t>
  </si>
  <si>
    <t>水口快接O-ring(純源)</t>
  </si>
  <si>
    <t>10寸压纹PP（100克)</t>
  </si>
  <si>
    <t>直接出王健</t>
  </si>
  <si>
    <t>10寸压纹PP（100克)(陶氏)</t>
  </si>
  <si>
    <t>王健代墊 278 (440+30-192)</t>
  </si>
  <si>
    <t>速騰</t>
  </si>
  <si>
    <t>紅馬代收</t>
  </si>
  <si>
    <t>虎門南方連+送貨上門</t>
  </si>
  <si>
    <t>佳吉送上門</t>
  </si>
  <si>
    <t>上海曉鋒</t>
  </si>
  <si>
    <t>优速</t>
  </si>
  <si>
    <t>立暢</t>
  </si>
  <si>
    <t>7*10*5絲封口袋(100個)</t>
  </si>
  <si>
    <t>中通發王健代收</t>
  </si>
  <si>
    <t>五级RO（配个透明）</t>
  </si>
  <si>
    <t>组装三级挂板</t>
  </si>
  <si>
    <t>组装二级挂板</t>
  </si>
  <si>
    <t>10寸白瓶6分</t>
  </si>
  <si>
    <t>10寸透瓶6分</t>
  </si>
  <si>
    <t>10寸PP棉滤芯</t>
  </si>
  <si>
    <t>10寸CTO滤芯</t>
  </si>
  <si>
    <t>10寸扳手</t>
  </si>
  <si>
    <t>支付寶 2000 + 1360</t>
    <phoneticPr fontId="2" type="noConversion"/>
  </si>
  <si>
    <t>4分内牙(水龙头口细牙)转2分快接(配42N胶圈)</t>
    <phoneticPr fontId="2" type="noConversion"/>
  </si>
  <si>
    <t>(補貨1000个上次3000只給2000)42N胶圈配4分內牙用</t>
    <phoneticPr fontId="2" type="noConversion"/>
  </si>
  <si>
    <t>三分三通</t>
    <phoneticPr fontId="2" type="noConversion"/>
  </si>
  <si>
    <t>實付:12152.5 + 20</t>
    <phoneticPr fontId="2" type="noConversion"/>
  </si>
  <si>
    <t>寄淨寶</t>
    <phoneticPr fontId="2" type="noConversion"/>
  </si>
  <si>
    <t>內徑 12mm 外徑24.5mm 厚度3mm</t>
    <phoneticPr fontId="2" type="noConversion"/>
  </si>
  <si>
    <t>王健</t>
    <phoneticPr fontId="2" type="noConversion"/>
  </si>
  <si>
    <t>全通快運</t>
    <phoneticPr fontId="2" type="noConversion"/>
  </si>
  <si>
    <t>專車送淨寶免運費</t>
    <phoneticPr fontId="2" type="noConversion"/>
  </si>
  <si>
    <t>直接裝車出海運</t>
    <phoneticPr fontId="2" type="noConversion"/>
  </si>
  <si>
    <t>支付寶</t>
    <phoneticPr fontId="2" type="noConversion"/>
  </si>
  <si>
    <t>恆通</t>
    <phoneticPr fontId="2" type="noConversion"/>
  </si>
  <si>
    <t>實付: 4050 + 8.1</t>
    <phoneticPr fontId="2" type="noConversion"/>
  </si>
  <si>
    <t>日豐物流</t>
    <phoneticPr fontId="2" type="noConversion"/>
  </si>
  <si>
    <t>快遞寄淨寶</t>
    <phoneticPr fontId="2" type="noConversion"/>
  </si>
  <si>
    <t>80gA4雙面說明書-照片行動P1</t>
    <phoneticPr fontId="2" type="noConversion"/>
  </si>
  <si>
    <t>80gA4雙面說明書-20150405行動</t>
    <phoneticPr fontId="2" type="noConversion"/>
  </si>
  <si>
    <t>80gA4雙面說明書-20150405RO</t>
    <phoneticPr fontId="2" type="noConversion"/>
  </si>
  <si>
    <t>80gA4雙面說明書-20150405共用P1</t>
    <phoneticPr fontId="2" type="noConversion"/>
  </si>
  <si>
    <t>80gA4雙面說明書-20150405共用P2</t>
  </si>
  <si>
    <t>80gA4雙面說明書-20150405共用P3</t>
  </si>
  <si>
    <t>6分對絲用密封圈(24.5*12*3硅胶)</t>
    <phoneticPr fontId="2" type="noConversion"/>
  </si>
  <si>
    <t>實付: 4550 + 5</t>
    <phoneticPr fontId="2" type="noConversion"/>
  </si>
  <si>
    <t>卡子多寄,快遞退回</t>
    <phoneticPr fontId="2" type="noConversion"/>
  </si>
  <si>
    <t>6分八角內絲球閥</t>
    <phoneticPr fontId="2" type="noConversion"/>
  </si>
  <si>
    <t>億源</t>
    <phoneticPr fontId="2" type="noConversion"/>
  </si>
  <si>
    <t>PVC6分對絲</t>
    <phoneticPr fontId="2" type="noConversion"/>
  </si>
  <si>
    <t>捷惠</t>
    <phoneticPr fontId="2" type="noConversion"/>
  </si>
  <si>
    <t>一字型1分内牙转2分快接</t>
    <phoneticPr fontId="2" type="noConversion"/>
  </si>
  <si>
    <t>塑料水口轉換頭</t>
    <phoneticPr fontId="2" type="noConversion"/>
  </si>
  <si>
    <t>一字型2分转3分快接</t>
    <phoneticPr fontId="2" type="noConversion"/>
  </si>
  <si>
    <t>L型彎頭2分转3分快接</t>
    <phoneticPr fontId="2" type="noConversion"/>
  </si>
  <si>
    <t>實付:1660 + 3.32 + 190 + 2</t>
    <phoneticPr fontId="2" type="noConversion"/>
  </si>
  <si>
    <t>銅水口轉換頭</t>
    <phoneticPr fontId="2" type="noConversion"/>
  </si>
  <si>
    <t>韻達代收</t>
    <phoneticPr fontId="2" type="noConversion"/>
  </si>
  <si>
    <t>塑料水口轉換頭(M24/M22)</t>
    <phoneticPr fontId="2" type="noConversion"/>
  </si>
  <si>
    <t>淨寶</t>
    <phoneticPr fontId="2" type="noConversion"/>
  </si>
  <si>
    <t>泓沁</t>
    <phoneticPr fontId="2" type="noConversion"/>
  </si>
  <si>
    <t>實付:30000 + 5 + 35410 + 5</t>
    <phoneticPr fontId="2" type="noConversion"/>
  </si>
  <si>
    <t>實付: 1590 + 3.18</t>
    <phoneticPr fontId="2" type="noConversion"/>
  </si>
  <si>
    <t>四面閥</t>
    <phoneticPr fontId="2" type="noConversion"/>
  </si>
  <si>
    <t>龍邦快遞代收</t>
    <phoneticPr fontId="2" type="noConversion"/>
  </si>
  <si>
    <t>自己至常平蘆屋自取</t>
    <phoneticPr fontId="2" type="noConversion"/>
  </si>
  <si>
    <t>8W塑料蓋子</t>
  </si>
  <si>
    <t>80gA4單面說明書-WH</t>
    <phoneticPr fontId="2" type="noConversion"/>
  </si>
  <si>
    <t>支付寶: 114.96</t>
    <phoneticPr fontId="2" type="noConversion"/>
  </si>
  <si>
    <t>實付:6306 + 2</t>
    <phoneticPr fontId="2" type="noConversion"/>
  </si>
  <si>
    <t>直接寄王健代收</t>
    <phoneticPr fontId="2" type="noConversion"/>
  </si>
  <si>
    <t>優速??</t>
    <phoneticPr fontId="2" type="noConversion"/>
  </si>
  <si>
    <t>20寸PP芯</t>
    <phoneticPr fontId="2" type="noConversion"/>
  </si>
  <si>
    <t>3*8磁吸(0.3MM厚)</t>
    <phoneticPr fontId="2" type="noConversion"/>
  </si>
  <si>
    <t>20寸CTO滤芯</t>
    <phoneticPr fontId="2" type="noConversion"/>
  </si>
  <si>
    <t>支付寶: 80 + 8</t>
    <phoneticPr fontId="2" type="noConversion"/>
  </si>
  <si>
    <t>實付:5000 + 983</t>
    <phoneticPr fontId="2" type="noConversion"/>
  </si>
  <si>
    <t>直接送王健</t>
    <phoneticPr fontId="2" type="noConversion"/>
  </si>
  <si>
    <t>萬江美源達</t>
    <phoneticPr fontId="2" type="noConversion"/>
  </si>
  <si>
    <t>實付:23160 + 5</t>
    <phoneticPr fontId="2" type="noConversion"/>
  </si>
  <si>
    <t>韻達</t>
    <phoneticPr fontId="2" type="noConversion"/>
  </si>
  <si>
    <t>TDS</t>
    <phoneticPr fontId="2" type="noConversion"/>
  </si>
  <si>
    <t>快遞寄王健</t>
    <phoneticPr fontId="2" type="noConversion"/>
  </si>
  <si>
    <t>支付寶: 160 +20</t>
    <phoneticPr fontId="2" type="noConversion"/>
  </si>
  <si>
    <t>小T33</t>
    <phoneticPr fontId="2" type="noConversion"/>
  </si>
  <si>
    <t>一分内牙L接头</t>
    <phoneticPr fontId="2" type="noConversion"/>
  </si>
  <si>
    <t>實付:70000 + 5 + 11616</t>
    <phoneticPr fontId="2" type="noConversion"/>
  </si>
  <si>
    <t>白色2分PE管</t>
    <phoneticPr fontId="2" type="noConversion"/>
  </si>
  <si>
    <t>快遞寄八方</t>
    <phoneticPr fontId="2" type="noConversion"/>
  </si>
  <si>
    <t>未付下次結算</t>
    <phoneticPr fontId="2" type="noConversion"/>
  </si>
  <si>
    <t>實付:5000 + 2242</t>
    <phoneticPr fontId="2" type="noConversion"/>
  </si>
  <si>
    <t>萬江美源達(PT載)</t>
    <phoneticPr fontId="2" type="noConversion"/>
  </si>
  <si>
    <t>立卓</t>
    <phoneticPr fontId="2" type="noConversion"/>
  </si>
  <si>
    <t>實付: 2730</t>
    <phoneticPr fontId="2" type="noConversion"/>
  </si>
  <si>
    <t>五级RO（配个透明）</t>
    <phoneticPr fontId="2" type="noConversion"/>
  </si>
  <si>
    <t>美标6分八角內絲球閥</t>
    <phoneticPr fontId="2" type="noConversion"/>
  </si>
  <si>
    <t>快接小T-CTO</t>
    <phoneticPr fontId="2" type="noConversion"/>
  </si>
  <si>
    <t>快接小T-黃金椰殼</t>
    <phoneticPr fontId="2" type="noConversion"/>
  </si>
  <si>
    <t>塑料变径补芯4分转6分</t>
    <phoneticPr fontId="2" type="noConversion"/>
  </si>
  <si>
    <t>快遞送王健</t>
    <phoneticPr fontId="2" type="noConversion"/>
  </si>
  <si>
    <t>支付寶: 78</t>
    <phoneticPr fontId="2" type="noConversion"/>
  </si>
  <si>
    <t>恩泰家居</t>
    <phoneticPr fontId="2" type="noConversion"/>
  </si>
  <si>
    <t>美标6分碟柄八角內絲球阀</t>
    <phoneticPr fontId="2" type="noConversion"/>
  </si>
  <si>
    <t>快接小T-負電位</t>
    <phoneticPr fontId="2" type="noConversion"/>
  </si>
  <si>
    <t>8W扁二插110V(SJY-UV 005G)</t>
    <phoneticPr fontId="2" type="noConversion"/>
  </si>
  <si>
    <t>1.5米三色PE管</t>
    <phoneticPr fontId="2" type="noConversion"/>
  </si>
  <si>
    <t>實付: 3900</t>
    <phoneticPr fontId="2" type="noConversion"/>
  </si>
  <si>
    <t>直接寄王健</t>
    <phoneticPr fontId="2" type="noConversion"/>
  </si>
  <si>
    <t>直接寄淨寶</t>
    <phoneticPr fontId="2" type="noConversion"/>
  </si>
  <si>
    <t>專線王健代領</t>
    <phoneticPr fontId="2" type="noConversion"/>
  </si>
  <si>
    <t>實付: 3480</t>
    <phoneticPr fontId="2" type="noConversion"/>
  </si>
  <si>
    <t>支付寶: 696+104.01</t>
    <phoneticPr fontId="2" type="noConversion"/>
  </si>
  <si>
    <t>快接小T-PP</t>
    <phoneticPr fontId="2" type="noConversion"/>
  </si>
  <si>
    <t>實付: 5000 + 5000 + 37700 + 5</t>
    <phoneticPr fontId="2" type="noConversion"/>
  </si>
  <si>
    <r>
      <t>404</t>
    </r>
    <r>
      <rPr>
        <sz val="10"/>
        <rFont val="宋体"/>
        <charset val="134"/>
      </rPr>
      <t>4</t>
    </r>
    <r>
      <rPr>
        <sz val="10"/>
        <rFont val="宋体"/>
        <charset val="134"/>
      </rPr>
      <t>Q</t>
    </r>
    <phoneticPr fontId="2" type="noConversion"/>
  </si>
  <si>
    <t>六分接头</t>
    <phoneticPr fontId="2" type="noConversion"/>
  </si>
  <si>
    <t>六分垫</t>
    <phoneticPr fontId="2" type="noConversion"/>
  </si>
  <si>
    <t>10寸三级（加工费）</t>
    <phoneticPr fontId="2" type="noConversion"/>
  </si>
  <si>
    <t>5寸透瓶4分蓋</t>
    <phoneticPr fontId="2" type="noConversion"/>
  </si>
  <si>
    <t>5寸透瓶無蓋</t>
    <phoneticPr fontId="2" type="noConversion"/>
  </si>
  <si>
    <t>實付: 40000 + 5 + 26750 + 5</t>
  </si>
  <si>
    <t>王健-E22</t>
  </si>
  <si>
    <t>王健-E24</t>
  </si>
  <si>
    <t>王健-E23</t>
  </si>
  <si>
    <t>20寸PP芯</t>
  </si>
  <si>
    <t>王健E20</t>
  </si>
  <si>
    <t>淘寶姚毓娇</t>
  </si>
  <si>
    <t>小圓球浮球閥+4042Q</t>
  </si>
  <si>
    <t>百世快递</t>
  </si>
  <si>
    <t>速爾寄王健</t>
  </si>
  <si>
    <t>淘寶安特浦</t>
  </si>
  <si>
    <t>安特浦</t>
  </si>
  <si>
    <t>支付寶: 390</t>
  </si>
  <si>
    <t>支付寶: 270</t>
  </si>
  <si>
    <t>實付: 2800</t>
  </si>
  <si>
    <t>實付:4500</t>
  </si>
  <si>
    <t>RO膜ATP-3012-XLP-600/800G</t>
  </si>
  <si>
    <t>泉基</t>
  </si>
  <si>
    <t>實付: 1725</t>
  </si>
  <si>
    <t>支付寶: 112</t>
  </si>
  <si>
    <t>銅3分三通</t>
  </si>
  <si>
    <t>支付寶: 490 + 0.5</t>
  </si>
  <si>
    <t>淘寶鑫鑫</t>
  </si>
  <si>
    <t>偏白透明胶带4.5x2.5</t>
  </si>
  <si>
    <t>偏黃透明胶带4.5x2.5</t>
  </si>
  <si>
    <t>實付: 728 - 淘寶客 10</t>
  </si>
  <si>
    <t>切割器</t>
  </si>
  <si>
    <t>下圓球浮球閥</t>
  </si>
  <si>
    <t>3分內牙轉2分快接L彎頭+3分墊片</t>
  </si>
  <si>
    <t>支付寶: 430</t>
  </si>
  <si>
    <t>銅3分三通補差價</t>
  </si>
  <si>
    <t>2分球閥</t>
  </si>
  <si>
    <t>實付: 4800 + PT 代匯 940 + PT轉D付微信 1560</t>
  </si>
  <si>
    <t>直接寄王健</t>
  </si>
  <si>
    <t>百世快递寄王健</t>
  </si>
  <si>
    <t>實付:390</t>
  </si>
  <si>
    <t>王健-E25</t>
  </si>
  <si>
    <t>10寸三级（加工费）</t>
    <phoneticPr fontId="30" type="noConversion"/>
  </si>
  <si>
    <t>10寸PP棉滤芯</t>
    <phoneticPr fontId="30" type="noConversion"/>
  </si>
  <si>
    <t>10寸CTO滤芯</t>
    <phoneticPr fontId="30" type="noConversion"/>
  </si>
  <si>
    <t>六分垫</t>
    <phoneticPr fontId="14" type="noConversion"/>
  </si>
  <si>
    <t>六分接头</t>
    <phoneticPr fontId="30" type="noConversion"/>
  </si>
  <si>
    <t>六分小密封圈</t>
    <phoneticPr fontId="28" type="noConversion"/>
  </si>
  <si>
    <t>20寸板手</t>
    <phoneticPr fontId="28" type="noConversion"/>
  </si>
  <si>
    <t>10寸扳手</t>
    <phoneticPr fontId="30" type="noConversion"/>
  </si>
  <si>
    <t>定制紙箱37x15.5x46cm特价</t>
  </si>
  <si>
    <t>預留-未出貨6分濾瓶蓋</t>
  </si>
  <si>
    <t>寄存待處理-42N胶圈配4分內牙用</t>
  </si>
  <si>
    <t>實付: 39972 + 10896</t>
  </si>
  <si>
    <t>三级挂板</t>
  </si>
  <si>
    <t>大石</t>
  </si>
  <si>
    <t>三分三通用密封圈(O型圈\13*7*3\透明\硅胶\50A)</t>
  </si>
  <si>
    <t>盛輝寄王健領貨</t>
  </si>
  <si>
    <t>鵝頸快接头</t>
  </si>
  <si>
    <t>快接头4040逆止阀(L型)</t>
  </si>
  <si>
    <t>快接球阀(二分直通)</t>
  </si>
  <si>
    <t>10寸三级挂板(塑料)</t>
  </si>
  <si>
    <t>E24-五级RO退树脂芯和接头(2016-09)</t>
  </si>
  <si>
    <t>壓力桶球閥</t>
  </si>
  <si>
    <t>快接头K6040(二分变三分L型)(配件-A-3-4)</t>
  </si>
  <si>
    <t>恩創</t>
  </si>
  <si>
    <t>銅美制NPT3分內牙轉英制BSP4分外牙轉接頭</t>
  </si>
  <si>
    <t>銅英制BSP4分內牙轉美制NPT3分外牙轉接頭</t>
  </si>
  <si>
    <t>退還一半打樣費</t>
  </si>
  <si>
    <t>實付:45600 - 1328(賣秦一文發票) + 5 手續費</t>
  </si>
  <si>
    <t>2分進水三通球閥</t>
  </si>
  <si>
    <t>實付: 3048</t>
  </si>
  <si>
    <t>2017/1/5給王健-3/19已取回</t>
  </si>
  <si>
    <t>纸箱-大外箱(K=K五層加強紙樣)</t>
  </si>
  <si>
    <t>纸箱-濾芯內箱(A=A三層)</t>
  </si>
  <si>
    <t>纸板-固定壓力桶(A=A三層)</t>
  </si>
  <si>
    <t>雙發</t>
  </si>
  <si>
    <t>實付: 3000 + 4550</t>
  </si>
  <si>
    <t>億時</t>
  </si>
  <si>
    <t>廢水比450CC</t>
  </si>
  <si>
    <t>x廢水比450CC</t>
  </si>
  <si>
    <t>3.2G綠蓋白塑膠壓力桶</t>
  </si>
  <si>
    <t>溢品泉1688</t>
  </si>
  <si>
    <t>浦瑞斯</t>
  </si>
  <si>
    <t>萬江銘宇</t>
  </si>
  <si>
    <t>克斯达威1688</t>
  </si>
  <si>
    <t>快接头K4040(二分L型)</t>
  </si>
  <si>
    <t>快接头K702(T型三通)</t>
  </si>
  <si>
    <t>實付: 1000 + 2000 + 3800</t>
  </si>
  <si>
    <t>順風物流送王健</t>
  </si>
  <si>
    <t>标签-PP</t>
  </si>
  <si>
    <t>标签-UDF</t>
  </si>
  <si>
    <t>标签-CTO</t>
  </si>
  <si>
    <t>支付寶: 165</t>
  </si>
  <si>
    <t>支付寶: 555</t>
  </si>
  <si>
    <t>不干胶-PP</t>
  </si>
  <si>
    <t>不干胶-UDF</t>
  </si>
  <si>
    <t>不干胶-CTO</t>
  </si>
  <si>
    <t>不干胶-膜殼</t>
  </si>
  <si>
    <t>不干胶-小T33</t>
  </si>
  <si>
    <t>晨枫-淘寶</t>
  </si>
  <si>
    <t>印之家-淘寶</t>
  </si>
  <si>
    <t>實付: 10000 + 21660 + 12</t>
  </si>
  <si>
    <t>叫車送王健</t>
  </si>
  <si>
    <t>先锋-淘寶</t>
  </si>
  <si>
    <t>不干胶-掛板</t>
  </si>
  <si>
    <t>支付寶: 88</t>
  </si>
  <si>
    <t>支付寶: 36000 + 還王健代墊 550</t>
  </si>
  <si>
    <t>支付寶: 4500 + 還王健代墊 155</t>
  </si>
  <si>
    <t>立誠</t>
  </si>
  <si>
    <t>短款废水比450CC</t>
  </si>
  <si>
    <t>實付: 3000</t>
  </si>
  <si>
    <t>快遞王健</t>
  </si>
  <si>
    <t>實付: 1415</t>
  </si>
  <si>
    <t>5cm7分硅膠管(內徑7/8"22.225mm)</t>
  </si>
  <si>
    <t>白色ABS鵝頸龍頭快接款</t>
  </si>
  <si>
    <t>2分灰色PE水管不帶字</t>
  </si>
  <si>
    <t>支付寶: 960</t>
  </si>
  <si>
    <t>快遞發王健</t>
  </si>
  <si>
    <t>支付寶: 830</t>
  </si>
  <si>
    <t>中通</t>
  </si>
  <si>
    <t>圆通</t>
  </si>
  <si>
    <t>晟益1688</t>
  </si>
  <si>
    <t>馨品1688</t>
  </si>
  <si>
    <t>康曼尔1688</t>
  </si>
  <si>
    <t>2分鵝頸水龙头挂片</t>
  </si>
  <si>
    <t>支付寶: 300</t>
  </si>
  <si>
    <t>實付: 6000</t>
  </si>
  <si>
    <t>不干胶-to Faucet-白管</t>
  </si>
  <si>
    <t>不干胶-to Feed-紅管</t>
  </si>
  <si>
    <t>不干胶-to Drain-灰管</t>
  </si>
  <si>
    <t>不干胶-to Tank-藍管</t>
  </si>
  <si>
    <t>不干胶-压力桶标签</t>
  </si>
  <si>
    <t>不干胶-美國國旗</t>
  </si>
  <si>
    <t>支付寶: 220</t>
  </si>
  <si>
    <t>RO膜75GDP(不貼標)</t>
  </si>
  <si>
    <t>快接头K4011(1144Q)</t>
  </si>
  <si>
    <t>大朗超捷</t>
  </si>
  <si>
    <t>半鋼喉箍19-29mm8mm寬</t>
  </si>
  <si>
    <t>2分白色PE水管不帶字</t>
  </si>
  <si>
    <t>塑膠袋50x60雙面6絲0.6mm(套RO機)</t>
  </si>
  <si>
    <t>塑膠袋40x60雙面6絲0.6mm(套壓力桶)</t>
  </si>
  <si>
    <t>亿家隆1688</t>
  </si>
  <si>
    <t>鑫融-淘寶</t>
  </si>
  <si>
    <t>橡膠塞20mm四叉丁基胶塞</t>
  </si>
  <si>
    <t>中意-淘寶</t>
  </si>
  <si>
    <t>永辉-淘寶</t>
  </si>
  <si>
    <t>惠灵顿</t>
  </si>
  <si>
    <t>支付寶: 107</t>
  </si>
  <si>
    <t>支付寶: 284</t>
  </si>
  <si>
    <t>支付寶: 260</t>
  </si>
  <si>
    <t>支付寶: 550</t>
  </si>
  <si>
    <t>寶塔異徑-22-16mm</t>
  </si>
  <si>
    <t>寶塔三通-22-16-22mm</t>
  </si>
  <si>
    <t>實付: 1325</t>
  </si>
  <si>
    <t>洋旭1688</t>
  </si>
  <si>
    <t>支付寶: 434</t>
  </si>
  <si>
    <t>物流發王健</t>
  </si>
  <si>
    <t>安能</t>
  </si>
  <si>
    <t>运通</t>
  </si>
  <si>
    <t>百世發王健</t>
  </si>
  <si>
    <t>實付: 6671</t>
  </si>
  <si>
    <t>1200x出八方</t>
  </si>
  <si>
    <t>不干胶-美國國旗-重印</t>
  </si>
  <si>
    <t>支付寶: 60</t>
  </si>
  <si>
    <t>快捷</t>
  </si>
  <si>
    <t>飛全代購</t>
  </si>
  <si>
    <t>送王健</t>
  </si>
  <si>
    <t>支付寶: 31.5</t>
  </si>
  <si>
    <t>綠泉代購</t>
  </si>
  <si>
    <t>支付寶: 23000</t>
  </si>
  <si>
    <t>綠泉1688</t>
  </si>
  <si>
    <t>支付寶: 4500</t>
  </si>
  <si>
    <t>支付寶: 9050</t>
  </si>
  <si>
    <t>銅水口轉換頭</t>
  </si>
  <si>
    <t>實際運費 18</t>
  </si>
  <si>
    <t>萬江國通</t>
  </si>
  <si>
    <t>快接小T-椰殼-追加款</t>
  </si>
  <si>
    <t>實付: 18000 + 1600</t>
  </si>
  <si>
    <t>大嶺山自取</t>
  </si>
  <si>
    <t>包裝材料15mm(1米長寬)</t>
  </si>
  <si>
    <t>包裝材料20mm(1米長寬)</t>
  </si>
  <si>
    <t>包裝材料30mm(1米長寬)</t>
  </si>
  <si>
    <t>實付: 375</t>
  </si>
  <si>
    <t>永嘉包裝</t>
  </si>
  <si>
    <t>立暢-淘寶</t>
  </si>
  <si>
    <t>4.1号9*13*5丝自封袋</t>
  </si>
  <si>
    <t>6.1号13*19*5丝自封袋</t>
  </si>
  <si>
    <t>支付寶: 29.5</t>
  </si>
  <si>
    <t>支付寶: 30.48</t>
  </si>
  <si>
    <t>诺华1688</t>
  </si>
  <si>
    <t>NR1-物流</t>
  </si>
  <si>
    <t>支付寶: 212</t>
  </si>
  <si>
    <t>悅彩-天貓</t>
  </si>
  <si>
    <t>說明書</t>
  </si>
  <si>
    <t>支付寶: 880</t>
  </si>
  <si>
    <t>實付: 3150</t>
  </si>
  <si>
    <t>增城自取</t>
  </si>
  <si>
    <t>支付寶: 1300</t>
  </si>
  <si>
    <t>實付: 1680</t>
  </si>
  <si>
    <t>退貨-2分PE管藍色(帶字)</t>
  </si>
  <si>
    <t>2分藍色PE水管不帶字</t>
  </si>
  <si>
    <t>支付寶: 800</t>
  </si>
  <si>
    <t>王健代付: 250 已還王健現金</t>
  </si>
  <si>
    <t>支付寶: 210</t>
  </si>
  <si>
    <t>實付:70000 (含王健E23預付款) + 5 手續費</t>
  </si>
  <si>
    <t>5級RO樹脂扣款</t>
  </si>
  <si>
    <t>树脂發票稅金(2016-04)</t>
  </si>
  <si>
    <t>實付: 29985 + 20212 + 990.26</t>
  </si>
  <si>
    <t>快遞八方</t>
  </si>
  <si>
    <t>實付: 1325 + 1250 + 微信: 250</t>
  </si>
  <si>
    <t>實付: 8000</t>
  </si>
  <si>
    <t>多付餘款175</t>
  </si>
  <si>
    <t>微信支付: 20170705 已退 600</t>
  </si>
  <si>
    <t>王健(NR1)</t>
  </si>
  <si>
    <t>(加訂)42N胶圈配4分內牙用</t>
  </si>
  <si>
    <t>4分内牙(水龙头口细牙)转2分快接(不要42N胶圈)</t>
  </si>
  <si>
    <t>(扣除)42N胶圈</t>
  </si>
  <si>
    <t>思鴻</t>
  </si>
  <si>
    <t>美标6分碟柄八角內絲球阀</t>
  </si>
  <si>
    <t>x2分單切</t>
  </si>
  <si>
    <t>2分單切</t>
  </si>
  <si>
    <t>塑料龍頭2分雙切</t>
  </si>
  <si>
    <t>快遞發思鴻</t>
  </si>
  <si>
    <t>支付寶: 158.02</t>
  </si>
  <si>
    <t>實付: 7415</t>
  </si>
  <si>
    <t>專線大朗</t>
  </si>
  <si>
    <t>盛輝大朗</t>
  </si>
  <si>
    <t>邦捷1688</t>
  </si>
  <si>
    <t>POM6分對絲</t>
  </si>
  <si>
    <t>POM4分/6分對絲</t>
  </si>
  <si>
    <t>淘寶优嘉</t>
  </si>
  <si>
    <t>實付: 5000</t>
  </si>
  <si>
    <t>洋龙1688</t>
  </si>
  <si>
    <t>支付寶: 1040</t>
  </si>
  <si>
    <t>支付寶: 443.8</t>
  </si>
  <si>
    <t>2分紅色PE水管不帶字切2200x1.5米</t>
  </si>
  <si>
    <t>濾材貼紙-GAC(天天丟件重做)</t>
  </si>
  <si>
    <t>濾材貼紙-PP(天天丟件重做)</t>
  </si>
  <si>
    <t>2分藍色PE水管不帶字切2200x1.5米</t>
  </si>
  <si>
    <t>安能發王健</t>
  </si>
  <si>
    <t>支付寶: 3705</t>
  </si>
  <si>
    <t>實付: 2400</t>
  </si>
  <si>
    <t>霖源1688</t>
  </si>
  <si>
    <t>弘洋</t>
  </si>
  <si>
    <t>實付: 2617</t>
  </si>
  <si>
    <t>支付寶: 9600</t>
  </si>
  <si>
    <t>天天發思鴻</t>
  </si>
  <si>
    <t>順丰發思鴻</t>
  </si>
  <si>
    <t>實付: 2200</t>
  </si>
  <si>
    <t>3*8磁吸(0.3MM厚)</t>
  </si>
  <si>
    <t>塑料水口轉快接用密封圈(O型圈\21.3*16*2.65\黑色\橡胶\60A)</t>
  </si>
  <si>
    <t>支付寶: 560</t>
  </si>
  <si>
    <t>八達1688</t>
  </si>
  <si>
    <t>支付寶: 3400</t>
  </si>
  <si>
    <t>直接發思鴻</t>
  </si>
  <si>
    <t>圆通發王健</t>
  </si>
  <si>
    <t>中通發王健</t>
  </si>
  <si>
    <t>平安达</t>
  </si>
  <si>
    <t>萬江國通迅安</t>
  </si>
  <si>
    <t>物流多收280元,超華WX-&gt;D-&gt;席豔</t>
  </si>
  <si>
    <t>實付: 5000 + 3400</t>
  </si>
  <si>
    <t>實付: 20000 + 6864</t>
  </si>
  <si>
    <t>裝配人工(20170925組裝2KRO膜殼+小TPP+CTO)</t>
  </si>
  <si>
    <t>直接出海關</t>
  </si>
  <si>
    <t>Water Filter Parts</t>
  </si>
  <si>
    <t>實付: 29985 + 30660.6</t>
  </si>
  <si>
    <t>實付: 49955 (含王健N3預付款) 5000-4991共10筆</t>
  </si>
  <si>
    <t>專車送思鴻免運費</t>
  </si>
  <si>
    <t>80gA4雙面說明書-20180420WH</t>
  </si>
  <si>
    <t>300p發4-1003</t>
  </si>
  <si>
    <t>4044Q密封圈</t>
  </si>
  <si>
    <t>支付寶: 310</t>
  </si>
  <si>
    <t xml:space="preserve">實付: </t>
  </si>
  <si>
    <t>10寸透明空殼</t>
  </si>
  <si>
    <t>支付寶: 1308 + 88 + 69</t>
  </si>
  <si>
    <t>直接送王健</t>
  </si>
  <si>
    <t>實付: 5000 + 2440</t>
  </si>
  <si>
    <t>華達</t>
  </si>
  <si>
    <t>透明10寸濾芯外殼</t>
  </si>
  <si>
    <t>佳吉發王健</t>
  </si>
  <si>
    <t>支付寶: 1200</t>
  </si>
  <si>
    <t>樹脂(包)</t>
  </si>
  <si>
    <t>3.2G壓力桶</t>
  </si>
  <si>
    <t>實付: 5000 + 4999 + 4998 + 4997 + 1171</t>
  </si>
  <si>
    <t>換120 x 4040Q</t>
  </si>
  <si>
    <t>實付: 49955 + 49955 + 4385</t>
  </si>
  <si>
    <t>單价</t>
  </si>
  <si>
    <t>單级挂片</t>
  </si>
  <si>
    <t>單县超华</t>
  </si>
  <si>
    <t>x小單夾（白色)</t>
  </si>
  <si>
    <t>白色小單夾</t>
  </si>
  <si>
    <t>2分管线夾可粘贴(100个一包）</t>
  </si>
  <si>
    <t>快接RO膜殼</t>
  </si>
  <si>
    <t>300G膜殼-3012</t>
  </si>
  <si>
    <t>300G膜殼大單夾</t>
  </si>
  <si>
    <t>300G膜殼子母夾</t>
  </si>
  <si>
    <t>快接膜殼</t>
  </si>
  <si>
    <t>300G膜殼子母夾(夾小T)</t>
  </si>
  <si>
    <t>300G膜殼子母夾(夾大T)</t>
  </si>
  <si>
    <t>300G膜殼蓋(發錯退回)</t>
  </si>
  <si>
    <t>300G膜殼(重發)</t>
  </si>
  <si>
    <t>4021不锈钢膜殼</t>
  </si>
  <si>
    <t>4040不锈钢膜殼</t>
  </si>
  <si>
    <t>x夾400膜殼与大T</t>
  </si>
  <si>
    <t>x400加仑膜殼單夾</t>
  </si>
  <si>
    <t>夾400膜殼与大T</t>
  </si>
  <si>
    <t>400加仑膜殼單夾</t>
  </si>
  <si>
    <t>洗衣机过滤器空滤殼</t>
  </si>
  <si>
    <t>半透明快接RO膜殼</t>
  </si>
  <si>
    <t>组裝機六分垫</t>
  </si>
  <si>
    <t>组裝機六分接头</t>
  </si>
  <si>
    <t>裝機螺絲</t>
  </si>
  <si>
    <t>中湖(大石)</t>
  </si>
  <si>
    <t>快接头K6040(二分变三分L型)</t>
  </si>
  <si>
    <t>實付: 微信 573</t>
  </si>
  <si>
    <t>王健(N3)</t>
  </si>
  <si>
    <t>王健(N2)</t>
  </si>
  <si>
    <t>廢水比800cc</t>
    <phoneticPr fontId="2" type="noConversion"/>
  </si>
  <si>
    <t>山克斯</t>
    <phoneticPr fontId="2" type="noConversion"/>
  </si>
  <si>
    <t>淘寶中國直飲水</t>
    <phoneticPr fontId="2" type="noConversion"/>
  </si>
  <si>
    <t>支付寶: 200</t>
    <phoneticPr fontId="2" type="noConversion"/>
  </si>
  <si>
    <t>80gA4雙面說明書-20150405行動</t>
    <phoneticPr fontId="2" type="noConversion"/>
  </si>
  <si>
    <t>快接头K154(二分直通)(配件-A-2)</t>
    <phoneticPr fontId="2" type="noConversion"/>
  </si>
  <si>
    <t>白色小雙夾</t>
  </si>
  <si>
    <t>庫存子母夾</t>
  </si>
  <si>
    <t>3/15透明小雙夾2000支退出</t>
  </si>
  <si>
    <t>3/21補發白色小雙夾2000支</t>
  </si>
  <si>
    <t>7/4透明小雙夾1700支退出</t>
  </si>
  <si>
    <t>7/5補發白色小雙夾750支</t>
  </si>
  <si>
    <t>7/8補發白色小雙夾950支</t>
  </si>
  <si>
    <t>微信: 235</t>
    <phoneticPr fontId="2" type="noConversion"/>
  </si>
  <si>
    <t>10寸PP棉</t>
  </si>
  <si>
    <t>1寸八角內絲球閥</t>
  </si>
  <si>
    <t>10寸CTO</t>
  </si>
  <si>
    <t>5寸CTO</t>
  </si>
  <si>
    <t>20寸CTO</t>
  </si>
  <si>
    <t>6分內牙Hose转2分快接美标11.5 TPI(牙数/英寸)</t>
  </si>
  <si>
    <t>20寸O-ring</t>
  </si>
  <si>
    <t>螺絲-20寸</t>
  </si>
  <si>
    <t>螺絲-6分10寸</t>
  </si>
  <si>
    <t>銅前置過濾1寸口帶刮污</t>
  </si>
  <si>
    <t>10寸外扣3分快接透明滤瓶</t>
  </si>
  <si>
    <t>10寸外扣3分快接白色滤瓶</t>
  </si>
  <si>
    <t>10寸PP</t>
  </si>
  <si>
    <t>10寸UDF</t>
  </si>
  <si>
    <t>控水蓋</t>
  </si>
  <si>
    <t>K滤瓶蓋子</t>
  </si>
  <si>
    <t>膜殼蓋子</t>
  </si>
  <si>
    <t>2分快接小T-PP(貼小标不要蓋子不要收縮膜)</t>
  </si>
  <si>
    <t>2分快接小T-PP(貼小标要蓋子要收縮膜)</t>
  </si>
  <si>
    <t>2分快接小T-CTO压缩碳(貼小标不要蓋子不要收縮膜)</t>
  </si>
  <si>
    <t>2分快接小T-CTO压缩碳(貼小标要蓋子要收縮膜)</t>
  </si>
  <si>
    <t>2分快接小T-后置碳(碘值1000-1100椰殼碳)(貼小标要蓋子要收縮膜)</t>
  </si>
  <si>
    <t>2分快接小T-DI(貼小标要蓋子要收縮膜)</t>
  </si>
  <si>
    <t>2分快接大T-DI(貼小标要蓋子要收縮膜)</t>
  </si>
  <si>
    <t>退回-快接头藍色卡扣</t>
  </si>
  <si>
    <t>扣除-快接头藍色卡子</t>
  </si>
  <si>
    <t>20寸1寸口内扣藍瓶</t>
  </si>
  <si>
    <t>扣除-快接头藍色卡子(25000出5000)</t>
  </si>
  <si>
    <t>六分全透雙级不帶濾芯</t>
  </si>
  <si>
    <t>雙蓋透明小T殼</t>
  </si>
  <si>
    <t>雙蓋透明小T殼</t>
    <phoneticPr fontId="2" type="noConversion"/>
  </si>
  <si>
    <t>福怡</t>
    <phoneticPr fontId="2" type="noConversion"/>
  </si>
  <si>
    <t>小雙夾</t>
    <phoneticPr fontId="2" type="noConversion"/>
  </si>
  <si>
    <t>萬輝1688</t>
    <phoneticPr fontId="2" type="noConversion"/>
  </si>
  <si>
    <t>支付寶: 189</t>
    <phoneticPr fontId="2" type="noConversion"/>
  </si>
  <si>
    <t>翻耕1688</t>
    <phoneticPr fontId="2" type="noConversion"/>
  </si>
  <si>
    <t>40mm1分塑料壓力表</t>
    <phoneticPr fontId="2" type="noConversion"/>
  </si>
  <si>
    <t>支付寶: 758</t>
    <phoneticPr fontId="2" type="noConversion"/>
  </si>
  <si>
    <t>40mm塑料外殼壓力表</t>
    <phoneticPr fontId="2" type="noConversion"/>
  </si>
  <si>
    <t>壓力表接头(2转1分内牙)</t>
    <phoneticPr fontId="2" type="noConversion"/>
  </si>
  <si>
    <t>壓力表接头(2转2分内牙)</t>
    <phoneticPr fontId="2" type="noConversion"/>
  </si>
  <si>
    <t>壓力表接头(2转2内牙)</t>
    <phoneticPr fontId="2" type="noConversion"/>
  </si>
  <si>
    <t>拨管工具</t>
    <phoneticPr fontId="2" type="noConversion"/>
  </si>
  <si>
    <t>2分轉1分內牙壓力表快接頭</t>
    <phoneticPr fontId="2" type="noConversion"/>
  </si>
  <si>
    <t>淘寶綠源</t>
    <phoneticPr fontId="2" type="noConversion"/>
  </si>
  <si>
    <t>支付寶: 205</t>
    <phoneticPr fontId="2" type="noConversion"/>
  </si>
  <si>
    <t>大T超濾膜</t>
    <phoneticPr fontId="2" type="noConversion"/>
  </si>
  <si>
    <t>1812膜殼超濾膜</t>
    <phoneticPr fontId="2" type="noConversion"/>
  </si>
  <si>
    <t>京廣</t>
    <phoneticPr fontId="2" type="noConversion"/>
  </si>
  <si>
    <t>順丰發王健</t>
    <phoneticPr fontId="2" type="noConversion"/>
  </si>
  <si>
    <t>偉泓1688</t>
    <phoneticPr fontId="2" type="noConversion"/>
  </si>
  <si>
    <t>10寸平口濾瓶超濾膜</t>
    <phoneticPr fontId="2" type="noConversion"/>
  </si>
  <si>
    <t>熠之辰1688</t>
    <phoneticPr fontId="2" type="noConversion"/>
  </si>
  <si>
    <t>TDS-2</t>
    <phoneticPr fontId="2" type="noConversion"/>
  </si>
  <si>
    <t>支付寶: 559 - 8(紅包) = 551</t>
    <phoneticPr fontId="2" type="noConversion"/>
  </si>
  <si>
    <t>微信:416</t>
    <phoneticPr fontId="2" type="noConversion"/>
  </si>
  <si>
    <t>潮源1688</t>
    <phoneticPr fontId="2" type="noConversion"/>
  </si>
  <si>
    <t>支付寶: 205</t>
    <phoneticPr fontId="2" type="noConversion"/>
  </si>
  <si>
    <t>支付寶: 2860</t>
    <phoneticPr fontId="2" type="noConversion"/>
  </si>
  <si>
    <t>源安達發王健</t>
    <phoneticPr fontId="2" type="noConversion"/>
  </si>
  <si>
    <t>5寸CTO</t>
    <phoneticPr fontId="2" type="noConversion"/>
  </si>
  <si>
    <t>實付: 5000 + 1980</t>
    <phoneticPr fontId="2" type="noConversion"/>
  </si>
  <si>
    <t>淘寶姚毓嬌</t>
    <phoneticPr fontId="2" type="noConversion"/>
  </si>
  <si>
    <t>支付寶: 210</t>
    <phoneticPr fontId="2" type="noConversion"/>
  </si>
  <si>
    <t>王健(QT1)</t>
    <phoneticPr fontId="2" type="noConversion"/>
  </si>
  <si>
    <t>10寸三级（加工费）</t>
  </si>
  <si>
    <t>装机六分垫</t>
  </si>
  <si>
    <t>装机六分接头</t>
  </si>
  <si>
    <t>装机六分小密封圈</t>
  </si>
  <si>
    <t>板手</t>
  </si>
  <si>
    <t>螺丝</t>
  </si>
  <si>
    <t>纸箱</t>
  </si>
  <si>
    <t>6分5寸白瓶</t>
  </si>
  <si>
    <t>6分5寸透明瓶</t>
  </si>
  <si>
    <t>5寸PP</t>
  </si>
  <si>
    <t>10寸5U PP</t>
  </si>
  <si>
    <t>兰色水管</t>
  </si>
  <si>
    <t>红色水管</t>
  </si>
  <si>
    <t>6分滤瓶密封圈</t>
  </si>
  <si>
    <t>11G压力桶</t>
  </si>
  <si>
    <t>透明小T壳</t>
  </si>
  <si>
    <t>實付:37116.2</t>
    <phoneticPr fontId="2" type="noConversion"/>
  </si>
  <si>
    <t>少發3000多墊片20190615補寄</t>
    <phoneticPr fontId="2" type="noConversion"/>
  </si>
  <si>
    <t>包郵</t>
    <phoneticPr fontId="2" type="noConversion"/>
  </si>
  <si>
    <t>3*8磁吸(0.3MM厚)</t>
    <phoneticPr fontId="2" type="noConversion"/>
  </si>
  <si>
    <t>珠光膜氣泡袋</t>
    <phoneticPr fontId="2" type="noConversion"/>
  </si>
  <si>
    <t>牛皮紙氣泡袋</t>
    <phoneticPr fontId="2" type="noConversion"/>
  </si>
  <si>
    <t>透明氣泡袋</t>
    <phoneticPr fontId="2" type="noConversion"/>
  </si>
  <si>
    <t>全白快遞袋</t>
    <phoneticPr fontId="2" type="noConversion"/>
  </si>
  <si>
    <t>拉鍊袋</t>
    <phoneticPr fontId="2" type="noConversion"/>
  </si>
  <si>
    <t>透明自封袋</t>
    <phoneticPr fontId="2" type="noConversion"/>
  </si>
  <si>
    <t>鋁自封袋</t>
    <phoneticPr fontId="2" type="noConversion"/>
  </si>
  <si>
    <t>twist ties</t>
    <phoneticPr fontId="2" type="noConversion"/>
  </si>
  <si>
    <t>扎帶</t>
    <phoneticPr fontId="2" type="noConversion"/>
  </si>
  <si>
    <t>扎絲</t>
    <phoneticPr fontId="2" type="noConversion"/>
  </si>
  <si>
    <t>不鏽鋼扎帶</t>
    <phoneticPr fontId="2" type="noConversion"/>
  </si>
  <si>
    <t>hook and loop</t>
    <phoneticPr fontId="2" type="noConversion"/>
  </si>
  <si>
    <t>cable ties</t>
    <phoneticPr fontId="2" type="noConversion"/>
  </si>
  <si>
    <t>stainless cable ties</t>
    <phoneticPr fontId="2" type="noConversion"/>
  </si>
  <si>
    <t>aluminum ziplock bag</t>
    <phoneticPr fontId="2" type="noConversion"/>
  </si>
  <si>
    <t>self-seal bubble bag</t>
    <phoneticPr fontId="2" type="noConversion"/>
  </si>
  <si>
    <t>paper bubble mailer</t>
    <phoneticPr fontId="2" type="noConversion"/>
  </si>
  <si>
    <t>DIY和風膠帶</t>
    <phoneticPr fontId="2" type="noConversion"/>
  </si>
  <si>
    <t>thread sealing</t>
    <phoneticPr fontId="2" type="noConversion"/>
  </si>
  <si>
    <t>防滑膠帶</t>
    <phoneticPr fontId="2" type="noConversion"/>
  </si>
  <si>
    <t>electronic tape</t>
    <phoneticPr fontId="2" type="noConversion"/>
  </si>
  <si>
    <t>floral tape</t>
    <phoneticPr fontId="2" type="noConversion"/>
  </si>
  <si>
    <t>花藝膠帶</t>
    <phoneticPr fontId="2" type="noConversion"/>
  </si>
  <si>
    <t>band grip type</t>
    <phoneticPr fontId="2" type="noConversion"/>
  </si>
  <si>
    <t>把手膠帶</t>
    <phoneticPr fontId="2" type="noConversion"/>
  </si>
  <si>
    <t>high temperature tape</t>
    <phoneticPr fontId="2" type="noConversion"/>
  </si>
  <si>
    <t>copper foil tape</t>
    <phoneticPr fontId="2" type="noConversion"/>
  </si>
  <si>
    <t>銅箔膠帶</t>
    <phoneticPr fontId="2" type="noConversion"/>
  </si>
  <si>
    <t>aluminum foil tape</t>
    <phoneticPr fontId="2" type="noConversion"/>
  </si>
  <si>
    <t>鋁箔膠帶</t>
    <phoneticPr fontId="2" type="noConversion"/>
  </si>
  <si>
    <t>grafting tape</t>
    <phoneticPr fontId="2" type="noConversion"/>
  </si>
  <si>
    <t>熱縮管</t>
    <phoneticPr fontId="2" type="noConversion"/>
  </si>
  <si>
    <t>眼鏡</t>
    <phoneticPr fontId="2" type="noConversion"/>
  </si>
  <si>
    <t>鐵氟龍膠帶</t>
    <phoneticPr fontId="56" type="noConversion"/>
  </si>
  <si>
    <t>PTHE tape</t>
    <phoneticPr fontId="56" type="noConversion"/>
  </si>
  <si>
    <t>待找</t>
    <phoneticPr fontId="56" type="noConversion"/>
  </si>
  <si>
    <t>下次可進</t>
    <phoneticPr fontId="56" type="noConversion"/>
  </si>
  <si>
    <t>放棄</t>
    <phoneticPr fontId="56" type="noConversion"/>
  </si>
  <si>
    <t>龍頭濾芯</t>
    <phoneticPr fontId="2" type="noConversion"/>
  </si>
  <si>
    <t>fraicet filter</t>
    <phoneticPr fontId="2" type="noConversion"/>
  </si>
  <si>
    <t>nail</t>
    <phoneticPr fontId="56" type="noConversion"/>
  </si>
  <si>
    <t>美甲</t>
    <phoneticPr fontId="56" type="noConversion"/>
  </si>
  <si>
    <t>poly bubble mailer</t>
    <phoneticPr fontId="2" type="noConversion"/>
  </si>
  <si>
    <t>poly mailer</t>
    <phoneticPr fontId="2" type="noConversion"/>
  </si>
  <si>
    <t>resealable opp bag</t>
    <phoneticPr fontId="2" type="noConversion"/>
  </si>
  <si>
    <t>reading glasses</t>
    <phoneticPr fontId="2" type="noConversion"/>
  </si>
  <si>
    <t>heat shrink</t>
    <phoneticPr fontId="2" type="noConversion"/>
  </si>
  <si>
    <t>carburetor rubber cap plus</t>
    <phoneticPr fontId="2" type="noConversion"/>
  </si>
  <si>
    <t>不鏽鋼螺絲</t>
    <phoneticPr fontId="56" type="noConversion"/>
  </si>
  <si>
    <t>stainless screws</t>
    <phoneticPr fontId="56" type="noConversion"/>
  </si>
  <si>
    <t>USB assort</t>
    <phoneticPr fontId="56" type="noConversion"/>
  </si>
  <si>
    <t>USB</t>
    <phoneticPr fontId="56" type="noConversion"/>
  </si>
  <si>
    <t>螢光棒</t>
    <phoneticPr fontId="56" type="noConversion"/>
  </si>
  <si>
    <t>glow</t>
    <phoneticPr fontId="56" type="noConversion"/>
  </si>
  <si>
    <t>garden</t>
    <phoneticPr fontId="56" type="noConversion"/>
  </si>
  <si>
    <t>3D打印機</t>
    <phoneticPr fontId="56" type="noConversion"/>
  </si>
  <si>
    <t>園林</t>
    <phoneticPr fontId="56" type="noConversion"/>
  </si>
  <si>
    <t>3D printer</t>
    <phoneticPr fontId="56" type="noConversion"/>
  </si>
  <si>
    <t>紙膠帶</t>
    <phoneticPr fontId="56" type="noConversion"/>
  </si>
  <si>
    <t>paper tape</t>
    <phoneticPr fontId="56" type="noConversion"/>
  </si>
  <si>
    <t>收納箱盒</t>
    <phoneticPr fontId="2" type="noConversion"/>
  </si>
  <si>
    <t>plastic box</t>
    <phoneticPr fontId="2" type="noConversion"/>
  </si>
  <si>
    <t>防霉膠帶</t>
    <phoneticPr fontId="2" type="noConversion"/>
  </si>
  <si>
    <t>sealing tap strapping</t>
    <phoneticPr fontId="2" type="noConversion"/>
  </si>
  <si>
    <t>air compressor fittings</t>
    <phoneticPr fontId="56" type="noConversion"/>
  </si>
  <si>
    <t>氣動接頭</t>
    <phoneticPr fontId="56" type="noConversion"/>
  </si>
  <si>
    <t>O-ring</t>
    <phoneticPr fontId="56" type="noConversion"/>
  </si>
  <si>
    <t>密封圈墊片</t>
    <phoneticPr fontId="56" type="noConversion"/>
  </si>
  <si>
    <t>toy</t>
    <phoneticPr fontId="56" type="noConversion"/>
  </si>
  <si>
    <t>stationary</t>
    <phoneticPr fontId="56" type="noConversion"/>
  </si>
  <si>
    <t>玩具</t>
    <phoneticPr fontId="56" type="noConversion"/>
  </si>
  <si>
    <t>文具</t>
    <phoneticPr fontId="56" type="noConversion"/>
  </si>
  <si>
    <t>萬聖節</t>
    <phoneticPr fontId="56" type="noConversion"/>
  </si>
  <si>
    <t>funny hallowin</t>
    <phoneticPr fontId="56" type="noConversion"/>
  </si>
  <si>
    <t>IQ toy</t>
    <phoneticPr fontId="56" type="noConversion"/>
  </si>
  <si>
    <t>益智</t>
    <phoneticPr fontId="56" type="noConversion"/>
  </si>
  <si>
    <t>magic</t>
    <phoneticPr fontId="56" type="noConversion"/>
  </si>
  <si>
    <t>魔術</t>
    <phoneticPr fontId="56" type="noConversion"/>
  </si>
  <si>
    <t>grooming</t>
    <phoneticPr fontId="56" type="noConversion"/>
  </si>
  <si>
    <t>剪狗</t>
    <phoneticPr fontId="56" type="noConversion"/>
  </si>
  <si>
    <t>LED</t>
    <phoneticPr fontId="56" type="noConversion"/>
  </si>
  <si>
    <t>太陽能</t>
    <phoneticPr fontId="56" type="noConversion"/>
  </si>
  <si>
    <t>solary</t>
    <phoneticPr fontId="56" type="noConversion"/>
  </si>
  <si>
    <t>水族</t>
    <phoneticPr fontId="56" type="noConversion"/>
  </si>
  <si>
    <t>aquarium</t>
    <phoneticPr fontId="56" type="noConversion"/>
  </si>
  <si>
    <t>faicet plumbing</t>
    <phoneticPr fontId="56" type="noConversion"/>
  </si>
  <si>
    <t>水工</t>
    <phoneticPr fontId="56" type="noConversion"/>
  </si>
  <si>
    <t>travel adapter</t>
    <phoneticPr fontId="2" type="noConversion"/>
  </si>
  <si>
    <t>mouse</t>
    <phoneticPr fontId="2" type="noConversion"/>
  </si>
  <si>
    <t>CCTV-BNC adapter</t>
    <phoneticPr fontId="2" type="noConversion"/>
  </si>
  <si>
    <t>尺寸</t>
    <phoneticPr fontId="2" type="noConversion"/>
  </si>
  <si>
    <t>花色</t>
    <phoneticPr fontId="2" type="noConversion"/>
  </si>
  <si>
    <t>款式</t>
    <phoneticPr fontId="2" type="noConversion"/>
  </si>
  <si>
    <t>單品量</t>
    <phoneticPr fontId="2" type="noConversion"/>
  </si>
  <si>
    <t>單價</t>
    <phoneticPr fontId="2" type="noConversion"/>
  </si>
  <si>
    <t xml:space="preserve">LED </t>
    <phoneticPr fontId="56" type="noConversion"/>
  </si>
  <si>
    <t>箱數</t>
    <phoneticPr fontId="2" type="noConversion"/>
  </si>
  <si>
    <t>欣磊1688</t>
    <phoneticPr fontId="2" type="noConversion"/>
  </si>
  <si>
    <r>
      <t>3*8磁吸(0.</t>
    </r>
    <r>
      <rPr>
        <sz val="10"/>
        <rFont val="宋体"/>
        <charset val="134"/>
      </rPr>
      <t>4</t>
    </r>
    <r>
      <rPr>
        <sz val="10"/>
        <rFont val="宋体"/>
        <charset val="134"/>
      </rPr>
      <t>MM厚)</t>
    </r>
    <phoneticPr fontId="2" type="noConversion"/>
  </si>
  <si>
    <r>
      <t>實付:1</t>
    </r>
    <r>
      <rPr>
        <sz val="10"/>
        <rFont val="宋体"/>
        <charset val="134"/>
      </rPr>
      <t>950</t>
    </r>
    <phoneticPr fontId="2" type="noConversion"/>
  </si>
  <si>
    <t>金額</t>
    <phoneticPr fontId="2" type="noConversion"/>
  </si>
  <si>
    <t>鼠標墊</t>
    <phoneticPr fontId="56" type="noConversion"/>
  </si>
  <si>
    <t>mouse pad</t>
    <phoneticPr fontId="56" type="noConversion"/>
  </si>
  <si>
    <t>bubble bag</t>
    <phoneticPr fontId="2" type="noConversion"/>
  </si>
  <si>
    <t>ziplock bag</t>
    <phoneticPr fontId="2" type="noConversion"/>
  </si>
  <si>
    <t>嫁接膜</t>
    <phoneticPr fontId="2" type="noConversion"/>
  </si>
  <si>
    <t>anti-slip tape</t>
    <phoneticPr fontId="2" type="noConversion"/>
  </si>
  <si>
    <t>reflective tape</t>
    <phoneticPr fontId="2" type="noConversion"/>
  </si>
  <si>
    <t>安全膠帶</t>
    <phoneticPr fontId="2" type="noConversion"/>
  </si>
  <si>
    <t>safty tape</t>
    <phoneticPr fontId="2" type="noConversion"/>
  </si>
  <si>
    <t>glow tape</t>
    <phoneticPr fontId="2" type="noConversion"/>
  </si>
  <si>
    <t>masking tape</t>
    <phoneticPr fontId="2" type="noConversion"/>
  </si>
  <si>
    <t>double side tape</t>
    <phoneticPr fontId="2" type="noConversion"/>
  </si>
  <si>
    <t>sports tape muscle care</t>
    <phoneticPr fontId="2" type="noConversion"/>
  </si>
  <si>
    <t>sports tape elastic bandage</t>
    <phoneticPr fontId="2" type="noConversion"/>
  </si>
  <si>
    <t>washi tape</t>
    <phoneticPr fontId="2" type="noConversion"/>
  </si>
  <si>
    <t>門磁簧</t>
    <phoneticPr fontId="2" type="noConversion"/>
  </si>
  <si>
    <t>Network RJ45-RJ11-Tel-POE</t>
    <phoneticPr fontId="2" type="noConversion"/>
  </si>
  <si>
    <t>TV HDMI-RCA-DVI-VGA-DP adapter</t>
    <phoneticPr fontId="2" type="noConversion"/>
  </si>
  <si>
    <t>item</t>
    <phoneticPr fontId="2" type="noConversion"/>
  </si>
  <si>
    <t>訂單日期</t>
    <phoneticPr fontId="58" type="noConversion"/>
  </si>
  <si>
    <t>廠家</t>
    <phoneticPr fontId="58" type="noConversion"/>
  </si>
  <si>
    <t>名稱</t>
    <phoneticPr fontId="58" type="noConversion"/>
  </si>
  <si>
    <t>數量</t>
    <phoneticPr fontId="58" type="noConversion"/>
  </si>
  <si>
    <t>單價</t>
    <phoneticPr fontId="58" type="noConversion"/>
  </si>
  <si>
    <t>小計</t>
    <phoneticPr fontId="58" type="noConversion"/>
  </si>
  <si>
    <t>運費</t>
    <phoneticPr fontId="58" type="noConversion"/>
  </si>
  <si>
    <t>1688武義藝諾</t>
    <phoneticPr fontId="58" type="noConversion"/>
  </si>
  <si>
    <t>1688東莞靜尚</t>
    <phoneticPr fontId="58" type="noConversion"/>
  </si>
  <si>
    <t>支付寶: 480元</t>
    <phoneticPr fontId="58" type="noConversion"/>
  </si>
  <si>
    <t>1688深圳珍靈</t>
    <phoneticPr fontId="58" type="noConversion"/>
  </si>
  <si>
    <t>仿萍果白鼠標(裸機)</t>
    <phoneticPr fontId="58" type="noConversion"/>
  </si>
  <si>
    <t>支付寶: 138元</t>
    <phoneticPr fontId="58" type="noConversion"/>
  </si>
  <si>
    <t>IBM紅線鼠標(裸機)</t>
    <phoneticPr fontId="58" type="noConversion"/>
  </si>
  <si>
    <t>拼多多一品驕</t>
    <phoneticPr fontId="58" type="noConversion"/>
  </si>
  <si>
    <t>1688義烏吉倫</t>
    <phoneticPr fontId="58" type="noConversion"/>
  </si>
  <si>
    <t>大號帶燈假監控半球</t>
    <phoneticPr fontId="58" type="noConversion"/>
  </si>
  <si>
    <t>1688深圳晨輝</t>
    <phoneticPr fontId="58" type="noConversion"/>
  </si>
  <si>
    <t>1688寧波伊林</t>
    <phoneticPr fontId="58" type="noConversion"/>
  </si>
  <si>
    <t>1688臨海朱拉</t>
    <phoneticPr fontId="58" type="noConversion"/>
  </si>
  <si>
    <t>老花</t>
    <phoneticPr fontId="2" type="noConversion"/>
  </si>
  <si>
    <t>太陽眼鏡</t>
    <phoneticPr fontId="2" type="noConversion"/>
  </si>
  <si>
    <t>1688義烏潤景</t>
    <phoneticPr fontId="58" type="noConversion"/>
  </si>
  <si>
    <t>復古圓形玻璃太陽眼鏡-金紅水銀</t>
    <phoneticPr fontId="58" type="noConversion"/>
  </si>
  <si>
    <t>復古圓形玻璃太陽眼鏡-銀灰</t>
    <phoneticPr fontId="58" type="noConversion"/>
  </si>
  <si>
    <t>復古圓形玻璃太陽眼鏡-金金水銀</t>
    <phoneticPr fontId="58" type="noConversion"/>
  </si>
  <si>
    <t>復古圓形玻璃太陽眼鏡-金灰</t>
    <phoneticPr fontId="58" type="noConversion"/>
  </si>
  <si>
    <t>復古圓形玻璃太陽眼鏡-金藍水銀</t>
    <phoneticPr fontId="58" type="noConversion"/>
  </si>
  <si>
    <t>3026蛤蟆玻璃太陽眼鏡-銀紅水銀</t>
    <phoneticPr fontId="58" type="noConversion"/>
  </si>
  <si>
    <t>3026蛤蟆玻璃太陽眼鏡-金五彩水銀</t>
    <phoneticPr fontId="58" type="noConversion"/>
  </si>
  <si>
    <t>3026蛤蟆玻璃太陽眼鏡-金金水銀</t>
    <phoneticPr fontId="58" type="noConversion"/>
  </si>
  <si>
    <t>3026蛤蟆玻璃太陽眼鏡-金灰</t>
    <phoneticPr fontId="58" type="noConversion"/>
  </si>
  <si>
    <t>3026蛤蟆玻璃太陽眼鏡-金芭比粉</t>
    <phoneticPr fontId="58" type="noConversion"/>
  </si>
  <si>
    <t>3026蛤蟆玻璃太陽眼鏡-金藍水銀</t>
    <phoneticPr fontId="58" type="noConversion"/>
  </si>
  <si>
    <t>3026蛤蟆玻璃太陽眼鏡-銀灰</t>
    <phoneticPr fontId="58" type="noConversion"/>
  </si>
  <si>
    <t>3026蛤蟆玻璃太陽眼鏡-銀藍水銀</t>
    <phoneticPr fontId="58" type="noConversion"/>
  </si>
  <si>
    <t>3026蛤蟆玻璃太陽眼鏡-銀五彩水銀</t>
    <phoneticPr fontId="58" type="noConversion"/>
  </si>
  <si>
    <t>3026蛤蟆玻璃太陽眼鏡-銀芭比粉</t>
    <phoneticPr fontId="58" type="noConversion"/>
  </si>
  <si>
    <t>希爾頓大框太陽眼鏡-亮黑五彩</t>
    <phoneticPr fontId="58" type="noConversion"/>
  </si>
  <si>
    <t>希爾頓大框太陽眼鏡-亮黑綠</t>
    <phoneticPr fontId="58" type="noConversion"/>
  </si>
  <si>
    <t>希爾頓大框太陽眼鏡-亮黑灰</t>
    <phoneticPr fontId="58" type="noConversion"/>
  </si>
  <si>
    <t>希爾頓大框太陽眼鏡-亮黑金水銀</t>
    <phoneticPr fontId="58" type="noConversion"/>
  </si>
  <si>
    <t>戀愛先生太陽眼鏡-亮黑五彩</t>
    <phoneticPr fontId="58" type="noConversion"/>
  </si>
  <si>
    <t>戀愛先生太陽眼鏡-亮黑紅水銀</t>
    <phoneticPr fontId="58" type="noConversion"/>
  </si>
  <si>
    <t>戀愛先生太陽眼鏡-亮黑灰</t>
    <phoneticPr fontId="58" type="noConversion"/>
  </si>
  <si>
    <t>HD防護太陽眼鏡-亮黑灰</t>
    <phoneticPr fontId="58" type="noConversion"/>
  </si>
  <si>
    <t>HD防護太陽眼鏡-亮黑黃</t>
    <phoneticPr fontId="58" type="noConversion"/>
  </si>
  <si>
    <t>心型框太陽眼鏡-紫灰</t>
    <phoneticPr fontId="58" type="noConversion"/>
  </si>
  <si>
    <t>3150防護太陽眼鏡-砂黑白</t>
    <phoneticPr fontId="58" type="noConversion"/>
  </si>
  <si>
    <t>3150防護太陽眼鏡-藍灰</t>
    <phoneticPr fontId="58" type="noConversion"/>
  </si>
  <si>
    <t>3150防護太陽眼鏡-砂黑黃</t>
    <phoneticPr fontId="58" type="noConversion"/>
  </si>
  <si>
    <t>3150防護太陽眼鏡-砂黑灰</t>
    <phoneticPr fontId="58" type="noConversion"/>
  </si>
  <si>
    <t>三角型框太陽眼鏡-無框黑</t>
    <phoneticPr fontId="58" type="noConversion"/>
  </si>
  <si>
    <t>三角型框太陽眼鏡-無框茶</t>
    <phoneticPr fontId="58" type="noConversion"/>
  </si>
  <si>
    <t>三角型框太陽眼鏡-無框姚粉</t>
    <phoneticPr fontId="58" type="noConversion"/>
  </si>
  <si>
    <t>復古圓形玻璃太陽眼鏡-黑灰</t>
    <phoneticPr fontId="58" type="noConversion"/>
  </si>
  <si>
    <t>復古圓形玻璃太陽眼鏡-金五彩</t>
    <phoneticPr fontId="58" type="noConversion"/>
  </si>
  <si>
    <t>支付寶: 267.5 + 13.27元</t>
    <phoneticPr fontId="58" type="noConversion"/>
  </si>
  <si>
    <t>心型無框太陽眼鏡-黑</t>
    <phoneticPr fontId="58" type="noConversion"/>
  </si>
  <si>
    <t>心型無框太陽眼鏡-紅</t>
    <phoneticPr fontId="58" type="noConversion"/>
  </si>
  <si>
    <t>心型無框太陽眼鏡-紫</t>
    <phoneticPr fontId="58" type="noConversion"/>
  </si>
  <si>
    <t>LED眼鏡老花+100度</t>
  </si>
  <si>
    <t>LED眼鏡老花+150度</t>
  </si>
  <si>
    <t>LED眼鏡老花+200度</t>
  </si>
  <si>
    <t>LED眼鏡老花+250度</t>
  </si>
  <si>
    <t>LED眼鏡老花+300度</t>
  </si>
  <si>
    <t>LED眼鏡老花+350度</t>
  </si>
  <si>
    <t>LED眼鏡老花+400度</t>
  </si>
  <si>
    <t>LED眼鏡平光白片</t>
    <phoneticPr fontId="58" type="noConversion"/>
  </si>
  <si>
    <t>1688台州名鵬</t>
    <phoneticPr fontId="58" type="noConversion"/>
  </si>
  <si>
    <t>7003半框眼鏡老花+100度</t>
  </si>
  <si>
    <t>7003半框眼鏡老花+150度</t>
  </si>
  <si>
    <t>7003半框眼鏡老花+200度</t>
  </si>
  <si>
    <t>7003半框眼鏡老花+250度</t>
  </si>
  <si>
    <t>7003半框眼鏡老花+300度</t>
  </si>
  <si>
    <t>7003半框眼鏡老花+350度</t>
  </si>
  <si>
    <t>金框眼鏡老花+100度</t>
    <phoneticPr fontId="58" type="noConversion"/>
  </si>
  <si>
    <t>金框眼鏡老花+150度</t>
    <phoneticPr fontId="58" type="noConversion"/>
  </si>
  <si>
    <t>金框眼鏡老花+200度</t>
    <phoneticPr fontId="58" type="noConversion"/>
  </si>
  <si>
    <t>金框眼鏡老花+250度</t>
    <phoneticPr fontId="58" type="noConversion"/>
  </si>
  <si>
    <t>金框眼鏡老花+300度</t>
    <phoneticPr fontId="58" type="noConversion"/>
  </si>
  <si>
    <t>金框眼鏡老花+350度</t>
    <phoneticPr fontId="58" type="noConversion"/>
  </si>
  <si>
    <t>金框眼鏡老花+400度</t>
    <phoneticPr fontId="58" type="noConversion"/>
  </si>
  <si>
    <t>銀框眼鏡老花+150度</t>
  </si>
  <si>
    <t>銀框眼鏡老花+200度</t>
  </si>
  <si>
    <t>銀框眼鏡老花+250度</t>
  </si>
  <si>
    <t>銀框眼鏡老花+300度</t>
  </si>
  <si>
    <t>銀框眼鏡老花+350度</t>
  </si>
  <si>
    <t>銀框眼鏡老花+400度</t>
  </si>
  <si>
    <t>銀框眼鏡老花+100度</t>
  </si>
  <si>
    <t>支付寶: 65.92元 + 優惠 0.68元 + 紅包 5元</t>
    <phoneticPr fontId="58" type="noConversion"/>
  </si>
  <si>
    <t>1.5V*2無電池門磁簧YL-333</t>
    <phoneticPr fontId="58" type="noConversion"/>
  </si>
  <si>
    <t>1688義烏超仁</t>
    <phoneticPr fontId="58" type="noConversion"/>
  </si>
  <si>
    <r>
      <t>L</t>
    </r>
    <r>
      <rPr>
        <sz val="10"/>
        <rFont val="宋体"/>
        <charset val="134"/>
      </rPr>
      <t>ED眼鏡</t>
    </r>
    <phoneticPr fontId="2" type="noConversion"/>
  </si>
  <si>
    <t>1688臨海炫旭</t>
    <phoneticPr fontId="58" type="noConversion"/>
  </si>
  <si>
    <t>美紋紙手撕膠帶</t>
    <phoneticPr fontId="2" type="noConversion"/>
  </si>
  <si>
    <t>貓眼大框太陽眼鏡-彩框灰片</t>
    <phoneticPr fontId="58" type="noConversion"/>
  </si>
  <si>
    <t>貓眼大框太陽眼鏡-酒紅灰片</t>
    <phoneticPr fontId="58" type="noConversion"/>
  </si>
  <si>
    <t>貓眼大框太陽眼鏡-白框灰片</t>
    <phoneticPr fontId="58" type="noConversion"/>
  </si>
  <si>
    <t>貓眼大框太陽眼鏡-白豹紋灰片</t>
    <phoneticPr fontId="58" type="noConversion"/>
  </si>
  <si>
    <t>貓眼大框太陽眼鏡-黃豹紋茶片</t>
    <phoneticPr fontId="58" type="noConversion"/>
  </si>
  <si>
    <t>1688台州金卡</t>
    <phoneticPr fontId="58" type="noConversion"/>
  </si>
  <si>
    <t>809遠近無框眼鏡老花+150度</t>
  </si>
  <si>
    <t>809遠近無框眼鏡老花+200度</t>
  </si>
  <si>
    <t>809遠近無框眼鏡老花+250度</t>
  </si>
  <si>
    <t>809遠近無框眼鏡老花+300度</t>
  </si>
  <si>
    <t>809遠近無框眼鏡老花+350度</t>
  </si>
  <si>
    <t>809遠近無框眼鏡老花+400度</t>
  </si>
  <si>
    <t>1688台州順視</t>
    <phoneticPr fontId="58" type="noConversion"/>
  </si>
  <si>
    <t>貓眼薄片無框太陽眼鏡-茶</t>
    <phoneticPr fontId="58" type="noConversion"/>
  </si>
  <si>
    <t>貓眼薄片無框太陽眼鏡-漸變茶</t>
    <phoneticPr fontId="58" type="noConversion"/>
  </si>
  <si>
    <t>貓眼薄片無框太陽眼鏡-灰</t>
    <phoneticPr fontId="58" type="noConversion"/>
  </si>
  <si>
    <t>貓眼薄片無框太陽眼鏡-檸檬</t>
    <phoneticPr fontId="58" type="noConversion"/>
  </si>
  <si>
    <t>1688義烏粱飛</t>
    <phoneticPr fontId="58" type="noConversion"/>
  </si>
  <si>
    <t>防護眼鏡</t>
    <phoneticPr fontId="2" type="noConversion"/>
  </si>
  <si>
    <t>心型框太陽眼鏡-大紅灰</t>
    <phoneticPr fontId="58" type="noConversion"/>
  </si>
  <si>
    <t>馬賽克太陽眼鏡-亮黑黑</t>
    <phoneticPr fontId="58" type="noConversion"/>
  </si>
  <si>
    <t>馬賽克太陽眼鏡-無框黑</t>
    <phoneticPr fontId="58" type="noConversion"/>
  </si>
  <si>
    <t>馬賽克太陽眼鏡-無框藍</t>
    <phoneticPr fontId="58" type="noConversion"/>
  </si>
  <si>
    <t>1688佛山榮隆</t>
    <phoneticPr fontId="58" type="noConversion"/>
  </si>
  <si>
    <t>生料帶</t>
    <phoneticPr fontId="2" type="noConversion"/>
  </si>
  <si>
    <t>1688廣州千玥</t>
    <phoneticPr fontId="58" type="noConversion"/>
  </si>
  <si>
    <t>花藝膠帶12mm*27m-301深綠</t>
    <phoneticPr fontId="58" type="noConversion"/>
  </si>
  <si>
    <t>花藝膠帶12mm*27m-319深草綠</t>
    <phoneticPr fontId="58" type="noConversion"/>
  </si>
  <si>
    <t>花藝膠帶12mm*27m-317紫</t>
    <phoneticPr fontId="58" type="noConversion"/>
  </si>
  <si>
    <t>花藝膠帶12mm*27m-322紅咖</t>
    <phoneticPr fontId="58" type="noConversion"/>
  </si>
  <si>
    <t>花藝膠帶12mm*27m-316橙</t>
    <phoneticPr fontId="58" type="noConversion"/>
  </si>
  <si>
    <t>花藝膠帶12mm*27m-101墨綠</t>
    <phoneticPr fontId="58" type="noConversion"/>
  </si>
  <si>
    <t>花藝膠帶12mm*27m-310黑</t>
    <phoneticPr fontId="58" type="noConversion"/>
  </si>
  <si>
    <t>花藝膠帶12mm*27m-325青果綠</t>
    <phoneticPr fontId="58" type="noConversion"/>
  </si>
  <si>
    <t>花藝膠帶12mm*27m-306中綠</t>
    <phoneticPr fontId="58" type="noConversion"/>
  </si>
  <si>
    <t>花藝膠帶12mm*27m-308草綠</t>
    <phoneticPr fontId="58" type="noConversion"/>
  </si>
  <si>
    <t>花藝膠帶12mm*27m-303咖啡</t>
    <phoneticPr fontId="58" type="noConversion"/>
  </si>
  <si>
    <t>花藝膠帶12mm*27m-323橄欖綠</t>
    <phoneticPr fontId="58" type="noConversion"/>
  </si>
  <si>
    <t>花藝膠帶12mm*27m-318藍</t>
    <phoneticPr fontId="58" type="noConversion"/>
  </si>
  <si>
    <t>花藝膠帶12mm*27m-321淺綠</t>
    <phoneticPr fontId="58" type="noConversion"/>
  </si>
  <si>
    <t>花藝膠帶12mm*27m-315紅</t>
    <phoneticPr fontId="58" type="noConversion"/>
  </si>
  <si>
    <t>花藝膠帶12mm*27m-305深咖</t>
    <phoneticPr fontId="58" type="noConversion"/>
  </si>
  <si>
    <t>花藝膠帶12mm*27m-312黃</t>
    <phoneticPr fontId="58" type="noConversion"/>
  </si>
  <si>
    <t>花藝膠帶12mm*27m-302白</t>
    <phoneticPr fontId="58" type="noConversion"/>
  </si>
  <si>
    <t>1688南安安沙</t>
    <phoneticPr fontId="58" type="noConversion"/>
  </si>
  <si>
    <t>生料帶17mm*20m*0.1mm</t>
    <phoneticPr fontId="58" type="noConversion"/>
  </si>
  <si>
    <t>生料帶14mm*7m*0.075mm</t>
    <phoneticPr fontId="58" type="noConversion"/>
  </si>
  <si>
    <t>1688洛陽陳旋</t>
    <phoneticPr fontId="58" type="noConversion"/>
  </si>
  <si>
    <t>嫁接膜20mm*100m-綠</t>
    <phoneticPr fontId="58" type="noConversion"/>
  </si>
  <si>
    <t>嫁接膜20mm*100m-透明</t>
    <phoneticPr fontId="58" type="noConversion"/>
  </si>
  <si>
    <t>嫁接膜30mm*100m-綠</t>
    <phoneticPr fontId="58" type="noConversion"/>
  </si>
  <si>
    <t>嫁接膜30mm*100m-透明</t>
    <phoneticPr fontId="58" type="noConversion"/>
  </si>
  <si>
    <t>1688杭州烨磊</t>
    <phoneticPr fontId="58" type="noConversion"/>
  </si>
  <si>
    <t>1688惠州永成</t>
    <phoneticPr fontId="58" type="noConversion"/>
  </si>
  <si>
    <t>1688上海益鵬</t>
    <phoneticPr fontId="58" type="noConversion"/>
  </si>
  <si>
    <t>1688泗陽康嘉</t>
    <phoneticPr fontId="58" type="noConversion"/>
  </si>
  <si>
    <t>彈性繃帶25mm*4.5m-膚色</t>
  </si>
  <si>
    <t>彈性繃帶25mm*4.5m-黑色</t>
  </si>
  <si>
    <t>彈性繃帶25mm*4.5m-白色</t>
  </si>
  <si>
    <t>彈性繃帶25mm*4.5m-紅色</t>
  </si>
  <si>
    <t>彈性繃帶25mm*4.5m-橙色</t>
  </si>
  <si>
    <t>彈性繃帶25mm*4.5m-紫色</t>
  </si>
  <si>
    <t>彈性繃帶25mm*4.5m-深藍色</t>
  </si>
  <si>
    <t>彈性繃帶25mm*4.5m-淺藍色</t>
  </si>
  <si>
    <t>彈性繃帶25mm*4.5m-黃色</t>
  </si>
  <si>
    <t>彈性繃帶25mm*4.5m-深綠色</t>
  </si>
  <si>
    <t>彈性繃帶25mm*4.5m-淺綠色</t>
  </si>
  <si>
    <t>彈性繃帶25mm*4.5m-螢光綠色</t>
    <phoneticPr fontId="58" type="noConversion"/>
  </si>
  <si>
    <t>彈性繃帶25mm*4.5m-草綠色</t>
    <phoneticPr fontId="58" type="noConversion"/>
  </si>
  <si>
    <t>彈性繃帶25mm*4.5m-新膚色</t>
    <phoneticPr fontId="58" type="noConversion"/>
  </si>
  <si>
    <t>彈性繃帶25mm*4.5m-螢光橙色</t>
    <phoneticPr fontId="58" type="noConversion"/>
  </si>
  <si>
    <t>彈性繃帶50mm*4.5m-黑色</t>
  </si>
  <si>
    <t>彈性繃帶50mm*4.5m-白色</t>
  </si>
  <si>
    <t>彈性繃帶50mm*4.5m-紅色</t>
  </si>
  <si>
    <t>彈性繃帶50mm*4.5m-橙色</t>
  </si>
  <si>
    <t>彈性繃帶50mm*4.5m-紫色</t>
  </si>
  <si>
    <t>彈性繃帶50mm*4.5m-深藍色</t>
  </si>
  <si>
    <t>彈性繃帶50mm*4.5m-淺藍色</t>
  </si>
  <si>
    <t>彈性繃帶50mm*4.5m-黃色</t>
  </si>
  <si>
    <t>彈性繃帶50mm*4.5m-深綠色</t>
  </si>
  <si>
    <t>彈性繃帶50mm*4.5m-淺綠色</t>
  </si>
  <si>
    <t>彈性繃帶50mm*4.5m-草綠色</t>
  </si>
  <si>
    <t>彈性繃帶50mm*4.5m-螢光綠色</t>
  </si>
  <si>
    <t>彈性繃帶50mm*4.5m-螢光橙色</t>
  </si>
  <si>
    <t>彈性繃帶25mm*4.5m-藍色</t>
    <phoneticPr fontId="58" type="noConversion"/>
  </si>
  <si>
    <t>彈性繃帶50mm*4.5m-膚色</t>
    <phoneticPr fontId="58" type="noConversion"/>
  </si>
  <si>
    <t>彈性繃帶50mm*4.5m-藍色</t>
    <phoneticPr fontId="58" type="noConversion"/>
  </si>
  <si>
    <t>夜光膠帶</t>
    <phoneticPr fontId="2" type="noConversion"/>
  </si>
  <si>
    <t>1688固安鑫創</t>
    <phoneticPr fontId="58" type="noConversion"/>
  </si>
  <si>
    <t>球拍把手膠帶25mm*110cm-黑</t>
    <phoneticPr fontId="58" type="noConversion"/>
  </si>
  <si>
    <t>球拍把手膠帶25mm*110cm-藍</t>
    <phoneticPr fontId="58" type="noConversion"/>
  </si>
  <si>
    <t>球拍把手膠帶25mm*110cm-紅</t>
    <phoneticPr fontId="58" type="noConversion"/>
  </si>
  <si>
    <t>球拍把手膠帶25mm*110cm-紫</t>
    <phoneticPr fontId="58" type="noConversion"/>
  </si>
  <si>
    <t>球拍把手膠帶25mm*110cm-黃</t>
    <phoneticPr fontId="58" type="noConversion"/>
  </si>
  <si>
    <t>高溫膠帶</t>
    <phoneticPr fontId="2" type="noConversion"/>
  </si>
  <si>
    <t>1688揭陽陽美</t>
    <phoneticPr fontId="58" type="noConversion"/>
  </si>
  <si>
    <t>夜光膠帶10mm*1m-綠</t>
    <phoneticPr fontId="58" type="noConversion"/>
  </si>
  <si>
    <t>夜光膠帶10mm*1m-N橙黄</t>
    <phoneticPr fontId="58" type="noConversion"/>
  </si>
  <si>
    <t>夜光膠帶10mm*1m-橙</t>
    <phoneticPr fontId="58" type="noConversion"/>
  </si>
  <si>
    <t>夜光膠帶10mm*1m-N藍</t>
    <phoneticPr fontId="58" type="noConversion"/>
  </si>
  <si>
    <t>夜光膠帶10mm*1m-藍綠</t>
    <phoneticPr fontId="58" type="noConversion"/>
  </si>
  <si>
    <t>夜光膠帶20mm*1m-綠</t>
  </si>
  <si>
    <t>夜光膠帶20mm*1m-藍綠</t>
  </si>
  <si>
    <t>夜光膠帶20mm*1m-橙</t>
  </si>
  <si>
    <t>夜光膠帶20mm*1m-N橙黄</t>
  </si>
  <si>
    <t>1/8</t>
    <phoneticPr fontId="58" type="noConversion"/>
  </si>
  <si>
    <t>1/4</t>
    <phoneticPr fontId="58" type="noConversion"/>
  </si>
  <si>
    <t>3/8</t>
    <phoneticPr fontId="58" type="noConversion"/>
  </si>
  <si>
    <t>1/2</t>
    <phoneticPr fontId="58" type="noConversion"/>
  </si>
  <si>
    <t>5/8</t>
    <phoneticPr fontId="58" type="noConversion"/>
  </si>
  <si>
    <t>3/4</t>
    <phoneticPr fontId="58" type="noConversion"/>
  </si>
  <si>
    <t>7/8</t>
    <phoneticPr fontId="58" type="noConversion"/>
  </si>
  <si>
    <t>反光膠帶</t>
    <phoneticPr fontId="2" type="noConversion"/>
  </si>
  <si>
    <t>1688東莞登峰</t>
    <phoneticPr fontId="58" type="noConversion"/>
  </si>
  <si>
    <t>首單免運</t>
    <phoneticPr fontId="58" type="noConversion"/>
  </si>
  <si>
    <t>1688深圳日寶</t>
    <phoneticPr fontId="58" type="noConversion"/>
  </si>
  <si>
    <t>1688廣州一休</t>
    <phoneticPr fontId="58" type="noConversion"/>
  </si>
  <si>
    <t>反光晶格膠帶50mm*3m-白</t>
  </si>
  <si>
    <t>反光晶格膠帶50mm*3m-紅</t>
  </si>
  <si>
    <t>反光晶格膠帶50mm*3m-橙</t>
  </si>
  <si>
    <t>反光晶格膠帶50mm*3m-黃</t>
  </si>
  <si>
    <t>反光晶格膠帶50mm*3m-螢光綠</t>
  </si>
  <si>
    <t>反光晶格膠帶50mm*3m-白底紅箭頭</t>
  </si>
  <si>
    <t>反光晶格膠帶50mm*3m-白底藍箭頭</t>
  </si>
  <si>
    <t>反光晶格膠帶50mm*3m-黃底紅箭頭</t>
  </si>
  <si>
    <t>反光晶格膠帶50mm*3m-螢光綠底黑箭頭</t>
  </si>
  <si>
    <t>反光晶格膠帶50mm*3m-螢光綠底紅箭頭</t>
  </si>
  <si>
    <t>1688常州永亞</t>
    <phoneticPr fontId="58" type="noConversion"/>
  </si>
  <si>
    <t>1688東莞正賢</t>
    <phoneticPr fontId="58" type="noConversion"/>
  </si>
  <si>
    <t>車用透明壓克力雙面膠帶2mm*3m</t>
  </si>
  <si>
    <t>車用透明壓克力雙面膠帶6mm*3m</t>
  </si>
  <si>
    <t>車用透明壓克力雙面膠帶12mm*3m</t>
  </si>
  <si>
    <t>車用透明壓克力雙面膠帶20mm*3m</t>
  </si>
  <si>
    <t>車用透明壓克力雙面膠帶25mm*3m</t>
  </si>
  <si>
    <t>1688東莞信實</t>
    <phoneticPr fontId="58" type="noConversion"/>
  </si>
  <si>
    <t>單重g</t>
    <phoneticPr fontId="58" type="noConversion"/>
  </si>
  <si>
    <t>1688上海快勤</t>
    <phoneticPr fontId="58" type="noConversion"/>
  </si>
  <si>
    <t>水龍頭掛袋-咖啡#C062K</t>
    <phoneticPr fontId="58" type="noConversion"/>
  </si>
  <si>
    <t>水龍頭掛袋-北欧绿#C072K</t>
    <phoneticPr fontId="58" type="noConversion"/>
  </si>
  <si>
    <t>水龍頭掛袋-蓝色#C05BJ</t>
    <phoneticPr fontId="58" type="noConversion"/>
  </si>
  <si>
    <t>水龍頭掛袋-北欧蓝#C072J</t>
    <phoneticPr fontId="58" type="noConversion"/>
  </si>
  <si>
    <t>水龍頭掛袋-绿色#C05BK</t>
    <phoneticPr fontId="58" type="noConversion"/>
  </si>
  <si>
    <t>水龍頭掛袋-北欧黄#C072H</t>
    <phoneticPr fontId="58" type="noConversion"/>
  </si>
  <si>
    <t>水龍頭置物架掛桿套-粉色#C09K6</t>
    <phoneticPr fontId="58" type="noConversion"/>
  </si>
  <si>
    <t>水龍頭置物架掛桿套-蓝色#C09K7</t>
    <phoneticPr fontId="58" type="noConversion"/>
  </si>
  <si>
    <t>水龍頭濾芯-藍蓋活性炭滤水器#C06SC</t>
    <phoneticPr fontId="58" type="noConversion"/>
  </si>
  <si>
    <t>水龍頭濾芯-麦饭石款粉色#YPHI-462-89-139</t>
    <phoneticPr fontId="58" type="noConversion"/>
  </si>
  <si>
    <t>水龍頭水口-小風扇绿色#C07NR</t>
    <phoneticPr fontId="58" type="noConversion"/>
  </si>
  <si>
    <t>水龍頭水口-小風扇蓝色#C07NQ</t>
    <phoneticPr fontId="58" type="noConversion"/>
  </si>
  <si>
    <t>水龍頭水口-短喇叭粉色#C08S2</t>
    <phoneticPr fontId="58" type="noConversion"/>
  </si>
  <si>
    <t>馬賽克太陽眼鏡-無框粉色</t>
  </si>
  <si>
    <t>心型框太陽眼鏡-粉色灰</t>
  </si>
  <si>
    <t>LED閃光百葉窗眼鏡-粉色</t>
  </si>
  <si>
    <t>貓眼薄片無框太陽眼鏡-粉色</t>
  </si>
  <si>
    <t>花藝膠帶12mm*27m-302粉色</t>
  </si>
  <si>
    <t>肌肉貼25mm*5m-粉色</t>
    <phoneticPr fontId="58" type="noConversion"/>
  </si>
  <si>
    <t>彈性繃帶25mm*4.5m-粉色</t>
    <phoneticPr fontId="58" type="noConversion"/>
  </si>
  <si>
    <t>彈性繃帶25mm*4.5m-螢光粉色</t>
    <phoneticPr fontId="58" type="noConversion"/>
  </si>
  <si>
    <t>彈性繃帶50mm*4.5m-粉色</t>
    <phoneticPr fontId="58" type="noConversion"/>
  </si>
  <si>
    <t>彈性繃帶50mm*4.5m-螢光粉色</t>
    <phoneticPr fontId="58" type="noConversion"/>
  </si>
  <si>
    <t>水龍頭掛袋-粉色#C05BH</t>
  </si>
  <si>
    <t>水龍頭水口-長喇叭粉色#C08RY</t>
    <phoneticPr fontId="58" type="noConversion"/>
  </si>
  <si>
    <t>水龍頭水口-長喇叭蓝色#C08S0</t>
    <phoneticPr fontId="58" type="noConversion"/>
  </si>
  <si>
    <t>水龍頭濾芯-圆活性炭滤水器#C06SE</t>
    <phoneticPr fontId="58" type="noConversion"/>
  </si>
  <si>
    <t>水龍頭水口-長喇叭紫色#C08RX</t>
    <phoneticPr fontId="58" type="noConversion"/>
  </si>
  <si>
    <t>水龍頭水口-短喇叭蓝色#C08S3</t>
    <phoneticPr fontId="58" type="noConversion"/>
  </si>
  <si>
    <t>水龍頭濾芯-麦饭石款蓝色#YPHI-462-1-139</t>
    <phoneticPr fontId="58" type="noConversion"/>
  </si>
  <si>
    <t>水龍頭濾芯-麦饭石款白色#YPHI-462-3-139</t>
    <phoneticPr fontId="58" type="noConversion"/>
  </si>
  <si>
    <t>水龍頭水口-小風扇粉色#C07NP</t>
    <phoneticPr fontId="58" type="noConversion"/>
  </si>
  <si>
    <t>水龍頭水口-短喇叭紫色#C08S1</t>
    <phoneticPr fontId="58" type="noConversion"/>
  </si>
  <si>
    <t>自熔止漏水膠帶10cm*10cm-黑</t>
  </si>
  <si>
    <t>自熔止漏水膠帶10cm*10cm-白</t>
  </si>
  <si>
    <t>自熔止漏水膠帶10cm*10cm-透明</t>
  </si>
  <si>
    <t>1688瑞安恆成</t>
    <phoneticPr fontId="58" type="noConversion"/>
  </si>
  <si>
    <t>氣球圓點膠</t>
    <phoneticPr fontId="2" type="noConversion"/>
  </si>
  <si>
    <r>
      <t>b</t>
    </r>
    <r>
      <rPr>
        <sz val="10"/>
        <rFont val="宋体"/>
        <charset val="134"/>
      </rPr>
      <t>alloon tape</t>
    </r>
    <phoneticPr fontId="2" type="noConversion"/>
  </si>
  <si>
    <t>氣球鏈</t>
    <phoneticPr fontId="2" type="noConversion"/>
  </si>
  <si>
    <t>氣球彩帶</t>
    <phoneticPr fontId="2" type="noConversion"/>
  </si>
  <si>
    <t>氣球金邊彩帶16mm*12m-藍</t>
  </si>
  <si>
    <t>氣球金邊彩帶16mm*12m-粉</t>
  </si>
  <si>
    <t>氣球金邊彩帶16mm*12m-黃</t>
  </si>
  <si>
    <t>氣球金邊彩帶16mm*12m-紅</t>
  </si>
  <si>
    <t>氣球金邊彩帶16mm*12m-綠</t>
  </si>
  <si>
    <t>氣球金邊彩帶16mm*12m-紫</t>
  </si>
  <si>
    <t>氣球金邊彩帶16mm*12m-玫紅</t>
  </si>
  <si>
    <t>氣球金邊彩帶16mm*12m-橘</t>
    <phoneticPr fontId="58" type="noConversion"/>
  </si>
  <si>
    <t>氣球金邊彩帶16mm*12m-淺藍</t>
    <phoneticPr fontId="58" type="noConversion"/>
  </si>
  <si>
    <t>氣球金邊彩帶16mm*12m-淺紫</t>
    <phoneticPr fontId="58" type="noConversion"/>
  </si>
  <si>
    <t>1688義烏虎熠</t>
    <phoneticPr fontId="58" type="noConversion"/>
  </si>
  <si>
    <t>拼多多膠太郎</t>
    <phoneticPr fontId="58" type="noConversion"/>
  </si>
  <si>
    <t>微信: 153元 + 2元店紅包 + 15元D紅包</t>
    <phoneticPr fontId="58" type="noConversion"/>
  </si>
  <si>
    <t>送切割器+2大水筆</t>
    <phoneticPr fontId="58" type="noConversion"/>
  </si>
  <si>
    <t>4.2cm*50m透明封箱膠</t>
    <phoneticPr fontId="58" type="noConversion"/>
  </si>
  <si>
    <t>1688義烏依宇</t>
    <phoneticPr fontId="58" type="noConversion"/>
  </si>
  <si>
    <t>金屬扎絲4mm*10cm*400pcs-金</t>
    <phoneticPr fontId="58" type="noConversion"/>
  </si>
  <si>
    <t>金屬扎絲4mm*10cm*400pcs-銀</t>
    <phoneticPr fontId="58" type="noConversion"/>
  </si>
  <si>
    <t>金屬扎絲4mm*10cm*400pcs-綠</t>
    <phoneticPr fontId="58" type="noConversion"/>
  </si>
  <si>
    <t>金屬扎絲4mm*10cm*400pcs-黑</t>
    <phoneticPr fontId="58" type="noConversion"/>
  </si>
  <si>
    <t>金屬扎絲4mm*10cm*400pcs-紫</t>
    <phoneticPr fontId="58" type="noConversion"/>
  </si>
  <si>
    <t>金屬扎絲4mm*10cm*400pcs-紅</t>
    <phoneticPr fontId="58" type="noConversion"/>
  </si>
  <si>
    <t>金屬扎絲4mm*10cm*400pcs-藍</t>
    <phoneticPr fontId="58" type="noConversion"/>
  </si>
  <si>
    <t>金屬扎絲4mm*10cm*400pcs-玫紅</t>
    <phoneticPr fontId="58" type="noConversion"/>
  </si>
  <si>
    <t>紙扎絲4mm*9cm*100pcs-白英文愛心</t>
    <phoneticPr fontId="58" type="noConversion"/>
  </si>
  <si>
    <t>紙扎絲4mm*9cm*100pcs-白愛心</t>
    <phoneticPr fontId="58" type="noConversion"/>
  </si>
  <si>
    <t>紙扎絲4mm*9cm*100pcs-綠英文愛心</t>
    <phoneticPr fontId="58" type="noConversion"/>
  </si>
  <si>
    <t>紙扎絲4mm*9cm*100pcs-紅英文愛心</t>
    <phoneticPr fontId="58" type="noConversion"/>
  </si>
  <si>
    <t>紙扎絲4mm*9cm*100pcs-藍英文愛心</t>
    <phoneticPr fontId="58" type="noConversion"/>
  </si>
  <si>
    <t>紙扎絲4mm*9cm*100pcs-紫英文愛心</t>
    <phoneticPr fontId="58" type="noConversion"/>
  </si>
  <si>
    <t>紙扎絲4mm*9cm*100pcs-卡其英文愛心</t>
    <phoneticPr fontId="58" type="noConversion"/>
  </si>
  <si>
    <t>包塑扎絲4mm*9cm*100pcs-淺綠</t>
    <phoneticPr fontId="58" type="noConversion"/>
  </si>
  <si>
    <t>包塑扎絲4mm*9cm*100pcs-紅</t>
    <phoneticPr fontId="58" type="noConversion"/>
  </si>
  <si>
    <t>包塑扎絲4mm*9cm*100pcs-藍</t>
    <phoneticPr fontId="58" type="noConversion"/>
  </si>
  <si>
    <t>包塑扎絲4mm*9cm*100pcs-紫</t>
    <phoneticPr fontId="58" type="noConversion"/>
  </si>
  <si>
    <t>包塑扎絲4mm*9cm*100pcs-黃</t>
    <phoneticPr fontId="58" type="noConversion"/>
  </si>
  <si>
    <t>包塑扎絲4mm*9cm*100pcs-粉</t>
    <phoneticPr fontId="58" type="noConversion"/>
  </si>
  <si>
    <t>蝴蝶結扎絲4mm*8cm*20pcs-藍</t>
    <phoneticPr fontId="58" type="noConversion"/>
  </si>
  <si>
    <t>蝴蝶結扎絲4mm*8cm*20pcs-紅</t>
    <phoneticPr fontId="58" type="noConversion"/>
  </si>
  <si>
    <t>蝴蝶結扎絲4mm*8cm*20pcs-粉</t>
    <phoneticPr fontId="58" type="noConversion"/>
  </si>
  <si>
    <t>蝴蝶結扎絲4mm*8cm*20pcs-咖啡</t>
    <phoneticPr fontId="58" type="noConversion"/>
  </si>
  <si>
    <t>蝴蝶結扎絲4mm*8cm*20pcs-紫</t>
    <phoneticPr fontId="58" type="noConversion"/>
  </si>
  <si>
    <t>1688溫州萬度</t>
    <phoneticPr fontId="58" type="noConversion"/>
  </si>
  <si>
    <t>1688樂清森美</t>
    <phoneticPr fontId="58" type="noConversion"/>
  </si>
  <si>
    <t>尼龍扎帶3*100mm*100pcs-白</t>
  </si>
  <si>
    <t>尼龍扎帶3*100mm*101pcs-黑</t>
  </si>
  <si>
    <t>尼龍扎帶3*100mm*102pcs-藍</t>
  </si>
  <si>
    <t>尼龍扎帶3*100mm*103pcs-紅</t>
  </si>
  <si>
    <t>尼龍扎帶3*100mm*104pcs-黃</t>
  </si>
  <si>
    <t>尼龍扎帶3*100mm*105pcs-綠</t>
  </si>
  <si>
    <t>尼龍扎帶3*150mm*100pcs-白</t>
  </si>
  <si>
    <t>尼龍扎帶3*150mm*100pcs-黑</t>
  </si>
  <si>
    <t>尼龍扎帶3*150mm*100pcs-藍</t>
  </si>
  <si>
    <t>尼龍扎帶3*150mm*100pcs-紅</t>
  </si>
  <si>
    <t>尼龍扎帶3*150mm*100pcs-黃</t>
  </si>
  <si>
    <t>尼龍扎帶3*150mm*100pcs-綠</t>
  </si>
  <si>
    <t>尼龍扎帶3*150mm*100pcs-粉</t>
  </si>
  <si>
    <t>尼龍扎帶3*150mm*100pcs-草綠</t>
  </si>
  <si>
    <t>尼龍扎帶3*200mm*100pcs-白</t>
  </si>
  <si>
    <t>尼龍扎帶3*200mm*100pcs-黑</t>
  </si>
  <si>
    <t>尼龍扎帶3*200mm*100pcs-藍</t>
  </si>
  <si>
    <t>尼龍扎帶3*200mm*100pcs-紅</t>
  </si>
  <si>
    <t>尼龍扎帶3*200mm*100pcs-黃</t>
  </si>
  <si>
    <t>尼龍扎帶3*200mm*100pcs-綠</t>
  </si>
  <si>
    <t>抗UV尼龍扎帶3*100mm*80pcs</t>
  </si>
  <si>
    <t>抗UV尼龍扎帶3*200mm*50pcs</t>
  </si>
  <si>
    <t>不鏽鋼扎帶4.6mm*150mm</t>
    <phoneticPr fontId="58" type="noConversion"/>
  </si>
  <si>
    <t>不鏽鋼扎帶4.6mm*200mm</t>
    <phoneticPr fontId="58" type="noConversion"/>
  </si>
  <si>
    <t>不鏽鋼扎帶4.6mm*300mm</t>
    <phoneticPr fontId="58" type="noConversion"/>
  </si>
  <si>
    <t>不鏽鋼扎帶4.6mm*400mm</t>
    <phoneticPr fontId="58" type="noConversion"/>
  </si>
  <si>
    <t>不鏽鋼扎帶4.6mm*450mm</t>
    <phoneticPr fontId="58" type="noConversion"/>
  </si>
  <si>
    <t>不鏽鋼扎帶4.6mm*500mm</t>
    <phoneticPr fontId="58" type="noConversion"/>
  </si>
  <si>
    <t>不鏽鋼扎帶4.6mm*700mm</t>
    <phoneticPr fontId="58" type="noConversion"/>
  </si>
  <si>
    <t>1688惠州耀明</t>
    <phoneticPr fontId="58" type="noConversion"/>
  </si>
  <si>
    <t>背膠魔術貼16mm*1m*1pair-黑</t>
  </si>
  <si>
    <t>背膠魔術貼16mm*1m*1pair-白</t>
  </si>
  <si>
    <t>背膠魔術貼20mm*1m*1pair-黑</t>
  </si>
  <si>
    <t>背膠魔術貼20mm*1m*1pair-白</t>
  </si>
  <si>
    <t>背膠魔術貼25mm*1m*1pair-黑</t>
  </si>
  <si>
    <t>背膠魔術貼25mm*1m*1pair-白</t>
  </si>
  <si>
    <t>縫布無膠魔術貼16mm*1m*1pair-黑</t>
    <phoneticPr fontId="58" type="noConversion"/>
  </si>
  <si>
    <t>縫布無膠魔術貼20mm*1m*1pair-黑</t>
    <phoneticPr fontId="58" type="noConversion"/>
  </si>
  <si>
    <t>縫布無膠魔術貼25mm*1m*1pair-黑</t>
    <phoneticPr fontId="58" type="noConversion"/>
  </si>
  <si>
    <t>LED閃光百葉窗眼鏡-藍</t>
    <phoneticPr fontId="58" type="noConversion"/>
  </si>
  <si>
    <t>LED閃光百葉窗眼鏡-綠</t>
    <phoneticPr fontId="58" type="noConversion"/>
  </si>
  <si>
    <t>LED閃光百葉窗眼鏡-紅</t>
    <phoneticPr fontId="58" type="noConversion"/>
  </si>
  <si>
    <t>九頭鳥電器膠帶18mm*10m-黑</t>
    <phoneticPr fontId="58" type="noConversion"/>
  </si>
  <si>
    <t>九頭鳥電器膠帶18mm*10m-白</t>
    <phoneticPr fontId="58" type="noConversion"/>
  </si>
  <si>
    <t>九頭鳥電器膠帶18mm*10m-紅</t>
    <phoneticPr fontId="58" type="noConversion"/>
  </si>
  <si>
    <t>九頭鳥電器膠帶18mm*10m-黃</t>
    <phoneticPr fontId="58" type="noConversion"/>
  </si>
  <si>
    <t>九頭鳥電器膠帶18mm*10m-藍</t>
    <phoneticPr fontId="58" type="noConversion"/>
  </si>
  <si>
    <t>九頭鳥電器膠帶18mm*10m-綠</t>
    <phoneticPr fontId="58" type="noConversion"/>
  </si>
  <si>
    <t>九頭鳥電器膠帶18mm*10m-黃綠</t>
    <phoneticPr fontId="58" type="noConversion"/>
  </si>
  <si>
    <t>九頭鳥電器膠帶18mm*10m-透明</t>
    <phoneticPr fontId="58" type="noConversion"/>
  </si>
  <si>
    <t>九頭鳥電器膠帶18mm*20m-黑</t>
    <phoneticPr fontId="58" type="noConversion"/>
  </si>
  <si>
    <t>九頭鳥電器膠帶18mm*20m-白</t>
    <phoneticPr fontId="58" type="noConversion"/>
  </si>
  <si>
    <t>九頭鳥電器膠帶18mm*20m-紅</t>
    <phoneticPr fontId="58" type="noConversion"/>
  </si>
  <si>
    <t>九頭鳥電器膠帶18mm*20m-黃</t>
    <phoneticPr fontId="58" type="noConversion"/>
  </si>
  <si>
    <t>九頭鳥電器膠帶18mm*20m-藍</t>
    <phoneticPr fontId="58" type="noConversion"/>
  </si>
  <si>
    <t>九頭鳥電器膠帶18mm*20m-綠</t>
    <phoneticPr fontId="58" type="noConversion"/>
  </si>
  <si>
    <t>九頭鳥電器膠帶18mm*20m-黃綠</t>
    <phoneticPr fontId="58" type="noConversion"/>
  </si>
  <si>
    <t>絨布膠帶9mm*15m</t>
    <phoneticPr fontId="58" type="noConversion"/>
  </si>
  <si>
    <t>絨布膠帶19mm*15m</t>
    <phoneticPr fontId="58" type="noConversion"/>
  </si>
  <si>
    <t>邦特鋁箔膠帶50mm*17m</t>
    <phoneticPr fontId="58" type="noConversion"/>
  </si>
  <si>
    <t>邦特鋁箔膠帶50mm*25m</t>
    <phoneticPr fontId="58" type="noConversion"/>
  </si>
  <si>
    <t>肌肉貼25mm*5m-膚色</t>
    <phoneticPr fontId="58" type="noConversion"/>
  </si>
  <si>
    <t>肌肉貼25mm*5m-黑色</t>
    <phoneticPr fontId="58" type="noConversion"/>
  </si>
  <si>
    <t>肌肉貼25mm*5m-白色</t>
    <phoneticPr fontId="58" type="noConversion"/>
  </si>
  <si>
    <t>肌肉貼25mm*5m-紅色</t>
    <phoneticPr fontId="58" type="noConversion"/>
  </si>
  <si>
    <t>肌肉貼25mm*5m-橙色</t>
    <phoneticPr fontId="58" type="noConversion"/>
  </si>
  <si>
    <t>肌肉貼25mm*5m-紫色</t>
    <phoneticPr fontId="58" type="noConversion"/>
  </si>
  <si>
    <t>肌肉貼25mm*5m-深藍色</t>
    <phoneticPr fontId="58" type="noConversion"/>
  </si>
  <si>
    <t>肌肉貼25mm*5m-淺藍色</t>
    <phoneticPr fontId="58" type="noConversion"/>
  </si>
  <si>
    <t>肌肉貼25mm*5m-黃色</t>
    <phoneticPr fontId="58" type="noConversion"/>
  </si>
  <si>
    <t>肌肉貼25mm*5m-深綠色</t>
    <phoneticPr fontId="58" type="noConversion"/>
  </si>
  <si>
    <t>肌肉貼25mm*5m-淺綠色</t>
    <phoneticPr fontId="58" type="noConversion"/>
  </si>
  <si>
    <t>PET高溫膠帶3mm*33m</t>
    <phoneticPr fontId="58" type="noConversion"/>
  </si>
  <si>
    <t>PET高溫膠帶6mm*33m</t>
    <phoneticPr fontId="58" type="noConversion"/>
  </si>
  <si>
    <t>PET高溫膠帶10mm*33m</t>
    <phoneticPr fontId="58" type="noConversion"/>
  </si>
  <si>
    <t>PET高溫膠帶12mm*33m</t>
    <phoneticPr fontId="58" type="noConversion"/>
  </si>
  <si>
    <t>單導銅箔膠帶3mm*50m</t>
    <phoneticPr fontId="58" type="noConversion"/>
  </si>
  <si>
    <t>單導銅箔膠帶6mm*20m</t>
    <phoneticPr fontId="58" type="noConversion"/>
  </si>
  <si>
    <t>單導銅箔膠帶20mm*4m</t>
    <phoneticPr fontId="58" type="noConversion"/>
  </si>
  <si>
    <t>單導銅箔膠帶50mm*2m</t>
    <phoneticPr fontId="58" type="noConversion"/>
  </si>
  <si>
    <t>雙導銅箔膠帶3mm*20m</t>
    <phoneticPr fontId="58" type="noConversion"/>
  </si>
  <si>
    <t>雙導銅箔膠帶6mm*20m</t>
    <phoneticPr fontId="58" type="noConversion"/>
  </si>
  <si>
    <t>反光晶格膠帶50mm*1m-白</t>
    <phoneticPr fontId="58" type="noConversion"/>
  </si>
  <si>
    <t>反光晶格膠帶50mm*1m-紅</t>
    <phoneticPr fontId="58" type="noConversion"/>
  </si>
  <si>
    <t>反光晶格膠帶50mm*1m-橙</t>
    <phoneticPr fontId="58" type="noConversion"/>
  </si>
  <si>
    <t>反光晶格膠帶50mm*1m-黃</t>
    <phoneticPr fontId="58" type="noConversion"/>
  </si>
  <si>
    <t>反光晶格膠帶50mm*1m-螢光綠</t>
    <phoneticPr fontId="58" type="noConversion"/>
  </si>
  <si>
    <t>反光晶格膠帶50mm*1m-白底紅箭頭</t>
    <phoneticPr fontId="58" type="noConversion"/>
  </si>
  <si>
    <t>反光晶格膠帶50mm*1m-白底藍箭頭</t>
    <phoneticPr fontId="58" type="noConversion"/>
  </si>
  <si>
    <t>反光晶格膠帶50mm*1m-黃底紅箭頭</t>
    <phoneticPr fontId="58" type="noConversion"/>
  </si>
  <si>
    <t>反光晶格膠帶50mm*1m-螢光綠底黑箭頭</t>
    <phoneticPr fontId="58" type="noConversion"/>
  </si>
  <si>
    <t>反光晶格膠帶50mm*1m-螢光綠底紅箭頭</t>
    <phoneticPr fontId="58" type="noConversion"/>
  </si>
  <si>
    <t>警告安全膠帶48mm*18m-黃黑</t>
    <phoneticPr fontId="58" type="noConversion"/>
  </si>
  <si>
    <t>警告安全膠帶48mm*18m-白綠</t>
    <phoneticPr fontId="58" type="noConversion"/>
  </si>
  <si>
    <t>警告安全膠帶48mm*18m-白紅</t>
    <phoneticPr fontId="58" type="noConversion"/>
  </si>
  <si>
    <t>警告安全膠帶48mm*18m-黃</t>
    <phoneticPr fontId="58" type="noConversion"/>
  </si>
  <si>
    <t>警告安全膠帶48mm*18m-藍</t>
    <phoneticPr fontId="58" type="noConversion"/>
  </si>
  <si>
    <t>警告安全膠帶48mm*18m-綠</t>
    <phoneticPr fontId="58" type="noConversion"/>
  </si>
  <si>
    <t>警告安全膠帶48mm*18m-紅</t>
    <phoneticPr fontId="58" type="noConversion"/>
  </si>
  <si>
    <t>警告安全膠帶48mm*18m-黑</t>
    <phoneticPr fontId="58" type="noConversion"/>
  </si>
  <si>
    <t>警告安全膠帶48mm*18m-白</t>
    <phoneticPr fontId="58" type="noConversion"/>
  </si>
  <si>
    <t>車用強力泡棉雙面膠帶2mm*3m</t>
    <phoneticPr fontId="58" type="noConversion"/>
  </si>
  <si>
    <t>車用強力泡棉雙面膠帶6mm*3m</t>
    <phoneticPr fontId="58" type="noConversion"/>
  </si>
  <si>
    <t>車用強力泡棉雙面膠帶12mm*3m</t>
    <phoneticPr fontId="58" type="noConversion"/>
  </si>
  <si>
    <t>車用強力泡棉雙面膠帶20mm*3m</t>
    <phoneticPr fontId="58" type="noConversion"/>
  </si>
  <si>
    <t>車用強力泡棉雙面膠帶25mm*3m</t>
    <phoneticPr fontId="58" type="noConversion"/>
  </si>
  <si>
    <t>車用強力泡棉雙面膠帶40mm*3m</t>
    <phoneticPr fontId="58" type="noConversion"/>
  </si>
  <si>
    <t>車用強力泡棉雙面膠帶50mm*3m</t>
    <phoneticPr fontId="58" type="noConversion"/>
  </si>
  <si>
    <t>納米魔術膠帶1mm*3cm*1m</t>
    <phoneticPr fontId="58" type="noConversion"/>
  </si>
  <si>
    <t>納米魔術膠帶1mm*3cm*3m</t>
    <phoneticPr fontId="58" type="noConversion"/>
  </si>
  <si>
    <t>納米魔術膠帶2mm*3cm*1m</t>
    <phoneticPr fontId="58" type="noConversion"/>
  </si>
  <si>
    <t>納米魔術膠帶1mm*2cm*5m</t>
    <phoneticPr fontId="58" type="noConversion"/>
  </si>
  <si>
    <t>自熔止漏水膠帶10cm*1.5m-黑</t>
    <phoneticPr fontId="58" type="noConversion"/>
  </si>
  <si>
    <t>自熔止漏水膠帶10cm*1.5m-白</t>
    <phoneticPr fontId="58" type="noConversion"/>
  </si>
  <si>
    <t>自熔止漏水膠帶10cm*1.5m-透明</t>
    <phoneticPr fontId="58" type="noConversion"/>
  </si>
  <si>
    <t>氣球圓點膠-100點</t>
    <phoneticPr fontId="58" type="noConversion"/>
  </si>
  <si>
    <t>氣球鏈5m-透明單孔</t>
    <phoneticPr fontId="58" type="noConversion"/>
  </si>
  <si>
    <t>氣球鏈5m-透明雙孔</t>
    <phoneticPr fontId="58" type="noConversion"/>
  </si>
  <si>
    <t>氣球鏈5m-馬卡龍粉</t>
    <phoneticPr fontId="58" type="noConversion"/>
  </si>
  <si>
    <t>氣球鏈5m-馬卡龍黃</t>
    <phoneticPr fontId="58" type="noConversion"/>
  </si>
  <si>
    <t>氣球鏈5m-馬卡龍橘</t>
    <phoneticPr fontId="58" type="noConversion"/>
  </si>
  <si>
    <t>氣球鏈15m-單孔</t>
    <phoneticPr fontId="58" type="noConversion"/>
  </si>
  <si>
    <t>氣球鏈15m-雙孔</t>
    <phoneticPr fontId="58" type="noConversion"/>
  </si>
  <si>
    <t>氣球鏈5m-六花式</t>
    <phoneticPr fontId="58" type="noConversion"/>
  </si>
  <si>
    <t>氣球彩帶15mm*30m-藍</t>
    <phoneticPr fontId="58" type="noConversion"/>
  </si>
  <si>
    <t>氣球彩帶15mm*30m-粉</t>
    <phoneticPr fontId="58" type="noConversion"/>
  </si>
  <si>
    <t>氣球彩帶15mm*30m-白</t>
    <phoneticPr fontId="58" type="noConversion"/>
  </si>
  <si>
    <t>氣球彩帶15mm*30m-黃</t>
    <phoneticPr fontId="58" type="noConversion"/>
  </si>
  <si>
    <t>氣球彩帶15mm*30m-紅</t>
    <phoneticPr fontId="58" type="noConversion"/>
  </si>
  <si>
    <t>氣球彩帶15mm*30m-綠</t>
    <phoneticPr fontId="58" type="noConversion"/>
  </si>
  <si>
    <t>氣球彩帶15mm*30m-紫</t>
    <phoneticPr fontId="58" type="noConversion"/>
  </si>
  <si>
    <t>氣球彩帶15mm*30m-玫紅</t>
    <phoneticPr fontId="58" type="noConversion"/>
  </si>
  <si>
    <t>4.5cm*70m-透明黃封箱膠</t>
    <phoneticPr fontId="58" type="noConversion"/>
  </si>
  <si>
    <t>背膠圓點魔術貼15mm*30pair-黑</t>
    <phoneticPr fontId="58" type="noConversion"/>
  </si>
  <si>
    <t>背膠圓點魔術貼15mm*30pair-白</t>
    <phoneticPr fontId="58" type="noConversion"/>
  </si>
  <si>
    <t>背膠圓點魔術貼20mm*20pair-黑</t>
    <phoneticPr fontId="58" type="noConversion"/>
  </si>
  <si>
    <t>背膠圓點魔術貼20mm*20pair-白</t>
    <phoneticPr fontId="58" type="noConversion"/>
  </si>
  <si>
    <t>背膠圓點魔術貼30mm*9pair-黑</t>
    <phoneticPr fontId="58" type="noConversion"/>
  </si>
  <si>
    <t>背膠圓點魔術貼30mm*9pair-白</t>
    <phoneticPr fontId="58" type="noConversion"/>
  </si>
  <si>
    <t>背膠圓點魔術貼50mm*4pair-黑</t>
    <phoneticPr fontId="58" type="noConversion"/>
  </si>
  <si>
    <t>背膠圓點魔術貼50mm*4pair-白</t>
    <phoneticPr fontId="58" type="noConversion"/>
  </si>
  <si>
    <t>雙面魔術貼10mm*2m-藍</t>
  </si>
  <si>
    <t>雙面魔術貼10mm*2m-黃</t>
  </si>
  <si>
    <t>雙面魔術貼10mm*2m-綠</t>
  </si>
  <si>
    <t>雙面魔術貼10mm*2m-紅</t>
  </si>
  <si>
    <t>雙面魔術貼20mm*2m-黑</t>
  </si>
  <si>
    <t>雙面魔術貼20mm*2m-藍</t>
  </si>
  <si>
    <t>雙面魔術貼20mm*2m-黃</t>
  </si>
  <si>
    <t>雙面魔術貼20mm*2m-綠</t>
  </si>
  <si>
    <t>雙面魔術貼20mm*2m-紅</t>
  </si>
  <si>
    <t>雙面魔術貼10mm*2m-黑</t>
    <phoneticPr fontId="58" type="noConversion"/>
  </si>
  <si>
    <t>T型雙面魔術貼12mm*150mm-黑</t>
  </si>
  <si>
    <t>T型雙面魔術貼12mm*150mm-藍</t>
  </si>
  <si>
    <t>T型雙面魔術貼12mm*150mm-黃</t>
  </si>
  <si>
    <t>T型雙面魔術貼12mm*150mm-綠</t>
  </si>
  <si>
    <t>T型雙面魔術貼12mm*150mm-紅</t>
  </si>
  <si>
    <t>T型雙面魔術貼12mm*200mm-黑</t>
  </si>
  <si>
    <t>T型雙面魔術貼12mm*200mm-藍</t>
  </si>
  <si>
    <t>T型雙面魔術貼12mm*200mm-黃</t>
  </si>
  <si>
    <t>T型雙面魔術貼12mm*200mm-綠</t>
  </si>
  <si>
    <t>T型雙面魔術貼12mm*200mm-紅</t>
  </si>
  <si>
    <r>
      <t>1/</t>
    </r>
    <r>
      <rPr>
        <sz val="10"/>
        <rFont val="宋体"/>
        <charset val="134"/>
      </rPr>
      <t>16</t>
    </r>
    <phoneticPr fontId="58" type="noConversion"/>
  </si>
  <si>
    <t>3/16</t>
    <phoneticPr fontId="58" type="noConversion"/>
  </si>
  <si>
    <t>快速分线夾</t>
    <phoneticPr fontId="2" type="noConversion"/>
  </si>
  <si>
    <t>wire splice</t>
    <phoneticPr fontId="2" type="noConversion"/>
  </si>
  <si>
    <t>terminals</t>
    <phoneticPr fontId="2" type="noConversion"/>
  </si>
  <si>
    <t>PVC中間對接頭-BV</t>
    <phoneticPr fontId="2" type="noConversion"/>
  </si>
  <si>
    <t>熱縮中間對接頭-BHT</t>
    <phoneticPr fontId="2" type="noConversion"/>
  </si>
  <si>
    <t>焊錫中間對接頭-SST-S</t>
    <phoneticPr fontId="2" type="noConversion"/>
  </si>
  <si>
    <t>T型接线夾t-tap</t>
    <phoneticPr fontId="2" type="noConversion"/>
  </si>
  <si>
    <t>PVC子彈頭端子</t>
    <phoneticPr fontId="2" type="noConversion"/>
  </si>
  <si>
    <t>熱縮子彈頭端子</t>
    <phoneticPr fontId="2" type="noConversion"/>
  </si>
  <si>
    <t>熱縮插簧端子</t>
    <phoneticPr fontId="2" type="noConversion"/>
  </si>
  <si>
    <t>冷壓銅鼻子lug ring</t>
    <phoneticPr fontId="2" type="noConversion"/>
  </si>
  <si>
    <r>
      <t>P</t>
    </r>
    <r>
      <rPr>
        <sz val="10"/>
        <rFont val="宋体"/>
        <charset val="134"/>
      </rPr>
      <t>VC-Y型</t>
    </r>
    <phoneticPr fontId="2" type="noConversion"/>
  </si>
  <si>
    <r>
      <t>P</t>
    </r>
    <r>
      <rPr>
        <sz val="10"/>
        <rFont val="宋体"/>
        <charset val="134"/>
      </rPr>
      <t>VC-環型</t>
    </r>
    <phoneticPr fontId="2" type="noConversion"/>
  </si>
  <si>
    <t>1688溫州欣朗</t>
    <phoneticPr fontId="58" type="noConversion"/>
  </si>
  <si>
    <t>熱縮管3mm-黑</t>
    <phoneticPr fontId="58" type="noConversion"/>
  </si>
  <si>
    <t>熱縮管14mm-黑</t>
    <phoneticPr fontId="58" type="noConversion"/>
  </si>
  <si>
    <t>熱縮管1mm-黑</t>
    <phoneticPr fontId="58" type="noConversion"/>
  </si>
  <si>
    <t>熱縮管2.5mm-黑</t>
    <phoneticPr fontId="58" type="noConversion"/>
  </si>
  <si>
    <t>熱縮管2mm-黑</t>
    <phoneticPr fontId="58" type="noConversion"/>
  </si>
  <si>
    <t>熱縮管3mm-紅</t>
    <phoneticPr fontId="58" type="noConversion"/>
  </si>
  <si>
    <t>熱縮管14mm-紅</t>
    <phoneticPr fontId="58" type="noConversion"/>
  </si>
  <si>
    <t>熱縮管7mm-紅</t>
    <phoneticPr fontId="58" type="noConversion"/>
  </si>
  <si>
    <t>熱縮管10mm-紅</t>
    <phoneticPr fontId="58" type="noConversion"/>
  </si>
  <si>
    <t>熱縮管5mm-紅</t>
    <phoneticPr fontId="58" type="noConversion"/>
  </si>
  <si>
    <t>熱縮管7mm-黑</t>
    <phoneticPr fontId="58" type="noConversion"/>
  </si>
  <si>
    <t>熱縮管5mm-黑</t>
    <phoneticPr fontId="58" type="noConversion"/>
  </si>
  <si>
    <t>熱縮管1.5mm-黑</t>
    <phoneticPr fontId="58" type="noConversion"/>
  </si>
  <si>
    <t>熱縮管10mm-黑</t>
    <phoneticPr fontId="58" type="noConversion"/>
  </si>
  <si>
    <t>801P3快速接線夾-紅</t>
    <phoneticPr fontId="58" type="noConversion"/>
  </si>
  <si>
    <t>802P3快速接線夾-藍</t>
    <phoneticPr fontId="58" type="noConversion"/>
  </si>
  <si>
    <t>805P3快速接線夾-黃</t>
    <phoneticPr fontId="58" type="noConversion"/>
  </si>
  <si>
    <t>T2T型接線夾1對-藍</t>
    <phoneticPr fontId="58" type="noConversion"/>
  </si>
  <si>
    <t>T1T型接線夾1對-紅</t>
    <phoneticPr fontId="58" type="noConversion"/>
  </si>
  <si>
    <t>T5T型接線夾1對-黃</t>
    <phoneticPr fontId="58" type="noConversion"/>
  </si>
  <si>
    <t>SC6-6銅鼻子端子</t>
    <phoneticPr fontId="58" type="noConversion"/>
  </si>
  <si>
    <t>SC6-8銅鼻子端子</t>
    <phoneticPr fontId="58" type="noConversion"/>
  </si>
  <si>
    <t>SC10-6銅鼻子端子</t>
    <phoneticPr fontId="58" type="noConversion"/>
  </si>
  <si>
    <t>SC10-8銅鼻子端子</t>
    <phoneticPr fontId="58" type="noConversion"/>
  </si>
  <si>
    <t>SC16-6銅鼻子端子</t>
    <phoneticPr fontId="58" type="noConversion"/>
  </si>
  <si>
    <t>SC16-8銅鼻子端子</t>
    <phoneticPr fontId="58" type="noConversion"/>
  </si>
  <si>
    <t>SC25-6銅鼻子端子</t>
    <phoneticPr fontId="58" type="noConversion"/>
  </si>
  <si>
    <t>SC25-8銅鼻子端子</t>
    <phoneticPr fontId="58" type="noConversion"/>
  </si>
  <si>
    <t>1688樂清歐寧</t>
    <phoneticPr fontId="58" type="noConversion"/>
  </si>
  <si>
    <t>BV1.25PVC中間接頭-紅</t>
    <phoneticPr fontId="58" type="noConversion"/>
  </si>
  <si>
    <t>BV2PVC中間接頭-藍</t>
    <phoneticPr fontId="58" type="noConversion"/>
  </si>
  <si>
    <t>BV5PVC中間接頭-黃</t>
    <phoneticPr fontId="58" type="noConversion"/>
  </si>
  <si>
    <t>BHT1.25熱縮中間接頭-紅</t>
    <phoneticPr fontId="58" type="noConversion"/>
  </si>
  <si>
    <t>BHT0.5熱縮中間接頭-淺黃</t>
    <phoneticPr fontId="58" type="noConversion"/>
  </si>
  <si>
    <t>BHT2熱縮中間接頭-藍</t>
    <phoneticPr fontId="58" type="noConversion"/>
  </si>
  <si>
    <t>BHT5.5熱縮中間接頭-黃</t>
    <phoneticPr fontId="58" type="noConversion"/>
  </si>
  <si>
    <t>SST-S11焊錫中間接頭-白</t>
    <phoneticPr fontId="58" type="noConversion"/>
  </si>
  <si>
    <t>SST-S21焊錫中間接頭-紅</t>
    <phoneticPr fontId="58" type="noConversion"/>
  </si>
  <si>
    <t>SST-S31焊錫中間接頭-藍</t>
    <phoneticPr fontId="58" type="noConversion"/>
  </si>
  <si>
    <t>SST-S41焊錫中間接頭-黃</t>
    <phoneticPr fontId="58" type="noConversion"/>
  </si>
  <si>
    <t>MPD+FRD1.25-156PVC子彈型端子1對-紅</t>
    <phoneticPr fontId="58" type="noConversion"/>
  </si>
  <si>
    <t>MPD+FRD2-156PVC子彈型端子1對-藍</t>
    <phoneticPr fontId="58" type="noConversion"/>
  </si>
  <si>
    <t>MPD+FRD5.5-195PVC子彈型端子1對-黃</t>
    <phoneticPr fontId="58" type="noConversion"/>
  </si>
  <si>
    <t>1688樂清高朋</t>
    <phoneticPr fontId="58" type="noConversion"/>
  </si>
  <si>
    <t>CE-1尼龍壓線帽</t>
    <phoneticPr fontId="58" type="noConversion"/>
  </si>
  <si>
    <t>CE-2尼龍壓線帽</t>
    <phoneticPr fontId="58" type="noConversion"/>
  </si>
  <si>
    <t>CE-5尼龍壓線帽</t>
    <phoneticPr fontId="58" type="noConversion"/>
  </si>
  <si>
    <t>HMDD+FDFD1.25-250扁型熱縮端子1對-紅</t>
    <phoneticPr fontId="58" type="noConversion"/>
  </si>
  <si>
    <t>HMDD+FDFD2-250扁型熱縮端子1對-藍</t>
    <phoneticPr fontId="58" type="noConversion"/>
  </si>
  <si>
    <t>HMDD+FDFD5.5-250扁型熱縮端子1對-黃</t>
    <phoneticPr fontId="58" type="noConversion"/>
  </si>
  <si>
    <t>HMPD+HFRD1.25-156子彈型熱縮端子1對-紅</t>
    <phoneticPr fontId="58" type="noConversion"/>
  </si>
  <si>
    <t>HMPD+HFRD2-156子彈型熱縮端子1對-藍</t>
    <phoneticPr fontId="58" type="noConversion"/>
  </si>
  <si>
    <t>HMPD+HFRD5.5-195子彈型熱縮端子1對-黃</t>
    <phoneticPr fontId="58" type="noConversion"/>
  </si>
  <si>
    <t>平口OPP袋</t>
    <phoneticPr fontId="2" type="noConversion"/>
  </si>
  <si>
    <t>自粘OPP袋</t>
    <phoneticPr fontId="2" type="noConversion"/>
  </si>
  <si>
    <r>
      <t>f</t>
    </r>
    <r>
      <rPr>
        <sz val="10"/>
        <rFont val="宋体"/>
        <charset val="134"/>
      </rPr>
      <t>lat</t>
    </r>
    <r>
      <rPr>
        <sz val="10"/>
        <rFont val="宋体"/>
        <charset val="134"/>
      </rPr>
      <t xml:space="preserve"> opp bag</t>
    </r>
    <phoneticPr fontId="2" type="noConversion"/>
  </si>
  <si>
    <t>PVC插簧端子FDFD2-250/MDD2-250</t>
    <phoneticPr fontId="2" type="noConversion"/>
  </si>
  <si>
    <r>
      <t>h</t>
    </r>
    <r>
      <rPr>
        <sz val="10"/>
        <rFont val="宋体"/>
        <charset val="134"/>
      </rPr>
      <t>old item</t>
    </r>
    <phoneticPr fontId="2" type="noConversion"/>
  </si>
  <si>
    <t>旋轉式壓線帽</t>
    <phoneticPr fontId="2" type="noConversion"/>
  </si>
  <si>
    <t>809遠近無框眼鏡老花+100度</t>
    <phoneticPr fontId="58" type="noConversion"/>
  </si>
  <si>
    <t>貓眼小框太陽眼鏡-白灰片</t>
    <phoneticPr fontId="58" type="noConversion"/>
  </si>
  <si>
    <t>貓眼小框太陽眼鏡-黑灰片</t>
  </si>
  <si>
    <t>貓眼小框太陽眼鏡-紅灰片</t>
  </si>
  <si>
    <t>貓眼小框太陽眼鏡-茶灰片</t>
  </si>
  <si>
    <t>貓眼小框太陽眼鏡-白白片</t>
  </si>
  <si>
    <t>貓眼小框太陽眼鏡-黑白片</t>
  </si>
  <si>
    <t>支付寶</t>
    <phoneticPr fontId="58" type="noConversion"/>
  </si>
  <si>
    <t>微信</t>
    <phoneticPr fontId="58" type="noConversion"/>
  </si>
  <si>
    <t>支付寶: 93.6元 + 5元店紅包</t>
    <phoneticPr fontId="58" type="noConversion"/>
  </si>
  <si>
    <t>紅包</t>
    <phoneticPr fontId="58" type="noConversion"/>
  </si>
  <si>
    <t>微信: 159.4元 + 2元店紅包 + 15元D紅包</t>
    <phoneticPr fontId="58" type="noConversion"/>
  </si>
  <si>
    <t>支付寶: 317元 + 5元店紅包</t>
    <phoneticPr fontId="58" type="noConversion"/>
  </si>
  <si>
    <t>1688深圳揚誠</t>
    <phoneticPr fontId="58" type="noConversion"/>
  </si>
  <si>
    <t>1688澄海麗峰</t>
    <phoneticPr fontId="58" type="noConversion"/>
  </si>
  <si>
    <t>白邊10絲自封袋30mm*30mm</t>
    <phoneticPr fontId="58" type="noConversion"/>
  </si>
  <si>
    <t>8絲自粘OPP袋23cm*32cm+4cm</t>
    <phoneticPr fontId="58" type="noConversion"/>
  </si>
  <si>
    <t>8絲自粘OPP袋5cm*5cm+3cm</t>
    <phoneticPr fontId="58" type="noConversion"/>
  </si>
  <si>
    <t>8絲自粘OPP袋13cm*20cm+3cm</t>
    <phoneticPr fontId="58" type="noConversion"/>
  </si>
  <si>
    <t>8絲自粘OPP袋8cm*10cm+3cm</t>
    <phoneticPr fontId="58" type="noConversion"/>
  </si>
  <si>
    <t>8絲自粘OPP袋30cm*38cm+4cm</t>
    <phoneticPr fontId="58" type="noConversion"/>
  </si>
  <si>
    <t>8絲自粘OPP袋40cm*60cm+4cm</t>
    <phoneticPr fontId="58" type="noConversion"/>
  </si>
  <si>
    <t>8絲自粘OPP袋9cm*9cm+3cm</t>
    <phoneticPr fontId="58" type="noConversion"/>
  </si>
  <si>
    <t>8絲自粘OPP袋20cm*26cm+4cm</t>
    <phoneticPr fontId="58" type="noConversion"/>
  </si>
  <si>
    <t>8絲自粘OPP袋6cm*9cm+3cm</t>
    <phoneticPr fontId="58" type="noConversion"/>
  </si>
  <si>
    <t>8絲自粘OPP袋12cm*18cm+3cm</t>
    <phoneticPr fontId="58" type="noConversion"/>
  </si>
  <si>
    <t>8絲自粘OPP袋14cm*25cm+3cm</t>
    <phoneticPr fontId="58" type="noConversion"/>
  </si>
  <si>
    <t>8絲自粘OPP袋26cm*30cm+4cm</t>
    <phoneticPr fontId="58" type="noConversion"/>
  </si>
  <si>
    <t>8絲自粘OPP袋10cm*16cm+3cm</t>
    <phoneticPr fontId="58" type="noConversion"/>
  </si>
  <si>
    <t>8絲自粘OPP袋20cm*30cm+4cm</t>
    <phoneticPr fontId="58" type="noConversion"/>
  </si>
  <si>
    <t>8絲自粘OPP袋18cm*30cm+3cm</t>
    <phoneticPr fontId="58" type="noConversion"/>
  </si>
  <si>
    <t>8絲自粘OPP袋15cm*21cm+3cm</t>
    <phoneticPr fontId="58" type="noConversion"/>
  </si>
  <si>
    <t>8絲自粘OPP袋11cm*15cm+3cm</t>
    <phoneticPr fontId="58" type="noConversion"/>
  </si>
  <si>
    <t>1688義烏帕客</t>
    <phoneticPr fontId="58" type="noConversion"/>
  </si>
  <si>
    <t>7絲自粘OPP袋4cm*4cm+2cm</t>
    <phoneticPr fontId="58" type="noConversion"/>
  </si>
  <si>
    <t>7絲自粘OPP袋3cm*4cm+2cm</t>
    <phoneticPr fontId="58" type="noConversion"/>
  </si>
  <si>
    <t>5絲自粘OPP袋5cm*27cm+3cm</t>
    <phoneticPr fontId="58" type="noConversion"/>
  </si>
  <si>
    <t>7絲自粘OPP袋6cm*10cm+2cm</t>
    <phoneticPr fontId="58" type="noConversion"/>
  </si>
  <si>
    <t>5絲自粘OPP袋5cm*21cm+3cm</t>
    <phoneticPr fontId="58" type="noConversion"/>
  </si>
  <si>
    <t>5絲自粘OPP袋4cm*7cm+2cm</t>
    <phoneticPr fontId="58" type="noConversion"/>
  </si>
  <si>
    <t>1688義烏澤林</t>
    <phoneticPr fontId="58" type="noConversion"/>
  </si>
  <si>
    <t>7絲平口OPP袋10cm*15cm</t>
    <phoneticPr fontId="58" type="noConversion"/>
  </si>
  <si>
    <t>7絲平口OPP袋8cm*12cm</t>
    <phoneticPr fontId="58" type="noConversion"/>
  </si>
  <si>
    <t>7絲平口OPP袋18cm*25cm</t>
    <phoneticPr fontId="58" type="noConversion"/>
  </si>
  <si>
    <t>7絲平口OPP袋30cm*40cm</t>
    <phoneticPr fontId="58" type="noConversion"/>
  </si>
  <si>
    <t>7絲平口OPP袋25cm*35cm</t>
    <phoneticPr fontId="58" type="noConversion"/>
  </si>
  <si>
    <t>7絲平口OPP袋7cm*10cm</t>
    <phoneticPr fontId="58" type="noConversion"/>
  </si>
  <si>
    <t>7絲平口OPP袋13cm*18cm</t>
    <phoneticPr fontId="58" type="noConversion"/>
  </si>
  <si>
    <t>7絲平口OPP袋14cm*20cm</t>
    <phoneticPr fontId="58" type="noConversion"/>
  </si>
  <si>
    <t>7絲平口OPP袋23cm*33cm</t>
    <phoneticPr fontId="58" type="noConversion"/>
  </si>
  <si>
    <t>7絲平口OPP袋6cm*9cm</t>
    <phoneticPr fontId="58" type="noConversion"/>
  </si>
  <si>
    <t>7絲平口OPP袋9cm*13cm</t>
    <phoneticPr fontId="58" type="noConversion"/>
  </si>
  <si>
    <t>7絲平口OPP袋15cm*20cm</t>
    <phoneticPr fontId="58" type="noConversion"/>
  </si>
  <si>
    <t>7絲平口OPP袋15cm*23cm</t>
    <phoneticPr fontId="58" type="noConversion"/>
  </si>
  <si>
    <t>7絲平口OPP袋40cm*50cm</t>
    <phoneticPr fontId="58" type="noConversion"/>
  </si>
  <si>
    <t>7絲平口OPP袋20cm*30cm</t>
    <phoneticPr fontId="58" type="noConversion"/>
  </si>
  <si>
    <t>1688義烏博通</t>
    <phoneticPr fontId="58" type="noConversion"/>
  </si>
  <si>
    <t>7絲自粘OPP袋8cm*13cm+3cm</t>
    <phoneticPr fontId="58" type="noConversion"/>
  </si>
  <si>
    <t>7絲平口OPP袋6cm*20cm</t>
    <phoneticPr fontId="58" type="noConversion"/>
  </si>
  <si>
    <t>7絲平口OPP袋6cm*10cm</t>
    <phoneticPr fontId="58" type="noConversion"/>
  </si>
  <si>
    <t>7絲平口OPP袋6cm*15cm</t>
    <phoneticPr fontId="58" type="noConversion"/>
  </si>
  <si>
    <t>7絲平口OPP袋8cm*20cm</t>
    <phoneticPr fontId="58" type="noConversion"/>
  </si>
  <si>
    <r>
      <t>外箱</t>
    </r>
    <r>
      <rPr>
        <sz val="10"/>
        <rFont val="宋体"/>
        <charset val="134"/>
      </rPr>
      <t>50*39*40</t>
    </r>
    <phoneticPr fontId="2" type="noConversion"/>
  </si>
  <si>
    <t>1688廣州華聖源</t>
    <phoneticPr fontId="58" type="noConversion"/>
  </si>
  <si>
    <t>6絲平口OPP袋5cm*7cm</t>
    <phoneticPr fontId="58" type="noConversion"/>
  </si>
  <si>
    <t>4絲平口OPP袋5cm*12.7cm</t>
    <phoneticPr fontId="58" type="noConversion"/>
  </si>
  <si>
    <t>6絲平口OPP袋5.5cm*24cm</t>
    <phoneticPr fontId="58" type="noConversion"/>
  </si>
  <si>
    <t>6絲平口OPP袋18cm*26cm</t>
    <phoneticPr fontId="58" type="noConversion"/>
  </si>
  <si>
    <t>6絲平口OPP袋20cm*30cm</t>
    <phoneticPr fontId="58" type="noConversion"/>
  </si>
  <si>
    <t>6絲平口OPP袋23cm*33cm</t>
    <phoneticPr fontId="58" type="noConversion"/>
  </si>
  <si>
    <t>貓C型雙面魔術貼12mm*150mm-黑</t>
  </si>
  <si>
    <t>貓C型雙面魔術貼12mm*150mm-藍</t>
  </si>
  <si>
    <t>貓C型雙面魔術貼12mm*150mm-黃</t>
  </si>
  <si>
    <t>貓C型雙面魔術貼12mm*150mm-綠</t>
  </si>
  <si>
    <t>貓C型雙面魔術貼12mm*150mm-紅</t>
  </si>
  <si>
    <t>貓C型雙面魔術貼12mm*200mm-黑</t>
  </si>
  <si>
    <t>貓C型雙面魔術貼12mm*200mm-藍</t>
  </si>
  <si>
    <t>貓C型雙面魔術貼12mm*200mm-黃</t>
  </si>
  <si>
    <t>貓C型雙面魔術貼12mm*200mm-綠</t>
  </si>
  <si>
    <t>貓C型雙面魔術貼12mm*200mm-紅</t>
  </si>
  <si>
    <t>針N型雙面魔術貼11mm*110mm-黑</t>
  </si>
  <si>
    <t>針N型雙面魔術貼11mm*110mm-藍</t>
  </si>
  <si>
    <t>針N型雙面魔術貼11mm*110mm-黃</t>
  </si>
  <si>
    <t>針N型雙面魔術貼11mm*110mm-綠</t>
  </si>
  <si>
    <t>針N型雙面魔術貼11mm*110mm-紅</t>
  </si>
  <si>
    <t>1688深圳美信達</t>
    <phoneticPr fontId="58" type="noConversion"/>
  </si>
  <si>
    <t>8絲平口泡沫袋加厚6.5*8cm-2.5*3"</t>
    <phoneticPr fontId="58" type="noConversion"/>
  </si>
  <si>
    <t>8絲平口泡沫袋加厚8*9cm-3*3.5"</t>
    <phoneticPr fontId="58" type="noConversion"/>
  </si>
  <si>
    <t>8絲平口泡沫袋加厚8*13cm-3*5"</t>
    <phoneticPr fontId="58" type="noConversion"/>
  </si>
  <si>
    <t>us</t>
    <phoneticPr fontId="58" type="noConversion"/>
  </si>
  <si>
    <t>1688常平鴻運</t>
    <phoneticPr fontId="58" type="noConversion"/>
  </si>
  <si>
    <t>10絲白邊PE自封袋8cm*21cm</t>
  </si>
  <si>
    <t>10絲白邊PE自封袋15cm*20cm</t>
  </si>
  <si>
    <t>10絲白邊PE自封袋12cm*17cm</t>
  </si>
  <si>
    <t>10絲白邊PE自封袋13cm*18cm</t>
  </si>
  <si>
    <t>10絲白邊PE自封袋10cm*15cm</t>
  </si>
  <si>
    <t>10絲白邊PE自封袋8cm*12cm</t>
  </si>
  <si>
    <t>10絲白邊PE自封袋5cm*7cm</t>
  </si>
  <si>
    <t>10絲白邊PE自封袋4cm*6cm</t>
  </si>
  <si>
    <t>10絲白邊PE自封袋15cm*22cm</t>
    <phoneticPr fontId="58" type="noConversion"/>
  </si>
  <si>
    <t>12絲白邊PE自封袋15cm*22cm</t>
    <phoneticPr fontId="58" type="noConversion"/>
  </si>
  <si>
    <t>派人送貨到聯冠</t>
    <phoneticPr fontId="58" type="noConversion"/>
  </si>
  <si>
    <t>1688佛山雙富</t>
    <phoneticPr fontId="58" type="noConversion"/>
  </si>
  <si>
    <t>11絲白邊PE自封袋4cm*6cm</t>
    <phoneticPr fontId="58" type="noConversion"/>
  </si>
  <si>
    <t>10絲白邊PE自封袋13cm*19cm</t>
    <phoneticPr fontId="58" type="noConversion"/>
  </si>
  <si>
    <t>11絲白邊PE自封袋4cm*5cm</t>
    <phoneticPr fontId="58" type="noConversion"/>
  </si>
  <si>
    <t>1688義烏佳帥</t>
    <phoneticPr fontId="58" type="noConversion"/>
  </si>
  <si>
    <t>1688黃江龍盛</t>
    <phoneticPr fontId="58" type="noConversion"/>
  </si>
  <si>
    <t>8絲平口透明氣泡袋25cm*35cm</t>
    <phoneticPr fontId="58" type="noConversion"/>
  </si>
  <si>
    <t>8絲平口透明氣泡袋13cm*15cm</t>
    <phoneticPr fontId="58" type="noConversion"/>
  </si>
  <si>
    <t>8絲平口透明氣泡袋10cm*20cm</t>
    <phoneticPr fontId="58" type="noConversion"/>
  </si>
  <si>
    <t>8絲平口透明氣泡袋20cm*30cm</t>
    <phoneticPr fontId="58" type="noConversion"/>
  </si>
  <si>
    <t>8絲平口透明氣泡袋20cm*25cm</t>
    <phoneticPr fontId="58" type="noConversion"/>
  </si>
  <si>
    <t>8絲平口透明氣泡袋25cm*30cm</t>
    <phoneticPr fontId="58" type="noConversion"/>
  </si>
  <si>
    <t>8絲平口透明氣泡袋30cm*35cm</t>
    <phoneticPr fontId="58" type="noConversion"/>
  </si>
  <si>
    <t>8絲平口透明氣泡袋25cm*25cm</t>
    <phoneticPr fontId="58" type="noConversion"/>
  </si>
  <si>
    <t>8絲平口透明氣泡袋13cm*20cm</t>
    <phoneticPr fontId="58" type="noConversion"/>
  </si>
  <si>
    <t>8絲平口透明氣泡袋8cm*15cm</t>
    <phoneticPr fontId="58" type="noConversion"/>
  </si>
  <si>
    <t>8絲平口透明氣泡袋15cm*25cm</t>
    <phoneticPr fontId="58" type="noConversion"/>
  </si>
  <si>
    <t>8絲平口透明氣泡袋13cm*25cm</t>
    <phoneticPr fontId="58" type="noConversion"/>
  </si>
  <si>
    <t>8絲平口透明氣泡袋8cm*10cm</t>
    <phoneticPr fontId="58" type="noConversion"/>
  </si>
  <si>
    <t>8絲平口透明氣泡袋15cm*20cm</t>
    <phoneticPr fontId="58" type="noConversion"/>
  </si>
  <si>
    <t>8絲平口透明氣泡袋10cm*15cm</t>
    <phoneticPr fontId="58" type="noConversion"/>
  </si>
  <si>
    <t>8絲平口透明氣泡袋15cm*15cm</t>
    <phoneticPr fontId="58" type="noConversion"/>
  </si>
  <si>
    <t>微信: 230元 + 5元店紅包 + 20元D紅包</t>
    <phoneticPr fontId="58" type="noConversion"/>
  </si>
  <si>
    <t>16絲鋁箔自封袋9cm*13cm-黑</t>
    <phoneticPr fontId="58" type="noConversion"/>
  </si>
  <si>
    <t>16絲鋁箔自封袋9cm*13cm-白</t>
    <phoneticPr fontId="58" type="noConversion"/>
  </si>
  <si>
    <t>16絲鋁箔自封袋9cm*13cm-綠</t>
    <phoneticPr fontId="58" type="noConversion"/>
  </si>
  <si>
    <t>16絲鋁箔自封袋9cm*13cm-紫</t>
    <phoneticPr fontId="58" type="noConversion"/>
  </si>
  <si>
    <t>16絲鋁箔自封袋9cm*13cm-紅</t>
    <phoneticPr fontId="58" type="noConversion"/>
  </si>
  <si>
    <t>16絲鋁箔自封袋6cm*8cm-藍</t>
  </si>
  <si>
    <t>16絲鋁箔自封袋6cm*8cm-黑</t>
  </si>
  <si>
    <t>16絲鋁箔自封袋6cm*8cm-白</t>
  </si>
  <si>
    <t>16絲鋁箔自封袋6cm*8cm-綠</t>
  </si>
  <si>
    <t>16絲鋁箔自封袋6cm*8cm-紫</t>
  </si>
  <si>
    <t>16絲鋁箔自封袋6cm*8cm-紅</t>
  </si>
  <si>
    <t>1688杭州富杰</t>
    <phoneticPr fontId="58" type="noConversion"/>
  </si>
  <si>
    <t>11/16</t>
    <phoneticPr fontId="58" type="noConversion"/>
  </si>
  <si>
    <t>1688義烏蓮玉</t>
    <phoneticPr fontId="58" type="noConversion"/>
  </si>
  <si>
    <t>扁形彈力線0.6mm*10m-咖啡</t>
    <phoneticPr fontId="58" type="noConversion"/>
  </si>
  <si>
    <t>扁形彈力線0.6mm*10m-金黃</t>
    <phoneticPr fontId="58" type="noConversion"/>
  </si>
  <si>
    <t>扁形彈力線0.6mm*10m-大紅</t>
    <phoneticPr fontId="58" type="noConversion"/>
  </si>
  <si>
    <t>扁形彈力線0.6mm*10m-粉色</t>
    <phoneticPr fontId="58" type="noConversion"/>
  </si>
  <si>
    <t>扁形彈力線0.6mm*10m-檸檬黃</t>
    <phoneticPr fontId="58" type="noConversion"/>
  </si>
  <si>
    <t>扁形彈力線0.6mm*10m-淺紫</t>
    <phoneticPr fontId="58" type="noConversion"/>
  </si>
  <si>
    <t>扁形彈力線0.6mm*10m-玫紅</t>
    <phoneticPr fontId="58" type="noConversion"/>
  </si>
  <si>
    <t>扁形彈力線0.6mm*10m-黑</t>
    <phoneticPr fontId="58" type="noConversion"/>
  </si>
  <si>
    <t>扁形彈力線0.6mm*10m-深紫</t>
    <phoneticPr fontId="58" type="noConversion"/>
  </si>
  <si>
    <t>扁形彈力線0.6mm*10m-天藍</t>
    <phoneticPr fontId="58" type="noConversion"/>
  </si>
  <si>
    <t>扁形彈力線0.6mm*10m-白</t>
    <phoneticPr fontId="58" type="noConversion"/>
  </si>
  <si>
    <t>扁形彈力線0.6mm*10m-綠</t>
    <phoneticPr fontId="58" type="noConversion"/>
  </si>
  <si>
    <t>扁形彈力線0.6mm*10m-寶藍</t>
    <phoneticPr fontId="58" type="noConversion"/>
  </si>
  <si>
    <t>扁形彈力線0.6mm*10m-果綠</t>
    <phoneticPr fontId="58" type="noConversion"/>
  </si>
  <si>
    <t>透明水晶彈力線0.4mm*24m</t>
    <phoneticPr fontId="58" type="noConversion"/>
  </si>
  <si>
    <t>透明水晶彈力線0.8mm*8m</t>
    <phoneticPr fontId="58" type="noConversion"/>
  </si>
  <si>
    <t>透明水晶彈力線1mm*5m</t>
    <phoneticPr fontId="58" type="noConversion"/>
  </si>
  <si>
    <t>透明水晶彈力線0.6mm*15m</t>
    <phoneticPr fontId="58" type="noConversion"/>
  </si>
  <si>
    <t>扁形彈力線0.6mm*60m-咖啡</t>
  </si>
  <si>
    <t>扁形彈力線0.6mm*60m-大紅</t>
  </si>
  <si>
    <t>扁形彈力線0.6mm*60m-粉色</t>
  </si>
  <si>
    <t>扁形彈力線0.6mm*60m-淺紫</t>
  </si>
  <si>
    <t>扁形彈力線0.6mm*60m-玫紅</t>
  </si>
  <si>
    <t>扁形彈力線0.6mm*60m-黑</t>
  </si>
  <si>
    <t>扁形彈力線0.6mm*60m-天藍</t>
  </si>
  <si>
    <t>扁形彈力線0.6mm*60m-白</t>
  </si>
  <si>
    <t>扁形彈力線0.6mm*60m-綠</t>
  </si>
  <si>
    <t>扁形彈力線0.6mm*60m-寶藍</t>
  </si>
  <si>
    <t>扁形彈力線0.6mm*60m-淺綠</t>
    <phoneticPr fontId="58" type="noConversion"/>
  </si>
  <si>
    <t>扁形彈力線0.6mm*60m-螢光綠</t>
    <phoneticPr fontId="58" type="noConversion"/>
  </si>
  <si>
    <t>扁形彈力線0.6mm*60m-橘紅</t>
    <phoneticPr fontId="58" type="noConversion"/>
  </si>
  <si>
    <t>扁形彈力線0.6mm*60m-橘黃</t>
    <phoneticPr fontId="58" type="noConversion"/>
  </si>
  <si>
    <t>扁形彈力線0.6mm*60m-黃</t>
    <phoneticPr fontId="58" type="noConversion"/>
  </si>
  <si>
    <t>扁形彈力線0.6mm*60m-湖藍</t>
    <phoneticPr fontId="58" type="noConversion"/>
  </si>
  <si>
    <t>扁形彈力線0.6mm*60m-淺紫</t>
    <phoneticPr fontId="58" type="noConversion"/>
  </si>
  <si>
    <t>扁形彈力線0.6mm*60m-紅紫</t>
    <phoneticPr fontId="58" type="noConversion"/>
  </si>
  <si>
    <t>16絲鋁箔自封袋6尺寸樣品</t>
    <phoneticPr fontId="58" type="noConversion"/>
  </si>
  <si>
    <t>16絲鋁箔自立袋6尺寸樣品</t>
    <phoneticPr fontId="58" type="noConversion"/>
  </si>
  <si>
    <t>1688義烏國嵐</t>
    <phoneticPr fontId="58" type="noConversion"/>
  </si>
  <si>
    <t>反光織帶2.5cm:1cm-橘紅</t>
  </si>
  <si>
    <t>反光織帶2.5cm:1cm-黑</t>
  </si>
  <si>
    <t>反光織帶2.5cm:1cm-螢光綠</t>
  </si>
  <si>
    <t>反光織帶5cm:1.5cm-橘紅</t>
  </si>
  <si>
    <t>反光織帶5cm:1.5cm-黑</t>
  </si>
  <si>
    <t>反光織帶5cm:1.5cm-螢光綠</t>
  </si>
  <si>
    <t>1688義烏瑩寶</t>
    <phoneticPr fontId="58" type="noConversion"/>
  </si>
  <si>
    <t>圓7格收納盒-透明</t>
    <phoneticPr fontId="58" type="noConversion"/>
  </si>
  <si>
    <t>圓7格收納盒-黃</t>
    <phoneticPr fontId="58" type="noConversion"/>
  </si>
  <si>
    <t>圓7格收納盒-藍</t>
    <phoneticPr fontId="58" type="noConversion"/>
  </si>
  <si>
    <t>圓7格收納盒-綠</t>
    <phoneticPr fontId="58" type="noConversion"/>
  </si>
  <si>
    <t>圓7格收納盒-粉紅</t>
    <phoneticPr fontId="58" type="noConversion"/>
  </si>
  <si>
    <t>立方雙扣收納盒-黃</t>
  </si>
  <si>
    <t>立方雙扣收納盒-藍</t>
  </si>
  <si>
    <t>立方雙扣收納盒-綠</t>
  </si>
  <si>
    <t>立方雙扣收納盒-粉紅</t>
  </si>
  <si>
    <t>10格可拆收納盒-透明</t>
    <phoneticPr fontId="58" type="noConversion"/>
  </si>
  <si>
    <t>粉餅收納盒-透明</t>
    <phoneticPr fontId="58" type="noConversion"/>
  </si>
  <si>
    <t>10格可拆收納盒-粉紅</t>
    <phoneticPr fontId="58" type="noConversion"/>
  </si>
  <si>
    <t>10格可拆收納盒-橙</t>
    <phoneticPr fontId="58" type="noConversion"/>
  </si>
  <si>
    <t>10格可拆收納盒-藍</t>
    <phoneticPr fontId="58" type="noConversion"/>
  </si>
  <si>
    <t>10格10蓋收納盒-透明</t>
    <phoneticPr fontId="58" type="noConversion"/>
  </si>
  <si>
    <t>10格10蓋收納盒-粉紅</t>
    <phoneticPr fontId="58" type="noConversion"/>
  </si>
  <si>
    <t>15格固定收納盒-透明</t>
    <phoneticPr fontId="58" type="noConversion"/>
  </si>
  <si>
    <t>1688義烏悅朗</t>
    <phoneticPr fontId="58" type="noConversion"/>
  </si>
  <si>
    <t>1688東莞永誠</t>
    <phoneticPr fontId="58" type="noConversion"/>
  </si>
  <si>
    <t>地毯膠帶50mm*10m-綠</t>
    <phoneticPr fontId="58" type="noConversion"/>
  </si>
  <si>
    <t>乳膠拉力帶1500mm*150mm*0.35mm-綠</t>
  </si>
  <si>
    <t>乳膠拉力帶1500mm*150mm*0.35mm-紅</t>
  </si>
  <si>
    <t>乳膠拉力帶1500mm*150mm*0.35mm-藍</t>
  </si>
  <si>
    <t>乳膠拉力帶1500mm*150mm*0.35mm-紫</t>
  </si>
  <si>
    <t>乳膠拉力帶1500mm*150mm*0.35mm-黃</t>
  </si>
  <si>
    <t>乳膠拉力帶1500mm*150mm*0.35mm-粉紅</t>
  </si>
  <si>
    <t>乳膠拉力圈600mm*50mm*0.35mm-綠</t>
  </si>
  <si>
    <t>乳膠拉力圈600mm*50mm*0.5mm-藍</t>
  </si>
  <si>
    <t>乳膠拉力圈600mm*50mm*0.7mm-黃</t>
  </si>
  <si>
    <t>乳膠拉力圈600mm*50mm*0.9mm-紅</t>
    <phoneticPr fontId="58" type="noConversion"/>
  </si>
  <si>
    <t>乳膠拉力圈600mm*50mm*1mm-黑</t>
    <phoneticPr fontId="58" type="noConversion"/>
  </si>
  <si>
    <t>地毯膠帶50mm*10m-黑</t>
    <phoneticPr fontId="58" type="noConversion"/>
  </si>
  <si>
    <t>地毯膠帶50mm*10m-白</t>
    <phoneticPr fontId="58" type="noConversion"/>
  </si>
  <si>
    <t>地毯膠帶50mm*10m-銀</t>
    <phoneticPr fontId="58" type="noConversion"/>
  </si>
  <si>
    <t>地毯膠帶50mm*10m-紅</t>
    <phoneticPr fontId="58" type="noConversion"/>
  </si>
  <si>
    <t>地毯膠帶50mm*10m-黃</t>
    <phoneticPr fontId="58" type="noConversion"/>
  </si>
  <si>
    <t>地毯膠帶50mm*10m-藍</t>
    <phoneticPr fontId="58" type="noConversion"/>
  </si>
  <si>
    <t>地毯膠帶50mm*10m-紫</t>
    <phoneticPr fontId="58" type="noConversion"/>
  </si>
  <si>
    <t>地毯膠帶50mm*10m-棕</t>
    <phoneticPr fontId="58" type="noConversion"/>
  </si>
  <si>
    <t>地毯膠帶50mm*10m-粉紅</t>
    <phoneticPr fontId="58" type="noConversion"/>
  </si>
  <si>
    <t>1688深圳恆鑫</t>
    <phoneticPr fontId="58" type="noConversion"/>
  </si>
  <si>
    <t>地毯固定貼片130mm*25mm*2mm-黑</t>
    <phoneticPr fontId="58" type="noConversion"/>
  </si>
  <si>
    <t>地毯固定貼片130mm*25mm*2mm-白</t>
    <phoneticPr fontId="58" type="noConversion"/>
  </si>
  <si>
    <t>地毯固定貼片180mm*30mm*2mm-黑</t>
  </si>
  <si>
    <t>地毯固定貼片180mm*30mm*2mm-白</t>
  </si>
  <si>
    <t>1688義烏遠新</t>
    <phoneticPr fontId="58" type="noConversion"/>
  </si>
  <si>
    <t>磨砂防滑膠帶25mm*15m-透明</t>
    <phoneticPr fontId="58" type="noConversion"/>
  </si>
  <si>
    <t>磨砂防滑膠帶25mm*15m-黑</t>
    <phoneticPr fontId="58" type="noConversion"/>
  </si>
  <si>
    <t>磨砂防滑膠帶25mm*15m-灰</t>
    <phoneticPr fontId="58" type="noConversion"/>
  </si>
  <si>
    <t>磨砂防滑膠帶25mm*15m-黑黃</t>
    <phoneticPr fontId="58" type="noConversion"/>
  </si>
  <si>
    <t>1688義烏走馬</t>
    <phoneticPr fontId="58" type="noConversion"/>
  </si>
  <si>
    <t>微信上追加定貨</t>
    <phoneticPr fontId="58" type="noConversion"/>
  </si>
  <si>
    <t>袋類</t>
    <phoneticPr fontId="2" type="noConversion"/>
  </si>
  <si>
    <t>透明氣泡袋-定制</t>
    <phoneticPr fontId="2" type="noConversion"/>
  </si>
  <si>
    <t>封口透明氣泡袋-定制</t>
    <phoneticPr fontId="2" type="noConversion"/>
  </si>
  <si>
    <t>透明自封袋-定制</t>
    <phoneticPr fontId="2" type="noConversion"/>
  </si>
  <si>
    <t>透明自封袋-圖案</t>
    <phoneticPr fontId="2" type="noConversion"/>
  </si>
  <si>
    <t>帶類</t>
    <phoneticPr fontId="2" type="noConversion"/>
  </si>
  <si>
    <t>魔術貼-背膠條</t>
    <phoneticPr fontId="2" type="noConversion"/>
  </si>
  <si>
    <t>魔術貼-圓點</t>
    <phoneticPr fontId="2" type="noConversion"/>
  </si>
  <si>
    <t>魔術貼-縫布無膠</t>
    <phoneticPr fontId="2" type="noConversion"/>
  </si>
  <si>
    <t>魔術貼-雙面(子母)</t>
    <phoneticPr fontId="2" type="noConversion"/>
  </si>
  <si>
    <t>魔術貼-雙面綁帶</t>
    <phoneticPr fontId="2" type="noConversion"/>
  </si>
  <si>
    <t>封箱膠帶-膠台</t>
    <phoneticPr fontId="2" type="noConversion"/>
  </si>
  <si>
    <t>封箱膠帶</t>
    <phoneticPr fontId="2" type="noConversion"/>
  </si>
  <si>
    <t>電氣膠帶</t>
    <phoneticPr fontId="2" type="noConversion"/>
  </si>
  <si>
    <t>絨布膠帶</t>
    <phoneticPr fontId="2" type="noConversion"/>
  </si>
  <si>
    <t>反光縫布織帶</t>
    <phoneticPr fontId="2" type="noConversion"/>
  </si>
  <si>
    <t>雙面膠帶-車用強力泡棉</t>
    <phoneticPr fontId="2" type="noConversion"/>
  </si>
  <si>
    <t>雙面膠帶-透明壓克力</t>
    <phoneticPr fontId="2" type="noConversion"/>
  </si>
  <si>
    <t>雙面膠帶-納米魔術</t>
    <phoneticPr fontId="2" type="noConversion"/>
  </si>
  <si>
    <t>雙面膠帶-自熔止漏水</t>
    <phoneticPr fontId="2" type="noConversion"/>
  </si>
  <si>
    <t>端子</t>
    <phoneticPr fontId="2" type="noConversion"/>
  </si>
  <si>
    <t>汽車扎帶</t>
    <phoneticPr fontId="2" type="noConversion"/>
  </si>
  <si>
    <t>假球監控</t>
    <phoneticPr fontId="2" type="noConversion"/>
  </si>
  <si>
    <t>地毯膠帶</t>
    <phoneticPr fontId="2" type="noConversion"/>
  </si>
  <si>
    <t>防滑膠帶</t>
    <phoneticPr fontId="2" type="noConversion"/>
  </si>
  <si>
    <t>地毯膠帶-固定貼片</t>
    <phoneticPr fontId="2" type="noConversion"/>
  </si>
  <si>
    <t>運動-肌肉貼</t>
    <phoneticPr fontId="2" type="noConversion"/>
  </si>
  <si>
    <t>運動-彈性繃帶</t>
    <phoneticPr fontId="2" type="noConversion"/>
  </si>
  <si>
    <t>運動-拉力圈</t>
    <phoneticPr fontId="2" type="noConversion"/>
  </si>
  <si>
    <t>運動-拉力帶</t>
    <phoneticPr fontId="2" type="noConversion"/>
  </si>
  <si>
    <t>彈力線</t>
    <phoneticPr fontId="2" type="noConversion"/>
  </si>
  <si>
    <t>轉接頭</t>
    <phoneticPr fontId="2" type="noConversion"/>
  </si>
  <si>
    <t>USB</t>
    <phoneticPr fontId="2" type="noConversion"/>
  </si>
  <si>
    <t>設備</t>
    <phoneticPr fontId="2" type="noConversion"/>
  </si>
  <si>
    <r>
      <t>USB</t>
    </r>
    <r>
      <rPr>
        <sz val="10"/>
        <rFont val="宋体"/>
        <charset val="134"/>
      </rPr>
      <t>-</t>
    </r>
    <r>
      <rPr>
        <sz val="10"/>
        <rFont val="宋体"/>
        <charset val="134"/>
      </rPr>
      <t>滑鼠</t>
    </r>
    <phoneticPr fontId="2" type="noConversion"/>
  </si>
  <si>
    <t>容器</t>
    <phoneticPr fontId="2" type="noConversion"/>
  </si>
  <si>
    <t>網路-水晶頭</t>
    <phoneticPr fontId="2" type="noConversion"/>
  </si>
  <si>
    <t>網路-水晶頭套</t>
    <phoneticPr fontId="2" type="noConversion"/>
  </si>
  <si>
    <t>網路-接頭</t>
    <phoneticPr fontId="2" type="noConversion"/>
  </si>
  <si>
    <t>電話-接頭</t>
    <phoneticPr fontId="2" type="noConversion"/>
  </si>
  <si>
    <t>網路-PoE分離</t>
    <phoneticPr fontId="2" type="noConversion"/>
  </si>
  <si>
    <t>管繩線類</t>
    <phoneticPr fontId="2" type="noConversion"/>
  </si>
  <si>
    <t>端子接頭類</t>
    <phoneticPr fontId="2" type="noConversion"/>
  </si>
  <si>
    <t>轉接頭類</t>
    <phoneticPr fontId="2" type="noConversion"/>
  </si>
  <si>
    <r>
      <t>TV</t>
    </r>
    <r>
      <rPr>
        <sz val="10"/>
        <rFont val="宋体"/>
        <charset val="134"/>
      </rPr>
      <t>-</t>
    </r>
    <r>
      <rPr>
        <sz val="10"/>
        <rFont val="宋体"/>
        <charset val="134"/>
      </rPr>
      <t>HDMI接頭</t>
    </r>
    <phoneticPr fontId="2" type="noConversion"/>
  </si>
  <si>
    <t>TV-RCA分配</t>
    <phoneticPr fontId="2" type="noConversion"/>
  </si>
  <si>
    <t>TV-HDMI分配</t>
    <phoneticPr fontId="2" type="noConversion"/>
  </si>
  <si>
    <t>TV-BNC接頭</t>
    <phoneticPr fontId="2" type="noConversion"/>
  </si>
  <si>
    <r>
      <t>D</t>
    </r>
    <r>
      <rPr>
        <sz val="10"/>
        <rFont val="宋体"/>
        <charset val="134"/>
      </rPr>
      <t>C-</t>
    </r>
    <r>
      <rPr>
        <sz val="10"/>
        <rFont val="宋体"/>
        <charset val="134"/>
      </rPr>
      <t>9V電池扣</t>
    </r>
    <phoneticPr fontId="2" type="noConversion"/>
  </si>
  <si>
    <r>
      <t>DC</t>
    </r>
    <r>
      <rPr>
        <sz val="10"/>
        <rFont val="宋体"/>
        <charset val="134"/>
      </rPr>
      <t>-</t>
    </r>
    <r>
      <rPr>
        <sz val="10"/>
        <rFont val="宋体"/>
        <charset val="134"/>
      </rPr>
      <t>電源6V2A</t>
    </r>
    <phoneticPr fontId="2" type="noConversion"/>
  </si>
  <si>
    <r>
      <t>DC</t>
    </r>
    <r>
      <rPr>
        <sz val="10"/>
        <rFont val="宋体"/>
        <charset val="134"/>
      </rPr>
      <t>-</t>
    </r>
    <r>
      <rPr>
        <sz val="10"/>
        <rFont val="宋体"/>
        <charset val="134"/>
      </rPr>
      <t>對接頭</t>
    </r>
    <phoneticPr fontId="2" type="noConversion"/>
  </si>
  <si>
    <r>
      <t>DC</t>
    </r>
    <r>
      <rPr>
        <sz val="10"/>
        <rFont val="宋体"/>
        <charset val="134"/>
      </rPr>
      <t>-</t>
    </r>
    <r>
      <rPr>
        <sz val="10"/>
        <rFont val="宋体"/>
        <charset val="134"/>
      </rPr>
      <t>轉接頭</t>
    </r>
    <phoneticPr fontId="2" type="noConversion"/>
  </si>
  <si>
    <r>
      <t>DC</t>
    </r>
    <r>
      <rPr>
        <sz val="10"/>
        <rFont val="宋体"/>
        <charset val="134"/>
      </rPr>
      <t>-</t>
    </r>
    <r>
      <rPr>
        <sz val="10"/>
        <rFont val="宋体"/>
        <charset val="134"/>
      </rPr>
      <t>1拖N接頭</t>
    </r>
    <phoneticPr fontId="2" type="noConversion"/>
  </si>
  <si>
    <r>
      <t>D</t>
    </r>
    <r>
      <rPr>
        <sz val="10"/>
        <rFont val="宋体"/>
        <charset val="134"/>
      </rPr>
      <t>C-</t>
    </r>
    <r>
      <rPr>
        <sz val="10"/>
        <rFont val="宋体"/>
        <charset val="134"/>
      </rPr>
      <t>LED控制線</t>
    </r>
    <phoneticPr fontId="2" type="noConversion"/>
  </si>
  <si>
    <r>
      <t>A</t>
    </r>
    <r>
      <rPr>
        <sz val="10"/>
        <rFont val="宋体"/>
        <charset val="134"/>
      </rPr>
      <t>C-</t>
    </r>
    <r>
      <rPr>
        <sz val="10"/>
        <rFont val="宋体"/>
        <charset val="134"/>
      </rPr>
      <t>旅行插座</t>
    </r>
    <phoneticPr fontId="2" type="noConversion"/>
  </si>
  <si>
    <t>玻璃纖維帶</t>
    <phoneticPr fontId="2" type="noConversion"/>
  </si>
  <si>
    <t>玻璃纖維膠帶</t>
    <phoneticPr fontId="2" type="noConversion"/>
  </si>
  <si>
    <t>TPFE膠帶</t>
    <phoneticPr fontId="2" type="noConversion"/>
  </si>
  <si>
    <t>織帶</t>
    <phoneticPr fontId="2" type="noConversion"/>
  </si>
  <si>
    <t>瓶罐</t>
    <phoneticPr fontId="2" type="noConversion"/>
  </si>
  <si>
    <t>美紋紙手撕膠帶6mm*12m-黑</t>
    <phoneticPr fontId="58" type="noConversion"/>
  </si>
  <si>
    <t>美紋紙手撕膠帶6mm*12m-白</t>
    <phoneticPr fontId="58" type="noConversion"/>
  </si>
  <si>
    <t>美紋紙手撕膠帶6mm*12m-红</t>
    <phoneticPr fontId="58" type="noConversion"/>
  </si>
  <si>
    <t>美紋紙手撕膠帶6mm*12m-粉紅</t>
    <phoneticPr fontId="58" type="noConversion"/>
  </si>
  <si>
    <t>美紋紙手撕膠帶6mm*12m-绿</t>
    <phoneticPr fontId="58" type="noConversion"/>
  </si>
  <si>
    <t>美紋紙手撕膠帶6mm*12m-蓝</t>
    <phoneticPr fontId="58" type="noConversion"/>
  </si>
  <si>
    <t>美紋紙手撕膠帶6mm*12m-浅蓝</t>
    <phoneticPr fontId="58" type="noConversion"/>
  </si>
  <si>
    <t>美紋紙手撕膠帶6mm*12m-深绿</t>
    <phoneticPr fontId="58" type="noConversion"/>
  </si>
  <si>
    <t>美紋紙手撕膠帶6mm*12m-紫</t>
    <phoneticPr fontId="58" type="noConversion"/>
  </si>
  <si>
    <t>美紋紙手撕膠帶10mm*12m-黑</t>
  </si>
  <si>
    <t>美紋紙手撕膠帶10mm*12m-白</t>
  </si>
  <si>
    <t>美紋紙手撕膠帶10mm*12m-红</t>
  </si>
  <si>
    <t>美紋紙手撕膠帶10mm*12m-粉紅</t>
  </si>
  <si>
    <t>美紋紙手撕膠帶10mm*12m-绿</t>
  </si>
  <si>
    <t>美紋紙手撕膠帶10mm*12m-蓝</t>
  </si>
  <si>
    <t>美紋紙手撕膠帶10mm*12m-浅蓝</t>
  </si>
  <si>
    <t>美紋紙手撕膠帶10mm*12m-深绿</t>
  </si>
  <si>
    <t>美紋紙手撕膠帶10mm*12m-紫</t>
  </si>
  <si>
    <t>美紋紙手撕膠帶12mm*12m-黑</t>
  </si>
  <si>
    <t>美紋紙手撕膠帶12mm*12m-白</t>
  </si>
  <si>
    <t>美紋紙手撕膠帶12mm*12m-红</t>
  </si>
  <si>
    <t>美紋紙手撕膠帶12mm*12m-粉紅</t>
  </si>
  <si>
    <t>美紋紙手撕膠帶12mm*12m-绿</t>
  </si>
  <si>
    <t>美紋紙手撕膠帶12mm*12m-蓝</t>
  </si>
  <si>
    <t>美紋紙手撕膠帶12mm*12m-浅蓝</t>
  </si>
  <si>
    <t>美紋紙手撕膠帶12mm*12m-深绿</t>
  </si>
  <si>
    <t>美紋紙手撕膠帶12mm*12m-紫</t>
  </si>
  <si>
    <t>美紋紙手撕膠帶20mm*12m-黑</t>
  </si>
  <si>
    <t>美紋紙手撕膠帶20mm*12m-白</t>
  </si>
  <si>
    <t>美紋紙手撕膠帶20mm*12m-红</t>
  </si>
  <si>
    <t>美紋紙手撕膠帶20mm*12m-粉紅</t>
  </si>
  <si>
    <t>美紋紙手撕膠帶20mm*12m-绿</t>
  </si>
  <si>
    <t>美紋紙手撕膠帶20mm*12m-蓝</t>
  </si>
  <si>
    <t>美紋紙手撕膠帶20mm*12m-浅蓝</t>
  </si>
  <si>
    <t>美紋紙手撕膠帶20mm*12m-深绿</t>
  </si>
  <si>
    <t>美紋紙手撕膠帶20mm*12m-紫</t>
  </si>
  <si>
    <t>美紋紙手撕膠帶24mm*12m-黑</t>
  </si>
  <si>
    <t>美紋紙手撕膠帶24mm*12m-白</t>
  </si>
  <si>
    <t>美紋紙手撕膠帶24mm*12m-红</t>
  </si>
  <si>
    <t>美紋紙手撕膠帶24mm*12m-粉紅</t>
  </si>
  <si>
    <t>美紋紙手撕膠帶24mm*12m-绿</t>
  </si>
  <si>
    <t>美紋紙手撕膠帶24mm*12m-蓝</t>
  </si>
  <si>
    <t>美紋紙手撕膠帶24mm*12m-浅蓝</t>
  </si>
  <si>
    <t>美紋紙手撕膠帶24mm*12m-深绿</t>
  </si>
  <si>
    <t>美紋紙手撕膠帶24mm*12m-紫</t>
  </si>
  <si>
    <t>美紋紙手撕膠帶50mm*12m-黑</t>
  </si>
  <si>
    <t>美紋紙手撕膠帶50mm*12m-白</t>
  </si>
  <si>
    <t>美紋紙手撕膠帶50mm*12m-红</t>
  </si>
  <si>
    <t>美紋紙手撕膠帶50mm*12m-粉紅</t>
  </si>
  <si>
    <t>美紋紙手撕膠帶50mm*12m-绿</t>
  </si>
  <si>
    <t>美紋紙手撕膠帶50mm*12m-蓝</t>
  </si>
  <si>
    <t>美紋紙手撕膠帶50mm*12m-浅蓝</t>
  </si>
  <si>
    <t>美紋紙手撕膠帶50mm*12m-深绿</t>
  </si>
  <si>
    <t>美紋紙手撕膠帶50mm*12m-紫</t>
  </si>
  <si>
    <t>TV-BNC傳輸器</t>
    <phoneticPr fontId="2" type="noConversion"/>
  </si>
  <si>
    <r>
      <t>b</t>
    </r>
    <r>
      <rPr>
        <sz val="10"/>
        <rFont val="宋体"/>
        <charset val="134"/>
      </rPr>
      <t>alun</t>
    </r>
    <phoneticPr fontId="2" type="noConversion"/>
  </si>
  <si>
    <t>四面閥</t>
    <phoneticPr fontId="2" type="noConversion"/>
  </si>
  <si>
    <t>快遞</t>
    <phoneticPr fontId="2" type="noConversion"/>
  </si>
  <si>
    <t>支付寶: 98 + 92元</t>
    <phoneticPr fontId="2" type="noConversion"/>
  </si>
  <si>
    <t>溢品泉1688</t>
    <phoneticPr fontId="2" type="noConversion"/>
  </si>
  <si>
    <t>膠帶類</t>
    <phoneticPr fontId="2" type="noConversion"/>
  </si>
  <si>
    <t>織帶類</t>
    <phoneticPr fontId="2" type="noConversion"/>
  </si>
  <si>
    <t>個人帶類</t>
    <phoneticPr fontId="2" type="noConversion"/>
  </si>
  <si>
    <t>工商帶類</t>
    <phoneticPr fontId="2" type="noConversion"/>
  </si>
  <si>
    <t>扎帶-車輪防滑</t>
    <phoneticPr fontId="2" type="noConversion"/>
  </si>
  <si>
    <t>車用接頭類</t>
    <phoneticPr fontId="2" type="noConversion"/>
  </si>
  <si>
    <t>水晶頭</t>
    <phoneticPr fontId="2" type="noConversion"/>
  </si>
  <si>
    <t>水晶頭套</t>
    <phoneticPr fontId="2" type="noConversion"/>
  </si>
  <si>
    <t>RCA</t>
    <phoneticPr fontId="2" type="noConversion"/>
  </si>
  <si>
    <t>BNC</t>
    <phoneticPr fontId="2" type="noConversion"/>
  </si>
  <si>
    <t>HDMI</t>
    <phoneticPr fontId="2" type="noConversion"/>
  </si>
  <si>
    <t>混合轉接</t>
    <phoneticPr fontId="2" type="noConversion"/>
  </si>
  <si>
    <t>電腦接頭類</t>
    <phoneticPr fontId="2" type="noConversion"/>
  </si>
  <si>
    <r>
      <t>D</t>
    </r>
    <r>
      <rPr>
        <sz val="10"/>
        <rFont val="宋体"/>
        <charset val="134"/>
      </rPr>
      <t>C</t>
    </r>
    <phoneticPr fontId="2" type="noConversion"/>
  </si>
  <si>
    <t>USB-周邊</t>
    <phoneticPr fontId="2" type="noConversion"/>
  </si>
  <si>
    <t>個人用品類</t>
    <phoneticPr fontId="2" type="noConversion"/>
  </si>
  <si>
    <t>家庭用品類</t>
    <phoneticPr fontId="2" type="noConversion"/>
  </si>
  <si>
    <t>收納容器</t>
    <phoneticPr fontId="2" type="noConversion"/>
  </si>
  <si>
    <t>箱盒</t>
    <phoneticPr fontId="2" type="noConversion"/>
  </si>
  <si>
    <t>拉伸膜</t>
    <phoneticPr fontId="2" type="noConversion"/>
  </si>
  <si>
    <t>捲帶</t>
    <phoneticPr fontId="2" type="noConversion"/>
  </si>
  <si>
    <t>熱縮端子</t>
    <phoneticPr fontId="2" type="noConversion"/>
  </si>
  <si>
    <t>PVC端子</t>
    <phoneticPr fontId="2" type="noConversion"/>
  </si>
  <si>
    <t>金屬端子</t>
    <phoneticPr fontId="2" type="noConversion"/>
  </si>
  <si>
    <t>壓線帽</t>
    <phoneticPr fontId="2" type="noConversion"/>
  </si>
  <si>
    <t>保險絲管</t>
    <phoneticPr fontId="2" type="noConversion"/>
  </si>
  <si>
    <t>三層盔甲</t>
    <phoneticPr fontId="58" type="noConversion"/>
  </si>
  <si>
    <t>左右突865</t>
    <phoneticPr fontId="58" type="noConversion"/>
  </si>
  <si>
    <t>皮紋827</t>
    <phoneticPr fontId="58" type="noConversion"/>
  </si>
  <si>
    <t>綠光823</t>
    <phoneticPr fontId="58" type="noConversion"/>
  </si>
  <si>
    <t>SONY環透光</t>
    <phoneticPr fontId="58" type="noConversion"/>
  </si>
  <si>
    <t>RO接頭類</t>
    <phoneticPr fontId="2" type="noConversion"/>
  </si>
  <si>
    <t>快接頭</t>
    <phoneticPr fontId="2" type="noConversion"/>
  </si>
  <si>
    <t>其他配件</t>
    <phoneticPr fontId="2" type="noConversion"/>
  </si>
  <si>
    <t>1688深圳銘悅</t>
    <phoneticPr fontId="58" type="noConversion"/>
  </si>
  <si>
    <t>淘寶綠源</t>
    <phoneticPr fontId="58" type="noConversion"/>
  </si>
  <si>
    <t>K4046净水器 纯水机接头 3分外牙丝转2分快接水泵 L弯头 快接配件</t>
  </si>
  <si>
    <t>K4042净水器 纯水机接头1分细外牙丝弯头 2分快接弯头 RO膜壳弯头</t>
  </si>
  <si>
    <t>K4011 纯水机配件 快速接头2分L型插铨管径1/4 快插弯头 2分快插</t>
  </si>
  <si>
    <t>K4066净水器纯水机接头3分外牙丝三分弯头快速接头 快接弯头 配件</t>
  </si>
  <si>
    <t>K4064净水器 纯水机接头2分外牙丝转3分弯头快速接头 L快接弯头</t>
  </si>
  <si>
    <t>K4044N内螺纹快速接头L型弯头2分内牙转2分管快接弯头 净水机配件</t>
  </si>
  <si>
    <t>K40144隔板接头L型2分快接隔板接头 隔板弯头 更好疏导水泵方向</t>
  </si>
  <si>
    <t>加长版K4011 快速接头2分L型插铨管径 韩式滤芯快速方便连接接头</t>
  </si>
  <si>
    <t>K4033 净水器配件快速接头3分L型插铨管径3/8快插弯头3分快接硬插</t>
  </si>
  <si>
    <t>K4042N净水器纯水机接头 L型内螺纹接头 1分内牙 2分管 快速接头</t>
  </si>
  <si>
    <t>K4046N接头3分内牙转2分快接 L型弯头 3分内螺纹转2分快接</t>
  </si>
  <si>
    <t>k4013世通三分硬插管转二分快接弯头 L型接头 转换接头</t>
  </si>
  <si>
    <t>K4064N接头2分内牙转3分快接 弯头 2分内螺纹接3分管接头</t>
  </si>
  <si>
    <t>K4062快速接头净水器配件1分细外牙丝弯头RO膜壳 3分管膜壳接头</t>
  </si>
  <si>
    <t>K4031世通接头 3分快接转2分硬插管 弯头 世通弯头 3变2转换接头</t>
  </si>
  <si>
    <t>世通接头 三分内螺纹转三分快接 弯头 L型转换接头快接弯头</t>
  </si>
  <si>
    <t>K6060净水器 纯水机接头3分快接弯头3分弯头三分弯头快接世通接头</t>
  </si>
  <si>
    <t>K1544净水器纯水机配件2分快接直通二分 快接直通 2分直接头快接</t>
  </si>
  <si>
    <t>K1564净水器纯水机配件3分转2分快接三分转二分直通 快接净水配件</t>
  </si>
  <si>
    <t>K014净水器纯水机接头 2分隔板快接头 二分隔板接头 中间3分外丝</t>
  </si>
  <si>
    <t>K1044净水器纯水机接头 2分外牙丝螺纹转二分快接 快速配件接头</t>
  </si>
  <si>
    <t>K1044XN龙头快接头 2分细内牙转2分快接 纯水机2分鹅颈龙头接头</t>
  </si>
  <si>
    <t>K1046N净水器纯水机接头3分内牙丝转2分快接 三分转二分直接接头</t>
  </si>
  <si>
    <t>K016 净水机配件纯水机接头 3分隔板快速接头 三分隔板快速接头</t>
  </si>
  <si>
    <t>K1046三分外牙丝转二分快接 净水器纯水机接头配件耗材食品级接头</t>
  </si>
  <si>
    <t>K1044N世通2分管转2分内牙直接内螺纹快速接头 纯水机接头净水器</t>
  </si>
  <si>
    <t>K1066净水器 纯水机配件 3分外牙丝转三分快接直通 世通品牌接头</t>
  </si>
  <si>
    <t>K1566净水器纯水机接头 3分快接三分直通快速接头 快接头净水配件</t>
  </si>
  <si>
    <t>K1042净水器配件纯水机二分接头 1分细外牙丝转2分快接 膜壳接头</t>
  </si>
  <si>
    <t>K1064净水器纯水机接头 2分外牙丝螺纹转3分快速接头 净水配件</t>
  </si>
  <si>
    <t>K1066N三分内螺纹转三分快接水管 净水机接头 三分内牙接头</t>
  </si>
  <si>
    <t>K1064N世通二分内牙转3分快接净水器一字型接头 2分内牙转3分快接</t>
  </si>
  <si>
    <t>K1013三分硬插管转2分快接 净水配件 食品级材料 一字转换接头</t>
  </si>
  <si>
    <t>k1042N 1分内螺纹转2分快接水管 净水机接头1分内牙世通接头</t>
  </si>
  <si>
    <t>K1011二分硬插管转2分快接 净水接头 正品世通接头 净水机接头</t>
  </si>
  <si>
    <t>K01646粗体4分外牙2分快接转3分快隔板接头 2转3隔板快接接头</t>
  </si>
  <si>
    <t>K1031二分硬插管转3分快接 食品级品牌净水器接头 正品世通</t>
  </si>
  <si>
    <t>K706净水器纯水机配件3分3通快接 三分三通 快接三通 耗材配件</t>
  </si>
  <si>
    <t>K7466快接 两边3分转中间2分 三通接头 净水器配件2分转3分三通</t>
  </si>
  <si>
    <t>K6044净水器 纯水机接头 2分3通二分上头带牙丝三通快速接头配件</t>
  </si>
  <si>
    <t>K1444快速接头侧T型插铨2分快接侧边2分硬插净水器纯水机配件管件</t>
  </si>
  <si>
    <t>K7544净水器纯水机接头 2分三通 左边带二分牙丝 小T33三通接头</t>
  </si>
  <si>
    <t>KY666 三分快接三通 3分Y型快接3通 三分三通 净水器接头</t>
  </si>
  <si>
    <t>K7644两边2分转中间3分快接接头 快速接头净水器配件三通快接</t>
  </si>
  <si>
    <t>K2444 2分三通快插接头 纯水机接头 净水机 配件 净水器三通接头</t>
  </si>
  <si>
    <t>K7664 接头净水器配件2分转3分三通快接2边3分转2分 中间3分快接</t>
  </si>
  <si>
    <t>K60664三通接头 两分外丝 两边三分管接头 净水机配件3通接头配件</t>
  </si>
  <si>
    <t>K6066净水器纯水机接头3分上头带螺纹牙丝三通 快速接头配件耗材</t>
  </si>
  <si>
    <t>K75664上面3分快接 一面2分外螺纹一面接3分管净水器三通接头配件</t>
  </si>
  <si>
    <t>K60446两面快接2分管 中间3分外螺纹 净水器接头配件 三通接头</t>
  </si>
  <si>
    <t>K1664世通一侧接3分管一侧2分硬插管 中间接3分管 T型插铨接头</t>
  </si>
  <si>
    <t>K60646两边2分管转3分管 中间3分外牙 T型三通接头 三通转换接头</t>
  </si>
  <si>
    <t>K60644中间2分外牙 两面2分管和3分管 三通快接 世通接头食品级</t>
  </si>
  <si>
    <t>K7566净水器纯水机配件3分三通 左边带牙丝三通 配件耗材接头快接</t>
  </si>
  <si>
    <t>K1666世通一面接3分管一面3分硬插管插栓中间接3分管 三通T型接头</t>
  </si>
  <si>
    <t>不锈钢滤网沉在水底 大气3分管快接拦截滤网 自吸泵进水过滤吸头</t>
  </si>
  <si>
    <t>世通3分转2分球阀开关 3分管转2分管球阀 开关</t>
  </si>
  <si>
    <t>正品世通 二分外螺纹转三分快接水管 净水器开关球阀食品级材质</t>
  </si>
  <si>
    <t>2分外牙转2分快接开关 转接开关 净水机配件世通无卡快速接头</t>
  </si>
  <si>
    <t>世通接头 三分外螺纹转三分管开关球阀 净水器3分开关球阀</t>
  </si>
  <si>
    <t>世通6分内牙转3分快接球阀 六分转三分开关 阀门</t>
  </si>
  <si>
    <t>免卡高端大气压力桶球阀 2分内丝转2分快接 储水桶开关 球阀阀门</t>
  </si>
  <si>
    <t>高端大气压力桶球阀 二分内丝转二分快接 储水桶开关 球阀阀门</t>
  </si>
  <si>
    <t>世通6分内牙转2分快接球阀 六分转二分开关 阀门</t>
  </si>
  <si>
    <t>3分内牙转2分管 压力桶开关 3分内丝压力桶开关 净水机开关球阀</t>
  </si>
  <si>
    <t>世通 三分内牙转三分快接 储水罐球阀开关 3转3压力桶开关球阀</t>
  </si>
  <si>
    <t>3分口压力桶球阀2分内丝转三分管大流量 世通商用机压力桶球阀</t>
  </si>
  <si>
    <t>3.2G压力桶开关球阀快接 二分内牙螺丝球阀 接2分管 压力桶阀门</t>
  </si>
  <si>
    <t>M33世通3分对丝接头 直饮机净水器纯水机配件3分外牙对丝 接头</t>
  </si>
  <si>
    <t>M22塑料接头 直饮机净水器纯水机配件2分外牙对丝 食品级接头配件</t>
  </si>
  <si>
    <t>300cc废水比例器 净水器50G75G纯水机RO机 世通无卡快速接头</t>
  </si>
  <si>
    <t>650CC废水比 2分快接纯水机废水比 优质废水比不锈钢芯食品级材质</t>
  </si>
  <si>
    <t>350cc废水比 调节控制废水量 反渗透膜机器适用 废水控制器</t>
  </si>
  <si>
    <t>550CC废水比 净水器废水比 废水控制器 全食品级耐老化工程塑料芯</t>
  </si>
  <si>
    <t>420CC废水控制器 接头配件食品级 2分快接 纯水机净水器废水比</t>
  </si>
  <si>
    <t>2分快接 350CC 纯水机净水器废水比 废水控制器 食品级接头配件</t>
  </si>
  <si>
    <t>1.4版HDMI线1.8米 A/A镀金 hdmi高清线机顶盒连接线 1080P4K定做</t>
  </si>
  <si>
    <t>HDMI线1米镀金铜包钢 hdmi高清线 机顶盒电脑连接线 3D 1080P</t>
  </si>
  <si>
    <t>0.5米猪尾巴HDMI 三进一出切换器线hdmi一拖带三分配器线4K定制颜色:黑色</t>
  </si>
  <si>
    <t>1688深圳走量</t>
    <phoneticPr fontId="58" type="noConversion"/>
  </si>
  <si>
    <t>1688義烏優聚</t>
    <phoneticPr fontId="58" type="noConversion"/>
  </si>
  <si>
    <t>手提弹簧称迷你便携式家用小秤可调节刻度弹簧秤快递称重手提称颜色随机hecheng</t>
  </si>
  <si>
    <t>U型剪刀 十字绣刺绣剪刀 安全小纱剪彩色透明带盖剪刀 弹簧纱剪dgsj</t>
  </si>
  <si>
    <t>小米usb灯 led随身小夜灯 节能小台灯电脑 usb接口迷你灯 小米灯白色（全检测）usbd-1</t>
  </si>
  <si>
    <t>小米usb灯 led随身小夜灯 节能小台灯电脑 usb接口迷你灯 小米灯大红色（全检测）usbd-3</t>
  </si>
  <si>
    <t>小米usb灯 led随身小夜灯 节能小台灯电脑 usb接口迷你灯 小米灯紫色（全检测）usbd-5</t>
  </si>
  <si>
    <t>小米usb灯 led随身小夜灯 节能小台灯电脑 usb接口迷你灯 小米灯蓝色（全检测）usbd-4</t>
  </si>
  <si>
    <t>小米usb灯 led随身小夜灯 节能小台灯电脑 usb接口迷你灯 小米灯绿色（全检测）usbd-6</t>
  </si>
  <si>
    <t>小米usb灯 led随身小夜灯 节能小台灯电脑 usb接口迷你灯 小米灯黑色（全检测）usbd-7</t>
  </si>
  <si>
    <t>小米usb灯 led随身小夜灯 节能小台灯电脑 usb接口迷你灯 小米灯粉红色（全检测）usbd-8</t>
  </si>
  <si>
    <t>透明细喷雾瓶细雾喷壶化妆瓶旅行便携随身塑料香水分装瓶小喷瓶100ml化妆喷雾瓶</t>
  </si>
  <si>
    <t>透明细喷雾瓶细雾喷壶化妆瓶旅行便携随身塑料香水分装瓶小喷瓶50ml化妆喷雾瓶</t>
  </si>
  <si>
    <t>卡套身份证套学生公交卡保护套饭卡银行卡套防磁证件套透明地铁卡窄口款 透明+磨砂卡套</t>
  </si>
  <si>
    <t>卡套身份证套学生公交卡保护套饭卡银行卡套防磁证件套透明地铁卡宽口款 双面磨砂卡套</t>
  </si>
  <si>
    <t>无浆厨房清洁纯色强吸水抹布不掉毛不沾油洗碗巾干湿两用百洁布25*25无浆洗碗布</t>
  </si>
  <si>
    <t>多功能水晶泥汽车内出风口除去尘清洁软胶电脑键盘魔力水晶清洁泥75g袋装清洁泥dzqjn-75</t>
  </si>
  <si>
    <t>不锈钢U型修线剪 居家纱剪 十字绣剪刀 厂家批发线头小剪刀线剪颜色随机bxgsj</t>
  </si>
  <si>
    <t>厂家直销小号便携美工刀 不锈钢工具刀 金属办公文具手工裁纸刀尖头mgd-2</t>
  </si>
  <si>
    <t>厂家直销小号便携美工刀 不锈钢工具刀 金属办公文具手工裁纸刀平头mgd-1</t>
  </si>
  <si>
    <t>1688深圳威益達</t>
    <phoneticPr fontId="58" type="noConversion"/>
  </si>
  <si>
    <t>20A大电流全包鳄鱼夹 测试夹 弹簧夹 电夹 大号护套鳄鱼夹 75mm</t>
  </si>
  <si>
    <t>供应50A镀铜夹子 80mm鳄鱼夹 弹簧夹子测试夹子 50A电瓶夹子</t>
  </si>
  <si>
    <t>直销莲花音频线RCA一分二 RCA公转2RCA母音频线 AV线 一公转两母棕线长：32公分102</t>
  </si>
  <si>
    <t>厂家直销 usb转圆孔 dc 4.0*1.7 psp DVD转接线 平板电脑充电线</t>
  </si>
  <si>
    <t>厂家直销 USB转DC5.5*2.1 台灯音箱 风扇电源转接头 充电线</t>
  </si>
  <si>
    <t>直销1米加长v3数据线 供应MP3/MP4数据线 V3加长头数据线 T形口线</t>
  </si>
  <si>
    <t>厂家直销 usb转DC3.5*1.35 充电线 供电线圆孔 小音箱 USB电源线</t>
  </si>
  <si>
    <t>厂家直销 USB转DC2.5 圆孔 平板电脑接移动电源 充电线 2.5*0.7</t>
  </si>
  <si>
    <t>厂家直销 香蕉头百威镀金香蕉头 音响插头 插座 喇叭 音箱线接头</t>
  </si>
  <si>
    <t>厂家直销 怪兽香蕉插头24K镀金纯铜 发烧喇叭音箱插头 香蕉头</t>
  </si>
  <si>
    <t>实芯铝壳香蕉插 日本Nakamichi纯铜香蕉头 六芯中道铝壳香蕉插头</t>
  </si>
  <si>
    <t>长短柄鳄鱼夹5A带护套测试夹电瓶夹55mm铁镀镍测试夹电源夹电夹子</t>
  </si>
  <si>
    <t>直销小号鳄鱼夹测试线 大号试灯夹线双头电源夹线五彩线总长48CM</t>
  </si>
  <si>
    <t>鳄鱼夹5A 带护套测试夹 电瓶夹 52mm 铁镀镍 测试夹电源夹电夹子</t>
  </si>
  <si>
    <t>直销60A102mm镀铜50A镀铜鳄鱼夹逆变机超声波套件鳄鱼夹 蓄电池夹</t>
  </si>
  <si>
    <t>双头彩色鳄鱼夹测试线50CM 中号维修链接线 一扎10条5种颜色批发</t>
  </si>
  <si>
    <t>优质鱼夹 单丙带螺丝 5A 带护套 鳄鱼夹 电瓶夹50mm 测试夹电源夹</t>
  </si>
  <si>
    <t>直销307镀金铜杆接线柱音箱接线柱 喇叭红黑垫接线柱 4MM香蕉插头</t>
  </si>
  <si>
    <t>直销台湾中道锯齿牙型纯铜镀金4mm香蕉头铝壳 喇叭线功放接头</t>
  </si>
  <si>
    <t>厂家直销新100A全包镀铜 90mm长大号鳄鱼夹 强力大电流汽车电瓶夹</t>
  </si>
  <si>
    <t>直销大号音响接线柱 音箱音响功放接线柱 4MM接线柱香蕉插座</t>
  </si>
  <si>
    <t>镀金200A鳄鱼夹汽车大号电瓶夹大电流鳄鱼夹200A 鳄鱼夹长140MM</t>
  </si>
  <si>
    <t>厂家直销75MM长30A镀铜 弹簧电瓶夹逆变机超声波鳄鱼夹 蓄电池夹</t>
  </si>
  <si>
    <t>镀金4MM 灯笼头 香蕉插头 测试插头 灯笼型 四页型 香蕉型 插头102</t>
  </si>
  <si>
    <t>镀镍4MM 灯笼头 香蕉插头 测试插头 灯笼型 四页型 香蕉型 插头102</t>
  </si>
  <si>
    <t>中道Nakamichi 纯铜镀金香蕉插头 免焊接4MM香蕉头音响喇叭线插头 中道香蕉102</t>
  </si>
  <si>
    <t>USB厂家 批发 1.5米 USB公对公 usb线 USB对接线 A-A 【全铜线】 黑 线长：1.5</t>
  </si>
  <si>
    <t>厂家直销1.5米 USB公对公数据线 USB2.0 A/A线 全铜带磁环透明蓝 蓝 线长：1.5</t>
  </si>
  <si>
    <t>1.5米USB2.0延长线USB公对母连接线 全铜 数据线 带磁环 1.5-10米 黑 线长：1.5米</t>
  </si>
  <si>
    <t>手机一分二音频线 3.5一分二情侣音频线 电脑一拖二转接头耳机线 颜色随机配 线长：1.7cm</t>
  </si>
  <si>
    <t>3.5一分二音频线 一分二耳机线 一分二情侣耳机线 3.5一分二线 黑 线长：1.3cm</t>
  </si>
  <si>
    <t>1.5米 三莲花头AV线音频视频线机顶盒DVD电视连接线3RCA对3RCA 黑 线长：1.5米102</t>
  </si>
  <si>
    <t>1.5米3.5mm一分三莲花音频线3.5转3RCA连接线一对三音频线18mm 黑 线长：1.5米实际长度1.4米102</t>
  </si>
  <si>
    <t>1.5米2RCA转2RCA音频线3.5转双莲花电脑连接线二对二音频线4头线 黑 线长：1.5米102</t>
  </si>
  <si>
    <t>批发3.5音频延长线 3.5mm音频线 公对母电脑耳机延长线1.5米铜线 黑 线长：1.5米1.5米412B</t>
  </si>
  <si>
    <t>35mm小双柄鳄鱼夹5A带护套测试夹电瓶夹电源夹52mm大双柄鳄鱼夹 35mm小双柄10</t>
  </si>
  <si>
    <t>接线柱JS-919测试接插件接地柱 4mm接线柱 仪器仪表用香蕉插座106</t>
  </si>
  <si>
    <t>厂家直销六角棱4mm香蕉插座纯铜镀金 功放音响音箱接线柱接线端子105</t>
  </si>
  <si>
    <t>金属壳镀金头音频对录线 1米AUX线 3.5MM公对公音频线车载音响线 颜色随机发 线长：1米</t>
  </si>
  <si>
    <t>1米3.5mm金属壳编织音频线 车载音频布线 3.5MM公对公对录线 颜色随机发 线长：1米102</t>
  </si>
  <si>
    <t>直销中道铜镀金铝壳香蕉弯插/中道4mm香蕉插90度/中道L行香蕉插102</t>
  </si>
  <si>
    <t>3.5mm一分二音频线 3.5转双莲花头电脑音箱连接线 2RCA母音响线 黑 线长：16</t>
  </si>
  <si>
    <t>直销3.5公转3RCA母音频线3.5转色差线 一分三音频线3.5转3RCA母线 黑102</t>
  </si>
  <si>
    <t>1.5米3.5mm一分二RCA音频线3.5转双莲花电脑连接线一对二音频线 黑 线长：1.5米实际1.4米102</t>
  </si>
  <si>
    <t>中道纯铜镀金banana头香蕉插头喇叭线Y型插头/U型插头音响线接头102</t>
  </si>
  <si>
    <t>4mm双联香蕉插头 镀镍双排双位十字花免焊头 连体测试线香蕉接头102</t>
  </si>
  <si>
    <t>4MM香蕉插头座 功放音箱 电源 香蕉头插座 底座 红黑 电源接线柱102</t>
  </si>
  <si>
    <t>2MM针型香蕉头 音箱插头 直针插 音箱夹线 老款音箱喇叭线插头102</t>
  </si>
  <si>
    <t>5A小号鱼夹中号鱼夹大号鳄鱼夹 护套夹 电源夹测试夹充电夹护套夹 中号配色105</t>
  </si>
  <si>
    <t>5A小号鱼夹中号鱼夹大号鳄鱼夹 护套夹 电源夹测试夹充电夹护套夹 小号配色105</t>
  </si>
  <si>
    <t>5A小号鱼夹中号鱼夹大号鳄鱼夹 护套夹 电源夹测试夹充电夹护套夹 大号配色105</t>
  </si>
  <si>
    <t>直销3.5mm 1.5米公对公车载AUX音频线 对录线 3.5对公对 音频连接 黑 线长：1.5米102</t>
  </si>
  <si>
    <t>直销莲花音频线RCA一分二 RCA母转2RCA公音频线 AV线 一母转两公 蓝 线长：30公分102</t>
  </si>
  <si>
    <t>厂家直销 BNC头 冷压BNC插头 接线头三件套 RG58头RG59头RG6U</t>
  </si>
  <si>
    <t>厂家直销 BNC接头 BNC公转F母 英制螺纹转接头 BNC监控插头</t>
  </si>
  <si>
    <t>BNC公对公转接头BNC公头直通BNC公转公连接器 BNC头转BNC头转接头</t>
  </si>
  <si>
    <t>BNC三通母接头Q9一母分二母转换接头 三通接头BNC一分二T型镀金芯</t>
  </si>
  <si>
    <t>英标转换插头英规转换插座香港电源转换器港版旅行插头旅游转换头</t>
  </si>
  <si>
    <t>转接头厂家 音频转接头 AV直通头 RCA直通头莲花直通头莲花对接头</t>
  </si>
  <si>
    <t>RCA莲花直通头 音视频莲花母对母插头 RCA音频头延长 莲花对接头</t>
  </si>
  <si>
    <t>RCA母头转双RCA公头 RCA一分二 一母两公 音频头 RCA莲花转接头</t>
  </si>
  <si>
    <t>RCA母转双RCA母音频转接头RCA一分二 单莲花母转双莲花母头转接头</t>
  </si>
  <si>
    <t>直销2合1 HDMI接口HDMI/F　TO　MINI/M MCRO/M HDMI二合一转接头</t>
  </si>
  <si>
    <t>美标万能转换插头 美规转换插座 电源多功能转换器 旅行转换头</t>
  </si>
  <si>
    <t>18650 电池盒 单节电池盒1节 充电座18650电池盒带线锂电池盒</t>
  </si>
  <si>
    <t>美标二扁转换插头 美规转换插座 电源插头转换器 国标旅行转换头</t>
  </si>
  <si>
    <t>全球通转换插头 多功能转换插头 旅游出国转换插头 全球通用</t>
  </si>
  <si>
    <t>DVI转VGA头 24+5dvi公转vga母转接头 高清公转VGA 母连接头</t>
  </si>
  <si>
    <t>DVI公转VGA母转接头 DVI(24+1)VGA公对母口 显卡接显示器</t>
  </si>
  <si>
    <t>HDMI母对母转接头 可固定面板HDMI带耳朵直通头 带螺丝孔HDMI母头</t>
  </si>
  <si>
    <t>DVI母转HDMI公转接头dvi24+5母i转hdmi公高清转换双向转接头</t>
  </si>
  <si>
    <t>大量BNC公绿色端子免焊电源转接头Q9监控摄像头BNC接线端子转正负</t>
  </si>
  <si>
    <t>BNC母绿色端子接头母头监控视频Q9接头正负极接线端子免焊拧螺丝</t>
  </si>
  <si>
    <t>厂家直销RCA公莲花头AV头视频头 绿色RCA端子公头接头 AV监控配件</t>
  </si>
  <si>
    <t>厂家直销纯铜芯 5.5*2.1 红黑线母头DC公母线电源5521电源线母头</t>
  </si>
  <si>
    <t>直销BNC公转RCA母BNC公转莲花母头BNC公转AV母头视频头转莲花头</t>
  </si>
  <si>
    <t>现货 BNC双通BNC母对母 BNC母转母 BNC直通 BNC连接器 Q9头</t>
  </si>
  <si>
    <t>BNC母转RCA公头Q9母转莲花RCA音视频转换头BNC母转AV公BNC转接头</t>
  </si>
  <si>
    <t>厂家直销 音频转接头 彩色AV莲花一分二 RCA公转2RCA母 RCA转换器</t>
  </si>
  <si>
    <t>大欧标德标转换插头 德规转换插座 韩国电源转换器 法国旅行插头</t>
  </si>
  <si>
    <t>小欧规转换插头 万能旅行插头 欧标转换插座 转换器 电源转换头</t>
  </si>
  <si>
    <t>BNC公转AV公头 Q9 BNC头 BNC公转RCA公 视频转换头 BNC转莲花头</t>
  </si>
  <si>
    <t>澳标万能转换插头 澳规旅行转换插座转换器 八脚多功能转换头</t>
  </si>
  <si>
    <t>澳标三扁转换插头 澳规转换器 多功能电源转换插座 万能旅行插头</t>
  </si>
  <si>
    <t>供应hdmi转dvi高清转换头 DVI24+5公转hdmi母镀金插头视频转接头</t>
  </si>
  <si>
    <t>直销HDMI270度直角弯头270度弯角 HDMI公对母 转换头延长头转接头</t>
  </si>
  <si>
    <t>供应高清HDMI公对母转接头 270度左侧弯 1.4版本L型转换头镀金头</t>
  </si>
  <si>
    <t>厂家供应高清HDMI转接头 母对母90度HDMI直角母对母转换头 1.4版</t>
  </si>
  <si>
    <t>镀金DVI转HDMI转接头电脑dvi公24+1转hdmi母DVI公转HDMI母转换头</t>
  </si>
  <si>
    <t>直销 镀金莲花RCA一分二插头 音频转换头 彩色RCA插头 音频转接头</t>
  </si>
  <si>
    <t>高清HDMI90度弯头 HDMi转接头 右侧弯延长头 HDMI公转母转换头</t>
  </si>
  <si>
    <t>1.4版HDMI 母对母带耳朵90度转接头 适用HDMI面板带螺丝孔可固定</t>
  </si>
  <si>
    <t>6.5转2RCA莲花头 音频话筒转AV 音响转接头 1分2转换器对接头</t>
  </si>
  <si>
    <t>DVI转VGA头 dvi24+5公转vga母转接头 高清公转VGA母连接头 铁螺丝</t>
  </si>
  <si>
    <t>3.5mm转RCA音频转换头 莲花公转3.5母头 3.5母转单莲花 AV转接头 102</t>
  </si>
  <si>
    <t>镀镍3.5公转红白2RCA母音频转接头 电脑电视一分二3.5插头莲花母 102</t>
  </si>
  <si>
    <t>直销BNC三通监控视频接头BNC转接头Q9接头BNC一分二BNC公/2BNC母 102</t>
  </si>
  <si>
    <t>DVI转VGA头 dvi公转vga母转接头 高清公转VGA 母连接头 金属螺丝 DVI 005</t>
  </si>
  <si>
    <t>一拖四多功能两扁转换插头插座转换器一体成型防摔 电源旅行插座 K8 2扁</t>
  </si>
  <si>
    <t>明雅K5转换插旅游转换插头转换器 转换插头 带开关转换插座一转3 K5 白色</t>
  </si>
  <si>
    <t>明雅K2转换插旅游转换插头转换器 转换插头 带开关转换插座一转三 K2 白色</t>
  </si>
  <si>
    <t>多功能家用旅行转换插头 迷你旅游转换插座 一拖三 1转3 一分三 139 颜色随机发</t>
  </si>
  <si>
    <t>明雅K3转换插旅游转换插头转换器 转换插头 带开关转换插座一转三 K3 白色</t>
  </si>
  <si>
    <t>厂家直销明雅K4多插位转换插头 电源转换插座 三转二转换器可旋转 蓝绿橙</t>
  </si>
  <si>
    <t>6.5单声转3.5母 耳机转接头 6.35mm转3.5mm耳机转换话筒转换头 102</t>
  </si>
  <si>
    <t>塑胶莲花音视频公头 RCA公焊接头 AV公插头 莲花插头 梅花公红黑 102</t>
  </si>
  <si>
    <t>塑胶莲花音视频母头 RCA母焊接头 AV母插头 莲花插头 梅花母红黑 102</t>
  </si>
  <si>
    <t>直销转接头 USB母对母转接头高速电脑usb双母直通头 USB双母接口 USB母对母</t>
  </si>
  <si>
    <t>金属螺丝镀金DVI（24+5）公转HDMI母 DVI公转HDMI母高清转接头 金属螺丝+5</t>
  </si>
  <si>
    <t>镀金3.5公转红白2RCA母音频转接头 电脑电视一分二3.5插头莲花母 102</t>
  </si>
  <si>
    <t>DVI转VGA转接头 DVI（24+5）to VGA公对母接口 显卡接显示器黑色 102</t>
  </si>
  <si>
    <t>BNC母转AV母监控转电视机接头 BNC转RCA Q9母转莲花母头 Q9转AV头 01</t>
  </si>
  <si>
    <t>BNC母转AV公 监控转电视机接头 BNC转RCA Q9母转莲花公头Q9转AV头 01</t>
  </si>
  <si>
    <t>按压式BNC视频转接头 免焊压线式BNC公头转接头 监控用视频转接头 0</t>
  </si>
  <si>
    <t>弹簧按压bnc母视频插头Q9公头压线式正负极接线端子免焊监控转接 1</t>
  </si>
  <si>
    <t>USB双公头usb2.0公对公延长母转接头A对A公转公对口连接转换头 101</t>
  </si>
  <si>
    <t>网线延长一分二转接头分接 带屏蔽CAT6 RJ45网络三通头 8P8C三通 101</t>
  </si>
  <si>
    <t>全新 RS232串口转接头 9公对9公 台湾头 9针对9针 DB9转接头 102</t>
  </si>
  <si>
    <t>批发VGA 公对母 延长头转接头直通 15针对15孔 进口台湾头 D-SUB 102</t>
  </si>
  <si>
    <t>串口DB9转接头转换头孔对针延长头9孔母头对公RS232公转母转接头 102</t>
  </si>
  <si>
    <t>vga母对母转接头VGA线延长对接头直通双母头15孔对15孔公母头转换 102</t>
  </si>
  <si>
    <t>新款DB15 三排 转接头 VGA15针对15针公对公对接头 串口VGA连接器 102</t>
  </si>
  <si>
    <t>DB9母对母对接头 9针转接头 串口转接头 RS232母对母头9孔对9孔头 102</t>
  </si>
  <si>
    <t>hdmi公对母延长线转换头电脑1.4版3D高清hdmi连接线转接头转换器 102</t>
  </si>
  <si>
    <t>免焊AV接头接线RCA母头 绿色接线端子莲花头监控DC音频头监控器材 102</t>
  </si>
  <si>
    <t>单3.5转6.5转接头3.5公转6.5母 6.5母转3.5公音频转换小转大塑胶 102</t>
  </si>
  <si>
    <t>直销铜芯RJ-45网络水晶头 rj45 8p8c超五类网线水晶头 100个单价 101</t>
  </si>
  <si>
    <t>RCA直通头RCA母对母 单排 莲花对接头 音频线 AV延长器RCA直通头 102</t>
  </si>
  <si>
    <t>RJ45网络水晶护套 8P8C水晶胶套 彩色水晶护套 超五类水晶护套 彩色</t>
  </si>
  <si>
    <t>直销HDMI 90度直角转接头HDMI 270度HDMI 公对母 HDMI弯头转换头 90度HDMI</t>
  </si>
  <si>
    <t>直销HDMI 90度直角转接头HDMI 270度HDMI 公对母 HDMI弯头转换头 270度HDMI</t>
  </si>
  <si>
    <t>供应 3.5一分二音频转接头 3.5公转两个3.5母 耳机转接头 情侣插 102</t>
  </si>
  <si>
    <t>厂家直销高清HDMI直通头 HDMI转接头母对母延长器加长头1080P镀金 hdmi</t>
  </si>
  <si>
    <t>Mini hdmi 高清转换头大转小 公对母迷你HDMI转hdmi转接头 102</t>
  </si>
  <si>
    <t>Mirco HDMI转HDMI转接头microHDMI 公转HDMI 母 高清转接头大转小 102</t>
  </si>
  <si>
    <t>RCA莲花头直通公监控音频转接头RCA公对公转换头AV直通公头对接头 101</t>
  </si>
  <si>
    <t>3.5双转6.5转接头 3.5公转6.5母 6.5母转3.5公音频转换头 小转大 102</t>
  </si>
  <si>
    <t>1688廣州富升康</t>
    <phoneticPr fontId="58" type="noConversion"/>
  </si>
  <si>
    <t>透明爪子护套 异形护套 超五类水晶头护套 水晶头胶套 水晶头彩色</t>
  </si>
  <si>
    <t>特价 电话一分三接线盒1分3分配器 转接头四通接口电话线分机支器</t>
  </si>
  <si>
    <t>电话一分五分线盒/1分5/一转五/一拖五/分线器/6P4C/四芯pos</t>
  </si>
  <si>
    <t>电话线一转二 RJ11电话三通头 电话线分线器6P4C三通头</t>
  </si>
  <si>
    <t>富升康电话水晶头4芯 RJ11电话水晶头 四芯6P4C 电话水晶头 1000</t>
  </si>
  <si>
    <t>六类透明爪子护套 水晶头护套 超六类水晶头保护套</t>
  </si>
  <si>
    <t>电话一分二接线盒/1分2带线牛角转接头分线器 分离器 4芯</t>
  </si>
  <si>
    <t>RJ45工程用网络接头 全铜镀金网线接头 金片0.35网络水晶头 301</t>
  </si>
  <si>
    <t>彩色网络直通头 8P8C直通头 RJ45网线连接器 网线对接头 质量好 99878</t>
  </si>
  <si>
    <t>电话一分二牛角一转二分线盒 一拖二分线器 分配器 6P4C 四芯 654</t>
  </si>
  <si>
    <t>电话铃声助响器 助响铃 铃声放大器 扩大器 扩音JW-102 654</t>
  </si>
  <si>
    <t>2芯4心电话分线盒电话接线盒一分四6P4C电话机分配器 321</t>
  </si>
  <si>
    <t>工厂直营超六类RJ45穿孔通孔网络 8P8C穿孔非屏蔽镀金水晶头 3210</t>
  </si>
  <si>
    <t>RJ45六类水晶头1000个/包CAT6水晶头 超六类千兆水晶头6类水晶头 69</t>
  </si>
  <si>
    <t>穿孔式超五类水晶头通孔Cat5E RJ45 8P8C 网络网线插头1000个 585</t>
  </si>
  <si>
    <t>1688南通瑋晟</t>
    <phoneticPr fontId="58" type="noConversion"/>
  </si>
  <si>
    <t>萬綠泉1688</t>
    <phoneticPr fontId="2" type="noConversion"/>
  </si>
  <si>
    <t>小T-PP</t>
    <phoneticPr fontId="2" type="noConversion"/>
  </si>
  <si>
    <r>
      <t xml:space="preserve">支付寶: </t>
    </r>
    <r>
      <rPr>
        <sz val="10"/>
        <rFont val="宋体"/>
        <charset val="134"/>
      </rPr>
      <t>375</t>
    </r>
    <r>
      <rPr>
        <sz val="10"/>
        <rFont val="宋体"/>
        <charset val="134"/>
      </rPr>
      <t>元</t>
    </r>
    <r>
      <rPr>
        <sz val="10"/>
        <rFont val="宋体"/>
        <charset val="134"/>
      </rPr>
      <t xml:space="preserve"> + 紅包 5元</t>
    </r>
    <phoneticPr fontId="2" type="noConversion"/>
  </si>
  <si>
    <t>保险丝座 铜夹 5*20mm 保险管座 保险管夹子 5X20 0.5加厚</t>
  </si>
  <si>
    <t>淘寶深圳恆泰</t>
    <phoneticPr fontId="58" type="noConversion"/>
  </si>
  <si>
    <t>拼多多五湖家紡</t>
    <phoneticPr fontId="58" type="noConversion"/>
  </si>
  <si>
    <t>268.10</t>
    <phoneticPr fontId="58" type="noConversion"/>
  </si>
  <si>
    <t>268.11</t>
  </si>
  <si>
    <t>268.12</t>
  </si>
  <si>
    <t>268.13</t>
  </si>
  <si>
    <t>268.14</t>
  </si>
  <si>
    <t>268.15</t>
  </si>
  <si>
    <t>268.16</t>
  </si>
  <si>
    <t>268.17</t>
  </si>
  <si>
    <t>268.18</t>
  </si>
  <si>
    <t>268.19</t>
  </si>
  <si>
    <t>268.20</t>
  </si>
  <si>
    <t>268.21</t>
  </si>
  <si>
    <t>268.22</t>
  </si>
  <si>
    <t>268.23</t>
  </si>
  <si>
    <t>268.24</t>
  </si>
  <si>
    <t>268.25</t>
  </si>
  <si>
    <t>268.26</t>
  </si>
  <si>
    <t>268.27</t>
  </si>
  <si>
    <t>268.28</t>
  </si>
  <si>
    <t>268.29</t>
  </si>
  <si>
    <t>268.30</t>
  </si>
  <si>
    <t>268.31</t>
  </si>
  <si>
    <t>268.32</t>
  </si>
  <si>
    <t>268.33</t>
  </si>
  <si>
    <t>268.34</t>
  </si>
  <si>
    <t>268.35</t>
  </si>
  <si>
    <t>268.36</t>
  </si>
  <si>
    <t>7絲平口OPP袋6cm*30cm</t>
    <phoneticPr fontId="58" type="noConversion"/>
  </si>
  <si>
    <t>6絲平口OPP袋3cm*16cm</t>
    <phoneticPr fontId="58" type="noConversion"/>
  </si>
  <si>
    <t>212.05</t>
    <phoneticPr fontId="58" type="noConversion"/>
  </si>
  <si>
    <t>212.06</t>
  </si>
  <si>
    <t>212.07</t>
  </si>
  <si>
    <t>212.08</t>
  </si>
  <si>
    <t>212.09</t>
  </si>
  <si>
    <t>212.10</t>
  </si>
  <si>
    <t>212.11</t>
  </si>
  <si>
    <t>212.12</t>
  </si>
  <si>
    <t>212.13</t>
  </si>
  <si>
    <t>212.14</t>
  </si>
  <si>
    <t>212.15</t>
  </si>
  <si>
    <t>212.16</t>
  </si>
  <si>
    <t>212.17</t>
  </si>
  <si>
    <t>212.18</t>
  </si>
  <si>
    <t>212.19</t>
  </si>
  <si>
    <t>212.20</t>
  </si>
  <si>
    <t>212.21</t>
  </si>
  <si>
    <t>212.22</t>
  </si>
  <si>
    <t>212.23</t>
  </si>
  <si>
    <t>212.24</t>
  </si>
  <si>
    <t>212.25</t>
  </si>
  <si>
    <t>212.26</t>
  </si>
  <si>
    <t>212.27</t>
  </si>
  <si>
    <t>212.28</t>
  </si>
  <si>
    <t>212.29</t>
  </si>
  <si>
    <t>212.30</t>
  </si>
  <si>
    <t>212.31</t>
  </si>
  <si>
    <t>212.32</t>
  </si>
  <si>
    <t>212.33</t>
  </si>
  <si>
    <t>212.34</t>
  </si>
  <si>
    <t>212.35</t>
  </si>
  <si>
    <t>212.36</t>
  </si>
  <si>
    <t>212.37</t>
  </si>
  <si>
    <t>212.38</t>
  </si>
  <si>
    <t>212.39</t>
  </si>
  <si>
    <t>212.40</t>
  </si>
  <si>
    <t>212.41</t>
  </si>
  <si>
    <t>212.42</t>
  </si>
  <si>
    <t>212.43</t>
  </si>
  <si>
    <t>212.44</t>
  </si>
  <si>
    <t>212.45</t>
  </si>
  <si>
    <t>212.46</t>
  </si>
  <si>
    <t>212.47</t>
  </si>
  <si>
    <t>212.48</t>
  </si>
  <si>
    <t>212.49</t>
  </si>
  <si>
    <t>212.50</t>
  </si>
  <si>
    <t>212.51</t>
  </si>
  <si>
    <t>212.52</t>
  </si>
  <si>
    <t>212.53</t>
  </si>
  <si>
    <t>212.54</t>
  </si>
  <si>
    <t>212.55</t>
  </si>
  <si>
    <t>212.56</t>
  </si>
  <si>
    <t>212.57</t>
  </si>
  <si>
    <t>212.58</t>
  </si>
  <si>
    <t>212.59</t>
  </si>
  <si>
    <t>212.60</t>
  </si>
  <si>
    <t>212.61</t>
  </si>
  <si>
    <t>212.62</t>
  </si>
  <si>
    <t>212.63</t>
  </si>
  <si>
    <t>212.64</t>
  </si>
  <si>
    <t>212.65</t>
  </si>
  <si>
    <t>212.66</t>
  </si>
  <si>
    <t>214.01</t>
    <phoneticPr fontId="58" type="noConversion"/>
  </si>
  <si>
    <t>214.02</t>
  </si>
  <si>
    <t>214.03</t>
  </si>
  <si>
    <t>214.04</t>
  </si>
  <si>
    <t>214.05</t>
  </si>
  <si>
    <t>214.06</t>
  </si>
  <si>
    <t>214.07</t>
  </si>
  <si>
    <t>214.08</t>
  </si>
  <si>
    <t>214.09</t>
  </si>
  <si>
    <t>214.10</t>
  </si>
  <si>
    <t>214.11</t>
  </si>
  <si>
    <t>214.12</t>
  </si>
  <si>
    <t>214.13</t>
  </si>
  <si>
    <t>214.14</t>
  </si>
  <si>
    <t>214.15</t>
  </si>
  <si>
    <t>214.16</t>
  </si>
  <si>
    <t>214.17</t>
  </si>
  <si>
    <t>214.18</t>
  </si>
  <si>
    <t>214.19</t>
  </si>
  <si>
    <t>265.01</t>
    <phoneticPr fontId="58" type="noConversion"/>
  </si>
  <si>
    <t>265.02</t>
  </si>
  <si>
    <t>265.03</t>
  </si>
  <si>
    <t>265.04</t>
  </si>
  <si>
    <t>202.01</t>
    <phoneticPr fontId="58" type="noConversion"/>
  </si>
  <si>
    <t>202.02</t>
  </si>
  <si>
    <t>202.03</t>
  </si>
  <si>
    <t>202.04</t>
  </si>
  <si>
    <t>202.05</t>
  </si>
  <si>
    <t>202.06</t>
  </si>
  <si>
    <t>202.07</t>
  </si>
  <si>
    <t>202.08</t>
  </si>
  <si>
    <t>202.09</t>
  </si>
  <si>
    <t>202.10</t>
  </si>
  <si>
    <t>202.11</t>
  </si>
  <si>
    <t>202.12</t>
  </si>
  <si>
    <t>202.13</t>
  </si>
  <si>
    <t>202.14</t>
  </si>
  <si>
    <t>202.15</t>
  </si>
  <si>
    <t>281.01</t>
    <phoneticPr fontId="58" type="noConversion"/>
  </si>
  <si>
    <t>281.02</t>
  </si>
  <si>
    <t>281.03</t>
  </si>
  <si>
    <t>281.04</t>
  </si>
  <si>
    <t>281.05</t>
  </si>
  <si>
    <t>281.06</t>
  </si>
  <si>
    <t>281.07</t>
  </si>
  <si>
    <t>281.08</t>
  </si>
  <si>
    <t>281.09</t>
  </si>
  <si>
    <t>281.10</t>
  </si>
  <si>
    <t>281.11</t>
  </si>
  <si>
    <t>281.12</t>
  </si>
  <si>
    <t>282.01</t>
    <phoneticPr fontId="58" type="noConversion"/>
  </si>
  <si>
    <t>282.02</t>
  </si>
  <si>
    <t>282.03</t>
  </si>
  <si>
    <t>282.04</t>
  </si>
  <si>
    <t>282.05</t>
  </si>
  <si>
    <t>282.06</t>
  </si>
  <si>
    <t>282.07</t>
  </si>
  <si>
    <t>282.09</t>
  </si>
  <si>
    <t>282.10</t>
  </si>
  <si>
    <t>282.11</t>
  </si>
  <si>
    <t>282.12</t>
  </si>
  <si>
    <t>282.13</t>
  </si>
  <si>
    <t>282.14</t>
  </si>
  <si>
    <t>282.15</t>
  </si>
  <si>
    <t>282.16</t>
  </si>
  <si>
    <t>282.17</t>
  </si>
  <si>
    <t>282.18</t>
  </si>
  <si>
    <t>282.19</t>
  </si>
  <si>
    <t>282.20</t>
  </si>
  <si>
    <t>282.21</t>
  </si>
  <si>
    <t>282.22</t>
  </si>
  <si>
    <t>282.23</t>
  </si>
  <si>
    <t>282.24</t>
  </si>
  <si>
    <t>282.25</t>
  </si>
  <si>
    <t>282.26</t>
  </si>
  <si>
    <t>282.27</t>
  </si>
  <si>
    <t>282.28</t>
  </si>
  <si>
    <t>282.29</t>
  </si>
  <si>
    <t>282.30</t>
  </si>
  <si>
    <t>282.31</t>
  </si>
  <si>
    <t>282.32</t>
  </si>
  <si>
    <t>282.33</t>
  </si>
  <si>
    <t>282.34</t>
  </si>
  <si>
    <t>282.35</t>
  </si>
  <si>
    <t>282.36</t>
  </si>
  <si>
    <t>284.01</t>
    <phoneticPr fontId="58" type="noConversion"/>
  </si>
  <si>
    <t>284.02</t>
  </si>
  <si>
    <t>284.03</t>
  </si>
  <si>
    <t>284.04</t>
  </si>
  <si>
    <t>284.05</t>
  </si>
  <si>
    <t>215.01</t>
    <phoneticPr fontId="58" type="noConversion"/>
  </si>
  <si>
    <t>215.02</t>
  </si>
  <si>
    <t>215.03</t>
  </si>
  <si>
    <t>215.04</t>
  </si>
  <si>
    <t>215.05</t>
  </si>
  <si>
    <t>215.06</t>
  </si>
  <si>
    <t>215.07</t>
  </si>
  <si>
    <t>215.08</t>
  </si>
  <si>
    <t>215.09</t>
  </si>
  <si>
    <t>215.10</t>
  </si>
  <si>
    <t>215.11</t>
  </si>
  <si>
    <t>215.12</t>
  </si>
  <si>
    <t>215.13</t>
  </si>
  <si>
    <t>215.14</t>
  </si>
  <si>
    <t>215.15</t>
  </si>
  <si>
    <t>205.01</t>
    <phoneticPr fontId="58" type="noConversion"/>
  </si>
  <si>
    <t>205.02</t>
  </si>
  <si>
    <t>205.03</t>
  </si>
  <si>
    <t>205.04</t>
  </si>
  <si>
    <t>205.05</t>
  </si>
  <si>
    <t>205.06</t>
  </si>
  <si>
    <t>207.01</t>
    <phoneticPr fontId="58" type="noConversion"/>
  </si>
  <si>
    <t>207.02</t>
  </si>
  <si>
    <t>207.03</t>
  </si>
  <si>
    <t>207.04</t>
  </si>
  <si>
    <t>207.05</t>
  </si>
  <si>
    <t>207.06</t>
  </si>
  <si>
    <t>207.07</t>
  </si>
  <si>
    <t>207.08</t>
  </si>
  <si>
    <t>207.09</t>
  </si>
  <si>
    <t>207.10</t>
  </si>
  <si>
    <t>207.11</t>
  </si>
  <si>
    <t>207.12</t>
  </si>
  <si>
    <t>207.13</t>
  </si>
  <si>
    <t>207.14</t>
  </si>
  <si>
    <t>207.15</t>
  </si>
  <si>
    <t>207.16</t>
  </si>
  <si>
    <t>207.17</t>
  </si>
  <si>
    <t>207.18</t>
  </si>
  <si>
    <t>207.19</t>
  </si>
  <si>
    <t>207.20</t>
  </si>
  <si>
    <t>208.01</t>
    <phoneticPr fontId="58" type="noConversion"/>
  </si>
  <si>
    <t>208.02</t>
  </si>
  <si>
    <t>208.03</t>
  </si>
  <si>
    <t>208.04</t>
  </si>
  <si>
    <t>208.05</t>
  </si>
  <si>
    <t>208.06</t>
  </si>
  <si>
    <t>208.07</t>
  </si>
  <si>
    <t>208.08</t>
  </si>
  <si>
    <t>208.09</t>
  </si>
  <si>
    <t>230.01</t>
    <phoneticPr fontId="58" type="noConversion"/>
  </si>
  <si>
    <t>230.02</t>
  </si>
  <si>
    <t>230.03</t>
  </si>
  <si>
    <t>230.04</t>
  </si>
  <si>
    <t>230.05</t>
  </si>
  <si>
    <t>230.06</t>
  </si>
  <si>
    <t>230.07</t>
  </si>
  <si>
    <t>231.01</t>
    <phoneticPr fontId="58" type="noConversion"/>
  </si>
  <si>
    <t>231.02</t>
  </si>
  <si>
    <t>231.03</t>
  </si>
  <si>
    <t>231.04</t>
  </si>
  <si>
    <t>231.05</t>
  </si>
  <si>
    <t>232.01</t>
    <phoneticPr fontId="58" type="noConversion"/>
  </si>
  <si>
    <t>232.02</t>
  </si>
  <si>
    <t>232.03</t>
  </si>
  <si>
    <t>232.04</t>
  </si>
  <si>
    <t>233.01</t>
    <phoneticPr fontId="58" type="noConversion"/>
  </si>
  <si>
    <t>233.02</t>
  </si>
  <si>
    <t>233.03</t>
  </si>
  <si>
    <t>233.04</t>
  </si>
  <si>
    <t>233.05</t>
  </si>
  <si>
    <t>233.06</t>
  </si>
  <si>
    <t>234.01</t>
    <phoneticPr fontId="58" type="noConversion"/>
  </si>
  <si>
    <t>266.11</t>
    <phoneticPr fontId="58" type="noConversion"/>
  </si>
  <si>
    <t>266.12</t>
  </si>
  <si>
    <t>266.13</t>
  </si>
  <si>
    <t>266.14</t>
  </si>
  <si>
    <t>266.15</t>
  </si>
  <si>
    <t>266.16</t>
  </si>
  <si>
    <t>266.17</t>
  </si>
  <si>
    <t>266.18</t>
  </si>
  <si>
    <t>267.01</t>
    <phoneticPr fontId="58" type="noConversion"/>
  </si>
  <si>
    <t>267.02</t>
  </si>
  <si>
    <t>267.03</t>
  </si>
  <si>
    <t>267.04</t>
  </si>
  <si>
    <t>267.05</t>
  </si>
  <si>
    <t>267.06</t>
  </si>
  <si>
    <t>267.07</t>
  </si>
  <si>
    <t>267.08</t>
  </si>
  <si>
    <t>267.09</t>
  </si>
  <si>
    <t>267.10</t>
  </si>
  <si>
    <t>267.11</t>
  </si>
  <si>
    <t>267.12</t>
  </si>
  <si>
    <t>267.13</t>
  </si>
  <si>
    <t>267.14</t>
  </si>
  <si>
    <t>267.15</t>
  </si>
  <si>
    <t>267.16</t>
  </si>
  <si>
    <t>267.17</t>
  </si>
  <si>
    <t>267.18</t>
  </si>
  <si>
    <t>264.01</t>
    <phoneticPr fontId="58" type="noConversion"/>
  </si>
  <si>
    <t>264.02</t>
  </si>
  <si>
    <t>264.03</t>
  </si>
  <si>
    <t>264.04</t>
  </si>
  <si>
    <t>264.05</t>
  </si>
  <si>
    <t>264.06</t>
  </si>
  <si>
    <t>264.07</t>
  </si>
  <si>
    <t>264.08</t>
  </si>
  <si>
    <t>264.09</t>
  </si>
  <si>
    <t>264.10</t>
  </si>
  <si>
    <t>264.11</t>
  </si>
  <si>
    <t>264.12</t>
  </si>
  <si>
    <t>264.13</t>
  </si>
  <si>
    <t>264.14</t>
  </si>
  <si>
    <t>264.15</t>
  </si>
  <si>
    <t>264.16</t>
  </si>
  <si>
    <t>264.17</t>
  </si>
  <si>
    <t>264.18</t>
  </si>
  <si>
    <t>264.19</t>
  </si>
  <si>
    <t>264.20</t>
  </si>
  <si>
    <t>264.21</t>
  </si>
  <si>
    <t>264.22</t>
  </si>
  <si>
    <t>264.23</t>
  </si>
  <si>
    <t>264.24</t>
  </si>
  <si>
    <t>264.25</t>
  </si>
  <si>
    <t>264.26</t>
  </si>
  <si>
    <t>262.01</t>
    <phoneticPr fontId="58" type="noConversion"/>
  </si>
  <si>
    <t>262.02</t>
  </si>
  <si>
    <t>262.03</t>
  </si>
  <si>
    <t>262.04</t>
  </si>
  <si>
    <t>262.05</t>
  </si>
  <si>
    <t>262.06</t>
  </si>
  <si>
    <t>262.07</t>
  </si>
  <si>
    <t>262.08</t>
  </si>
  <si>
    <t>262.09</t>
  </si>
  <si>
    <t>262.10</t>
  </si>
  <si>
    <t>262.11</t>
  </si>
  <si>
    <t>262.12</t>
  </si>
  <si>
    <t>262.13</t>
  </si>
  <si>
    <t>262.14</t>
  </si>
  <si>
    <t>262.15</t>
  </si>
  <si>
    <t>262.16</t>
  </si>
  <si>
    <t>262.17</t>
  </si>
  <si>
    <t>262.18</t>
  </si>
  <si>
    <t>262.19</t>
  </si>
  <si>
    <t>262.20</t>
  </si>
  <si>
    <t>262.21</t>
    <phoneticPr fontId="58" type="noConversion"/>
  </si>
  <si>
    <t>262.22</t>
  </si>
  <si>
    <t>262.23</t>
  </si>
  <si>
    <t>263.01</t>
    <phoneticPr fontId="58" type="noConversion"/>
  </si>
  <si>
    <t>263.02</t>
  </si>
  <si>
    <t>263.03</t>
  </si>
  <si>
    <t>263.04</t>
  </si>
  <si>
    <t>263.05</t>
  </si>
  <si>
    <t>263.06</t>
  </si>
  <si>
    <t>263.07</t>
  </si>
  <si>
    <t>251.01</t>
    <phoneticPr fontId="58" type="noConversion"/>
  </si>
  <si>
    <t>251.02</t>
  </si>
  <si>
    <t>251.03</t>
  </si>
  <si>
    <t>251.04</t>
  </si>
  <si>
    <t>251.05</t>
  </si>
  <si>
    <t>251.06</t>
  </si>
  <si>
    <t>252.01</t>
    <phoneticPr fontId="58" type="noConversion"/>
  </si>
  <si>
    <t>252.02</t>
  </si>
  <si>
    <t>252.03</t>
  </si>
  <si>
    <t>252.21</t>
    <phoneticPr fontId="58" type="noConversion"/>
  </si>
  <si>
    <t>252.22</t>
  </si>
  <si>
    <t>252.23</t>
  </si>
  <si>
    <t>252.24</t>
  </si>
  <si>
    <t>252.25</t>
  </si>
  <si>
    <t>252.26</t>
  </si>
  <si>
    <t>252.27</t>
  </si>
  <si>
    <t>252.28</t>
  </si>
  <si>
    <t>252.29</t>
  </si>
  <si>
    <t>252.30</t>
  </si>
  <si>
    <t>魔術貼-單面</t>
    <phoneticPr fontId="2" type="noConversion"/>
  </si>
  <si>
    <t>魔術貼-雙面</t>
    <phoneticPr fontId="2" type="noConversion"/>
  </si>
  <si>
    <t>251.21</t>
    <phoneticPr fontId="58" type="noConversion"/>
  </si>
  <si>
    <t>251.22</t>
  </si>
  <si>
    <t>251.23</t>
  </si>
  <si>
    <t>251.24</t>
  </si>
  <si>
    <t>251.25</t>
  </si>
  <si>
    <t>251.26</t>
  </si>
  <si>
    <t>251.27</t>
  </si>
  <si>
    <t>251.28</t>
  </si>
  <si>
    <t>251.41</t>
    <phoneticPr fontId="58" type="noConversion"/>
  </si>
  <si>
    <t>251.42</t>
  </si>
  <si>
    <t>251.43</t>
  </si>
  <si>
    <t>252.04</t>
  </si>
  <si>
    <t>252.05</t>
  </si>
  <si>
    <t>252.06</t>
  </si>
  <si>
    <t>252.07</t>
  </si>
  <si>
    <t>252.08</t>
  </si>
  <si>
    <t>252.09</t>
  </si>
  <si>
    <t>252.10</t>
  </si>
  <si>
    <t>252.31</t>
  </si>
  <si>
    <t>252.32</t>
  </si>
  <si>
    <t>252.33</t>
  </si>
  <si>
    <t>252.34</t>
  </si>
  <si>
    <t>252.35</t>
  </si>
  <si>
    <t>252.36</t>
  </si>
  <si>
    <t>252.37</t>
  </si>
  <si>
    <t>252.38</t>
  </si>
  <si>
    <t>252.39</t>
  </si>
  <si>
    <t>252.40</t>
  </si>
  <si>
    <t>252.41</t>
  </si>
  <si>
    <t>252.42</t>
  </si>
  <si>
    <t>252.43</t>
  </si>
  <si>
    <t>252.44</t>
  </si>
  <si>
    <t>252.45</t>
  </si>
  <si>
    <t>261.01</t>
    <phoneticPr fontId="58" type="noConversion"/>
  </si>
  <si>
    <t>261.02</t>
  </si>
  <si>
    <t>261.03</t>
  </si>
  <si>
    <t>261.04</t>
  </si>
  <si>
    <t>261.05</t>
  </si>
  <si>
    <t>261.06</t>
  </si>
  <si>
    <t>261.07</t>
  </si>
  <si>
    <t>261.08</t>
  </si>
  <si>
    <t>261.09</t>
  </si>
  <si>
    <t>261.10</t>
  </si>
  <si>
    <t>261.11</t>
  </si>
  <si>
    <t>261.12</t>
  </si>
  <si>
    <t>261.13</t>
  </si>
  <si>
    <t>261.14</t>
  </si>
  <si>
    <t>302.01</t>
    <phoneticPr fontId="58" type="noConversion"/>
  </si>
  <si>
    <t>302.02</t>
  </si>
  <si>
    <t>302.03</t>
  </si>
  <si>
    <t>302.21</t>
    <phoneticPr fontId="58" type="noConversion"/>
  </si>
  <si>
    <t>302.22</t>
  </si>
  <si>
    <t>302.23</t>
  </si>
  <si>
    <t>302.24</t>
  </si>
  <si>
    <t>302.41</t>
    <phoneticPr fontId="58" type="noConversion"/>
  </si>
  <si>
    <t>302.42</t>
  </si>
  <si>
    <t>302.43</t>
  </si>
  <si>
    <t>302.44</t>
  </si>
  <si>
    <t>303.01</t>
    <phoneticPr fontId="58" type="noConversion"/>
  </si>
  <si>
    <t>303.02</t>
  </si>
  <si>
    <t>303.03</t>
  </si>
  <si>
    <t>301.01</t>
    <phoneticPr fontId="58" type="noConversion"/>
  </si>
  <si>
    <t>301.02</t>
  </si>
  <si>
    <t>301.03</t>
  </si>
  <si>
    <t>301.21</t>
    <phoneticPr fontId="58" type="noConversion"/>
  </si>
  <si>
    <t>301.22</t>
  </si>
  <si>
    <t>301.23</t>
  </si>
  <si>
    <t>303.41</t>
    <phoneticPr fontId="58" type="noConversion"/>
  </si>
  <si>
    <t>303.42</t>
  </si>
  <si>
    <t>303.43</t>
  </si>
  <si>
    <t>303.44</t>
  </si>
  <si>
    <t>303.45</t>
  </si>
  <si>
    <t>303.46</t>
  </si>
  <si>
    <t>303.47</t>
  </si>
  <si>
    <t>303.48</t>
  </si>
  <si>
    <t>301.41</t>
    <phoneticPr fontId="58" type="noConversion"/>
  </si>
  <si>
    <t>301.42</t>
  </si>
  <si>
    <t>301.43</t>
  </si>
  <si>
    <t>303.21</t>
    <phoneticPr fontId="58" type="noConversion"/>
  </si>
  <si>
    <t>303.22</t>
  </si>
  <si>
    <t>303.23</t>
  </si>
  <si>
    <t>303.25</t>
  </si>
  <si>
    <t>105.08</t>
    <phoneticPr fontId="58" type="noConversion"/>
  </si>
  <si>
    <t>107.02</t>
    <phoneticPr fontId="58" type="noConversion"/>
  </si>
  <si>
    <t>x</t>
    <phoneticPr fontId="58" type="noConversion"/>
  </si>
  <si>
    <t>保險絲配件</t>
    <phoneticPr fontId="2" type="noConversion"/>
  </si>
  <si>
    <t>306.02</t>
  </si>
  <si>
    <t>306.03</t>
  </si>
  <si>
    <t>306.05</t>
  </si>
  <si>
    <t>306.06</t>
  </si>
  <si>
    <t>304.23</t>
  </si>
  <si>
    <t>304.25</t>
  </si>
  <si>
    <t>304.26</t>
  </si>
  <si>
    <t>304.27</t>
  </si>
  <si>
    <t>304.28</t>
  </si>
  <si>
    <t>304.29</t>
  </si>
  <si>
    <t>304.30</t>
  </si>
  <si>
    <t>304.31</t>
  </si>
  <si>
    <t>304.32</t>
  </si>
  <si>
    <t>306.07</t>
    <phoneticPr fontId="58" type="noConversion"/>
  </si>
  <si>
    <t>306.08</t>
  </si>
  <si>
    <t>305.01</t>
    <phoneticPr fontId="58" type="noConversion"/>
  </si>
  <si>
    <t>305.02</t>
  </si>
  <si>
    <t>305.03</t>
  </si>
  <si>
    <t>305.04</t>
  </si>
  <si>
    <t>305.05</t>
  </si>
  <si>
    <t>305.06</t>
  </si>
  <si>
    <t>305.07</t>
  </si>
  <si>
    <t>305.08</t>
  </si>
  <si>
    <t>305.09</t>
  </si>
  <si>
    <t>305.10</t>
  </si>
  <si>
    <t>306.09</t>
  </si>
  <si>
    <t>304.33</t>
  </si>
  <si>
    <t>304.34</t>
  </si>
  <si>
    <t>304.35</t>
  </si>
  <si>
    <t>304.36</t>
  </si>
  <si>
    <t>304.37</t>
  </si>
  <si>
    <t>304.38</t>
  </si>
  <si>
    <t>304.39</t>
  </si>
  <si>
    <t>305.11</t>
  </si>
  <si>
    <t>305.12</t>
  </si>
  <si>
    <t>305.13</t>
  </si>
  <si>
    <t>305.14</t>
  </si>
  <si>
    <t>305.15</t>
  </si>
  <si>
    <t>305.16</t>
  </si>
  <si>
    <t>305.17</t>
  </si>
  <si>
    <t>305.18</t>
  </si>
  <si>
    <t>305.19</t>
  </si>
  <si>
    <t>107.04</t>
    <phoneticPr fontId="58" type="noConversion"/>
  </si>
  <si>
    <t>107.05</t>
  </si>
  <si>
    <t>107.06</t>
  </si>
  <si>
    <t>107.07</t>
  </si>
  <si>
    <t>107.08</t>
  </si>
  <si>
    <t>107.09</t>
  </si>
  <si>
    <t>107.10</t>
  </si>
  <si>
    <t>107.11</t>
  </si>
  <si>
    <t>107.12</t>
  </si>
  <si>
    <t>107.13</t>
  </si>
  <si>
    <t>107.14</t>
  </si>
  <si>
    <t>107.15</t>
  </si>
  <si>
    <t>107.16</t>
  </si>
  <si>
    <t>107.17</t>
  </si>
  <si>
    <t>283.01</t>
    <phoneticPr fontId="58" type="noConversion"/>
  </si>
  <si>
    <t>283.02</t>
  </si>
  <si>
    <t>283.06</t>
  </si>
  <si>
    <t>283.07</t>
  </si>
  <si>
    <t>283.08</t>
  </si>
  <si>
    <t>283.11</t>
  </si>
  <si>
    <t>283.12</t>
  </si>
  <si>
    <t>501.01</t>
    <phoneticPr fontId="58" type="noConversion"/>
  </si>
  <si>
    <t>501.02</t>
  </si>
  <si>
    <t>501.03</t>
  </si>
  <si>
    <t>501.04</t>
  </si>
  <si>
    <t>501.05</t>
  </si>
  <si>
    <t>501.06</t>
  </si>
  <si>
    <t>501.07</t>
    <phoneticPr fontId="58" type="noConversion"/>
  </si>
  <si>
    <t>501.08</t>
  </si>
  <si>
    <t>501.09</t>
  </si>
  <si>
    <t>501.10</t>
  </si>
  <si>
    <t>501.11</t>
  </si>
  <si>
    <t>501.12</t>
  </si>
  <si>
    <t>501.13</t>
  </si>
  <si>
    <t>501.14</t>
  </si>
  <si>
    <t>501.15</t>
  </si>
  <si>
    <t>501.16</t>
  </si>
  <si>
    <t>501.17</t>
  </si>
  <si>
    <t>501.18</t>
  </si>
  <si>
    <t>501.19</t>
  </si>
  <si>
    <t>501.20</t>
  </si>
  <si>
    <t>402.02</t>
    <phoneticPr fontId="58" type="noConversion"/>
  </si>
  <si>
    <t>501.21</t>
    <phoneticPr fontId="58" type="noConversion"/>
  </si>
  <si>
    <t>501.22</t>
  </si>
  <si>
    <t>501.23</t>
  </si>
  <si>
    <t>501.24</t>
  </si>
  <si>
    <t>501.25</t>
  </si>
  <si>
    <t>501.26</t>
  </si>
  <si>
    <t>501.27</t>
  </si>
  <si>
    <t>派對眼鏡</t>
    <phoneticPr fontId="2" type="noConversion"/>
  </si>
  <si>
    <t>503.01</t>
    <phoneticPr fontId="58" type="noConversion"/>
  </si>
  <si>
    <t>503.02</t>
  </si>
  <si>
    <t>503.03</t>
  </si>
  <si>
    <t>503.04</t>
  </si>
  <si>
    <t>503.05</t>
  </si>
  <si>
    <t>503.06</t>
  </si>
  <si>
    <t>504.01</t>
    <phoneticPr fontId="58" type="noConversion"/>
  </si>
  <si>
    <t>504.02</t>
  </si>
  <si>
    <t>504.03</t>
  </si>
  <si>
    <t>504.04</t>
  </si>
  <si>
    <r>
      <t>502.18</t>
    </r>
    <r>
      <rPr>
        <sz val="12"/>
        <rFont val="宋体"/>
        <charset val="134"/>
      </rPr>
      <t/>
    </r>
    <phoneticPr fontId="58" type="noConversion"/>
  </si>
  <si>
    <t>502.19</t>
  </si>
  <si>
    <t>502.20</t>
  </si>
  <si>
    <t>502.21</t>
  </si>
  <si>
    <t>502.22</t>
  </si>
  <si>
    <t>502.23</t>
  </si>
  <si>
    <t>502.24</t>
  </si>
  <si>
    <t>502.25</t>
  </si>
  <si>
    <t>502.26</t>
  </si>
  <si>
    <t>502.28</t>
  </si>
  <si>
    <t>502.29</t>
  </si>
  <si>
    <t>502.30</t>
  </si>
  <si>
    <t>502.31</t>
  </si>
  <si>
    <t>502.32</t>
  </si>
  <si>
    <t>501.28</t>
    <phoneticPr fontId="58" type="noConversion"/>
  </si>
  <si>
    <t>501.29</t>
  </si>
  <si>
    <t>501.30</t>
  </si>
  <si>
    <t>501.31</t>
  </si>
  <si>
    <t>501.32</t>
  </si>
  <si>
    <t>501.33</t>
  </si>
  <si>
    <t>501.34</t>
  </si>
  <si>
    <t>501.35</t>
  </si>
  <si>
    <t>LED眼鏡平光黃片</t>
    <phoneticPr fontId="58" type="noConversion"/>
  </si>
  <si>
    <t>501.36</t>
  </si>
  <si>
    <t>bsku</t>
    <phoneticPr fontId="58" type="noConversion"/>
  </si>
  <si>
    <t>8絲封口泡沫袋加厚5*8cm-2*3"</t>
    <phoneticPr fontId="58" type="noConversion"/>
  </si>
  <si>
    <t>8絲封口泡沫袋加厚8*9cm-3*3.5"</t>
    <phoneticPr fontId="58" type="noConversion"/>
  </si>
  <si>
    <t>8絲封口泡沫袋加厚8*13cm-3*5"</t>
    <phoneticPr fontId="58" type="noConversion"/>
  </si>
  <si>
    <t>支付寶: 67.6元</t>
    <phoneticPr fontId="58" type="noConversion"/>
  </si>
  <si>
    <t>IBM亮面</t>
    <phoneticPr fontId="58" type="noConversion"/>
  </si>
  <si>
    <t>支付寶: 508元</t>
    <phoneticPr fontId="58" type="noConversion"/>
  </si>
  <si>
    <t>支付寶: 86元</t>
    <phoneticPr fontId="58" type="noConversion"/>
  </si>
  <si>
    <r>
      <t>502.11</t>
    </r>
    <r>
      <rPr>
        <sz val="12"/>
        <rFont val="宋体"/>
        <charset val="134"/>
      </rPr>
      <t/>
    </r>
  </si>
  <si>
    <r>
      <t>502.12</t>
    </r>
    <r>
      <rPr>
        <sz val="12"/>
        <rFont val="宋体"/>
        <charset val="134"/>
      </rPr>
      <t/>
    </r>
  </si>
  <si>
    <r>
      <t>502.13</t>
    </r>
    <r>
      <rPr>
        <sz val="12"/>
        <rFont val="宋体"/>
        <charset val="134"/>
      </rPr>
      <t/>
    </r>
  </si>
  <si>
    <r>
      <t>502.14</t>
    </r>
    <r>
      <rPr>
        <sz val="12"/>
        <rFont val="宋体"/>
        <charset val="134"/>
      </rPr>
      <t/>
    </r>
  </si>
  <si>
    <r>
      <t>502.15</t>
    </r>
    <r>
      <rPr>
        <sz val="12"/>
        <rFont val="宋体"/>
        <charset val="134"/>
      </rPr>
      <t/>
    </r>
  </si>
  <si>
    <r>
      <t>502.16</t>
    </r>
    <r>
      <rPr>
        <sz val="12"/>
        <rFont val="宋体"/>
        <charset val="134"/>
      </rPr>
      <t/>
    </r>
  </si>
  <si>
    <r>
      <t>502.17</t>
    </r>
    <r>
      <rPr>
        <sz val="12"/>
        <rFont val="宋体"/>
        <charset val="134"/>
      </rPr>
      <t/>
    </r>
  </si>
  <si>
    <t>支付寶: 63.1元</t>
    <phoneticPr fontId="58" type="noConversion"/>
  </si>
  <si>
    <t>支付寶: 38.25元</t>
    <phoneticPr fontId="58" type="noConversion"/>
  </si>
  <si>
    <t>支付寶: 32元</t>
    <phoneticPr fontId="58" type="noConversion"/>
  </si>
  <si>
    <t>支付寶: 35.4元</t>
    <phoneticPr fontId="58" type="noConversion"/>
  </si>
  <si>
    <t>支付寶: 31.7元</t>
    <phoneticPr fontId="58" type="noConversion"/>
  </si>
  <si>
    <t>支付寶: 28元 + 紅包 5元</t>
    <phoneticPr fontId="58" type="noConversion"/>
  </si>
  <si>
    <t>支付寶: 485.6 + 66.8元</t>
    <phoneticPr fontId="58" type="noConversion"/>
  </si>
  <si>
    <t>封箱膠帶膠台48mm</t>
    <phoneticPr fontId="58" type="noConversion"/>
  </si>
  <si>
    <t>支付寶: 48元</t>
    <phoneticPr fontId="58" type="noConversion"/>
  </si>
  <si>
    <t>支付寶: 102.6元</t>
    <phoneticPr fontId="58" type="noConversion"/>
  </si>
  <si>
    <t>支付寶: 29.9元</t>
    <phoneticPr fontId="58" type="noConversion"/>
  </si>
  <si>
    <t>支付寶: 104元</t>
    <phoneticPr fontId="58" type="noConversion"/>
  </si>
  <si>
    <t>支付寶: 108.56元</t>
    <phoneticPr fontId="58" type="noConversion"/>
  </si>
  <si>
    <t>支付寶: 37.9元 + 手機折扣 0.1元</t>
    <phoneticPr fontId="58" type="noConversion"/>
  </si>
  <si>
    <t>支付寶: 32.6元</t>
    <phoneticPr fontId="58" type="noConversion"/>
  </si>
  <si>
    <t>支付寶: 206.9元</t>
    <phoneticPr fontId="58" type="noConversion"/>
  </si>
  <si>
    <t>支付寶: 39.68元 + 優惠 6.12元</t>
    <phoneticPr fontId="58" type="noConversion"/>
  </si>
  <si>
    <t>支付寶: 76.2元</t>
    <phoneticPr fontId="58" type="noConversion"/>
  </si>
  <si>
    <t>D支付寶: 20.05元 + 紅包 0.2元</t>
    <phoneticPr fontId="58" type="noConversion"/>
  </si>
  <si>
    <t>支付寶: 59.12元</t>
    <phoneticPr fontId="58" type="noConversion"/>
  </si>
  <si>
    <t>支付寶: 115元</t>
    <phoneticPr fontId="58" type="noConversion"/>
  </si>
  <si>
    <t>支付寶: 84元</t>
    <phoneticPr fontId="58" type="noConversion"/>
  </si>
  <si>
    <t>支付寶: 58.98元</t>
    <phoneticPr fontId="58" type="noConversion"/>
  </si>
  <si>
    <t>支付寶: 39.7元</t>
    <phoneticPr fontId="58" type="noConversion"/>
  </si>
  <si>
    <t>支付寶: 142.35元</t>
    <phoneticPr fontId="58" type="noConversion"/>
  </si>
  <si>
    <t>支付寶: 49.82元</t>
    <phoneticPr fontId="58" type="noConversion"/>
  </si>
  <si>
    <t>支付寶: 98.28元</t>
    <phoneticPr fontId="58" type="noConversion"/>
  </si>
  <si>
    <t>廠商進貨: 800pcs/bag-&gt;自行分裝: 400pcs/bag</t>
    <phoneticPr fontId="58" type="noConversion"/>
  </si>
  <si>
    <t>支付寶: 109.3元</t>
    <phoneticPr fontId="58" type="noConversion"/>
  </si>
  <si>
    <t>支付寶: 62.5元</t>
    <phoneticPr fontId="58" type="noConversion"/>
  </si>
  <si>
    <t>廠商進貨: 1000pcs/bag-&gt;自行分裝: 80pcs/bag</t>
    <phoneticPr fontId="58" type="noConversion"/>
  </si>
  <si>
    <t>廠商進貨: 500pcs/bag-&gt;自行分裝: 50pcs/bag</t>
    <phoneticPr fontId="58" type="noConversion"/>
  </si>
  <si>
    <t>廠商進貨: 250pcs/bag-&gt;自行分裝: 25pcs/bag</t>
    <phoneticPr fontId="58" type="noConversion"/>
  </si>
  <si>
    <t>支付寶: 65.5元</t>
    <phoneticPr fontId="58" type="noConversion"/>
  </si>
  <si>
    <t>廠商進貨:5色/bag-&gt;自行分裝: 各色/bag</t>
    <phoneticPr fontId="58" type="noConversion"/>
  </si>
  <si>
    <t>廠商進貨:5色*2條/bag*10包-&gt;自行分裝: 5色*各20條</t>
    <phoneticPr fontId="58" type="noConversion"/>
  </si>
  <si>
    <t>支付寶: 332.6元</t>
    <phoneticPr fontId="58" type="noConversion"/>
  </si>
  <si>
    <t>支付寶: 389元</t>
    <phoneticPr fontId="58" type="noConversion"/>
  </si>
  <si>
    <t>支付寶: 235.7元</t>
    <phoneticPr fontId="58" type="noConversion"/>
  </si>
  <si>
    <t>支付寶: 124.6元</t>
    <phoneticPr fontId="58" type="noConversion"/>
  </si>
  <si>
    <t>廠商進貨:3尺寸/bag-&gt;自行分裝: 各尺寸/bag</t>
    <phoneticPr fontId="58" type="noConversion"/>
  </si>
  <si>
    <t>支付寶: 188元</t>
    <phoneticPr fontId="58" type="noConversion"/>
  </si>
  <si>
    <t>支付寶: 130元</t>
    <phoneticPr fontId="58" type="noConversion"/>
  </si>
  <si>
    <t>105.10</t>
    <phoneticPr fontId="58" type="noConversion"/>
  </si>
  <si>
    <r>
      <t>105.11</t>
    </r>
    <r>
      <rPr>
        <sz val="12"/>
        <rFont val="宋体"/>
        <charset val="134"/>
      </rPr>
      <t/>
    </r>
  </si>
  <si>
    <r>
      <t>105.12</t>
    </r>
    <r>
      <rPr>
        <sz val="12"/>
        <rFont val="宋体"/>
        <charset val="134"/>
      </rPr>
      <t/>
    </r>
  </si>
  <si>
    <r>
      <t>105.13</t>
    </r>
    <r>
      <rPr>
        <sz val="12"/>
        <rFont val="宋体"/>
        <charset val="134"/>
      </rPr>
      <t/>
    </r>
  </si>
  <si>
    <r>
      <t>105.14</t>
    </r>
    <r>
      <rPr>
        <sz val="12"/>
        <rFont val="宋体"/>
        <charset val="134"/>
      </rPr>
      <t/>
    </r>
  </si>
  <si>
    <r>
      <t>105.15</t>
    </r>
    <r>
      <rPr>
        <sz val="12"/>
        <rFont val="宋体"/>
        <charset val="134"/>
      </rPr>
      <t/>
    </r>
  </si>
  <si>
    <r>
      <t>105.16</t>
    </r>
    <r>
      <rPr>
        <sz val="12"/>
        <rFont val="宋体"/>
        <charset val="134"/>
      </rPr>
      <t/>
    </r>
  </si>
  <si>
    <r>
      <t>105.18</t>
    </r>
    <r>
      <rPr>
        <sz val="12"/>
        <rFont val="宋体"/>
        <charset val="134"/>
      </rPr>
      <t/>
    </r>
  </si>
  <si>
    <r>
      <t>105.19</t>
    </r>
    <r>
      <rPr>
        <sz val="12"/>
        <rFont val="宋体"/>
        <charset val="134"/>
      </rPr>
      <t/>
    </r>
  </si>
  <si>
    <r>
      <t>105.20</t>
    </r>
    <r>
      <rPr>
        <sz val="12"/>
        <rFont val="宋体"/>
        <charset val="134"/>
      </rPr>
      <t/>
    </r>
  </si>
  <si>
    <r>
      <t>105.21</t>
    </r>
    <r>
      <rPr>
        <sz val="12"/>
        <rFont val="宋体"/>
        <charset val="134"/>
      </rPr>
      <t/>
    </r>
  </si>
  <si>
    <r>
      <t>105.22</t>
    </r>
    <r>
      <rPr>
        <sz val="12"/>
        <rFont val="宋体"/>
        <charset val="134"/>
      </rPr>
      <t/>
    </r>
  </si>
  <si>
    <r>
      <t>105.23</t>
    </r>
    <r>
      <rPr>
        <sz val="12"/>
        <rFont val="宋体"/>
        <charset val="134"/>
      </rPr>
      <t/>
    </r>
  </si>
  <si>
    <r>
      <t>105.24</t>
    </r>
    <r>
      <rPr>
        <sz val="12"/>
        <rFont val="宋体"/>
        <charset val="134"/>
      </rPr>
      <t/>
    </r>
  </si>
  <si>
    <t>支付寶: 581.96元 + 優惠: 30.59元</t>
    <phoneticPr fontId="58" type="noConversion"/>
  </si>
  <si>
    <t>支付寶: 212.5 + 18元</t>
    <phoneticPr fontId="58" type="noConversion"/>
  </si>
  <si>
    <t>支付寶: 260.74元 - 退款 77.72元</t>
    <phoneticPr fontId="58" type="noConversion"/>
  </si>
  <si>
    <t>106.10</t>
    <phoneticPr fontId="58" type="noConversion"/>
  </si>
  <si>
    <t>支付寶: 89.7元</t>
    <phoneticPr fontId="58" type="noConversion"/>
  </si>
  <si>
    <t>106.20</t>
    <phoneticPr fontId="58" type="noConversion"/>
  </si>
  <si>
    <t>支付寶: 84.8元</t>
    <phoneticPr fontId="58" type="noConversion"/>
  </si>
  <si>
    <t>支付寶: 700 + 810元</t>
    <phoneticPr fontId="58" type="noConversion"/>
  </si>
  <si>
    <t>支付寶: 31.43元 + 紅包: 5元</t>
    <phoneticPr fontId="58" type="noConversion"/>
  </si>
  <si>
    <t>支付寶: 20.25元 + 微信: 9.41元 + 紅包: 5元</t>
    <phoneticPr fontId="58" type="noConversion"/>
  </si>
  <si>
    <r>
      <t>103.11</t>
    </r>
    <r>
      <rPr>
        <sz val="12"/>
        <rFont val="宋体"/>
        <charset val="134"/>
      </rPr>
      <t/>
    </r>
  </si>
  <si>
    <r>
      <t>103.12</t>
    </r>
    <r>
      <rPr>
        <sz val="12"/>
        <rFont val="宋体"/>
        <charset val="134"/>
      </rPr>
      <t/>
    </r>
  </si>
  <si>
    <r>
      <t>103.13</t>
    </r>
    <r>
      <rPr>
        <sz val="12"/>
        <rFont val="宋体"/>
        <charset val="134"/>
      </rPr>
      <t/>
    </r>
  </si>
  <si>
    <r>
      <t>103.14</t>
    </r>
    <r>
      <rPr>
        <sz val="12"/>
        <rFont val="宋体"/>
        <charset val="134"/>
      </rPr>
      <t/>
    </r>
  </si>
  <si>
    <r>
      <t>103.15</t>
    </r>
    <r>
      <rPr>
        <sz val="12"/>
        <rFont val="宋体"/>
        <charset val="134"/>
      </rPr>
      <t/>
    </r>
  </si>
  <si>
    <r>
      <t>103.16</t>
    </r>
    <r>
      <rPr>
        <sz val="12"/>
        <rFont val="宋体"/>
        <charset val="134"/>
      </rPr>
      <t/>
    </r>
  </si>
  <si>
    <r>
      <t>103.18</t>
    </r>
    <r>
      <rPr>
        <sz val="12"/>
        <rFont val="宋体"/>
        <charset val="134"/>
      </rPr>
      <t/>
    </r>
  </si>
  <si>
    <r>
      <t>103.20</t>
    </r>
    <r>
      <rPr>
        <sz val="12"/>
        <rFont val="宋体"/>
        <charset val="134"/>
      </rPr>
      <t/>
    </r>
  </si>
  <si>
    <r>
      <t>103.22</t>
    </r>
    <r>
      <rPr>
        <sz val="12"/>
        <rFont val="宋体"/>
        <charset val="134"/>
      </rPr>
      <t/>
    </r>
  </si>
  <si>
    <r>
      <t>103.23</t>
    </r>
    <r>
      <rPr>
        <sz val="12"/>
        <rFont val="宋体"/>
        <charset val="134"/>
      </rPr>
      <t/>
    </r>
  </si>
  <si>
    <t>支付寶: 442.5元 + 殺價: 10元</t>
    <phoneticPr fontId="58" type="noConversion"/>
  </si>
  <si>
    <t>ctn</t>
    <phoneticPr fontId="58" type="noConversion"/>
  </si>
  <si>
    <t>101.10</t>
    <phoneticPr fontId="58" type="noConversion"/>
  </si>
  <si>
    <t>支付寶: 5455元</t>
    <phoneticPr fontId="58" type="noConversion"/>
  </si>
  <si>
    <t>13絲白快遞袋4*6"</t>
    <phoneticPr fontId="58" type="noConversion"/>
  </si>
  <si>
    <t>13絲白快遞袋5*7"</t>
    <phoneticPr fontId="58" type="noConversion"/>
  </si>
  <si>
    <t>13絲白快遞袋6*9"</t>
    <phoneticPr fontId="58" type="noConversion"/>
  </si>
  <si>
    <t>13絲白快遞袋7.5*10.5"</t>
    <phoneticPr fontId="58" type="noConversion"/>
  </si>
  <si>
    <t>13絲白快遞袋9*12"</t>
    <phoneticPr fontId="58" type="noConversion"/>
  </si>
  <si>
    <t>13絲白快遞袋10*13"</t>
    <phoneticPr fontId="58" type="noConversion"/>
  </si>
  <si>
    <t>13絲白快遞袋12*15.5"</t>
    <phoneticPr fontId="58" type="noConversion"/>
  </si>
  <si>
    <t>13絲白快遞袋14.5*19"</t>
    <phoneticPr fontId="58" type="noConversion"/>
  </si>
  <si>
    <t>13絲白快遞袋19*24"</t>
    <phoneticPr fontId="58" type="noConversion"/>
  </si>
  <si>
    <t>104.10</t>
    <phoneticPr fontId="58" type="noConversion"/>
  </si>
  <si>
    <t>13絲白快遞袋24*24"</t>
    <phoneticPr fontId="58" type="noConversion"/>
  </si>
  <si>
    <t>支付寶: 294元</t>
    <phoneticPr fontId="58" type="noConversion"/>
  </si>
  <si>
    <t>支付寶: 130.6元</t>
    <phoneticPr fontId="58" type="noConversion"/>
  </si>
  <si>
    <t>107.10</t>
    <phoneticPr fontId="58" type="noConversion"/>
  </si>
  <si>
    <t>支付寶: 95.8元</t>
    <phoneticPr fontId="58" type="noConversion"/>
  </si>
  <si>
    <t>支付寶: 164.5元</t>
    <phoneticPr fontId="58" type="noConversion"/>
  </si>
  <si>
    <t>支付寶: 121.2元</t>
    <phoneticPr fontId="58" type="noConversion"/>
  </si>
  <si>
    <t>支付寶: 110.99元 + 優惠: 8.26元</t>
    <phoneticPr fontId="58" type="noConversion"/>
  </si>
  <si>
    <t>209.10</t>
    <phoneticPr fontId="58" type="noConversion"/>
  </si>
  <si>
    <t>支付寶: 102元</t>
    <phoneticPr fontId="58" type="noConversion"/>
  </si>
  <si>
    <t>235.01</t>
    <phoneticPr fontId="58" type="noConversion"/>
  </si>
  <si>
    <r>
      <t>235.02</t>
    </r>
    <r>
      <rPr>
        <sz val="12"/>
        <rFont val="宋体"/>
        <charset val="134"/>
      </rPr>
      <t/>
    </r>
  </si>
  <si>
    <r>
      <t>235.03</t>
    </r>
    <r>
      <rPr>
        <sz val="12"/>
        <rFont val="宋体"/>
        <charset val="134"/>
      </rPr>
      <t/>
    </r>
  </si>
  <si>
    <r>
      <t>235.04</t>
    </r>
    <r>
      <rPr>
        <sz val="12"/>
        <rFont val="宋体"/>
        <charset val="134"/>
      </rPr>
      <t/>
    </r>
  </si>
  <si>
    <t>支付寶: 82元</t>
    <phoneticPr fontId="58" type="noConversion"/>
  </si>
  <si>
    <t>支付寶: 68元</t>
    <phoneticPr fontId="58" type="noConversion"/>
  </si>
  <si>
    <t>支付寶: 29.6元 + 紅包: 5元</t>
    <phoneticPr fontId="58" type="noConversion"/>
  </si>
  <si>
    <t>213.01</t>
    <phoneticPr fontId="58" type="noConversion"/>
  </si>
  <si>
    <r>
      <t>213.02</t>
    </r>
    <r>
      <rPr>
        <sz val="12"/>
        <rFont val="宋体"/>
        <charset val="134"/>
      </rPr>
      <t/>
    </r>
  </si>
  <si>
    <r>
      <t>213.03</t>
    </r>
    <r>
      <rPr>
        <sz val="12"/>
        <rFont val="宋体"/>
        <charset val="134"/>
      </rPr>
      <t/>
    </r>
  </si>
  <si>
    <r>
      <t>213.04</t>
    </r>
    <r>
      <rPr>
        <sz val="12"/>
        <rFont val="宋体"/>
        <charset val="134"/>
      </rPr>
      <t/>
    </r>
  </si>
  <si>
    <r>
      <t>213.05</t>
    </r>
    <r>
      <rPr>
        <sz val="12"/>
        <rFont val="宋体"/>
        <charset val="134"/>
      </rPr>
      <t/>
    </r>
  </si>
  <si>
    <r>
      <t>213.06</t>
    </r>
    <r>
      <rPr>
        <sz val="12"/>
        <rFont val="宋体"/>
        <charset val="134"/>
      </rPr>
      <t/>
    </r>
  </si>
  <si>
    <r>
      <t>213.07</t>
    </r>
    <r>
      <rPr>
        <sz val="12"/>
        <rFont val="宋体"/>
        <charset val="134"/>
      </rPr>
      <t/>
    </r>
  </si>
  <si>
    <r>
      <t>213.08</t>
    </r>
    <r>
      <rPr>
        <sz val="12"/>
        <rFont val="宋体"/>
        <charset val="134"/>
      </rPr>
      <t/>
    </r>
  </si>
  <si>
    <r>
      <t>213.09</t>
    </r>
    <r>
      <rPr>
        <sz val="12"/>
        <rFont val="宋体"/>
        <charset val="134"/>
      </rPr>
      <t/>
    </r>
  </si>
  <si>
    <r>
      <t>213.10</t>
    </r>
    <r>
      <rPr>
        <sz val="12"/>
        <rFont val="宋体"/>
        <charset val="134"/>
      </rPr>
      <t/>
    </r>
  </si>
  <si>
    <r>
      <t>213.11</t>
    </r>
    <r>
      <rPr>
        <sz val="12"/>
        <rFont val="宋体"/>
        <charset val="134"/>
      </rPr>
      <t/>
    </r>
  </si>
  <si>
    <r>
      <t>213.12</t>
    </r>
    <r>
      <rPr>
        <sz val="12"/>
        <rFont val="宋体"/>
        <charset val="134"/>
      </rPr>
      <t/>
    </r>
  </si>
  <si>
    <r>
      <t>213.13</t>
    </r>
    <r>
      <rPr>
        <sz val="12"/>
        <rFont val="宋体"/>
        <charset val="134"/>
      </rPr>
      <t/>
    </r>
  </si>
  <si>
    <r>
      <t>213.14</t>
    </r>
    <r>
      <rPr>
        <sz val="12"/>
        <rFont val="宋体"/>
        <charset val="134"/>
      </rPr>
      <t/>
    </r>
  </si>
  <si>
    <r>
      <t>213.15</t>
    </r>
    <r>
      <rPr>
        <sz val="12"/>
        <rFont val="宋体"/>
        <charset val="134"/>
      </rPr>
      <t/>
    </r>
  </si>
  <si>
    <r>
      <t>213.16</t>
    </r>
    <r>
      <rPr>
        <sz val="12"/>
        <rFont val="宋体"/>
        <charset val="134"/>
      </rPr>
      <t/>
    </r>
  </si>
  <si>
    <r>
      <t>213.17</t>
    </r>
    <r>
      <rPr>
        <sz val="12"/>
        <rFont val="宋体"/>
        <charset val="134"/>
      </rPr>
      <t/>
    </r>
  </si>
  <si>
    <r>
      <t>213.18</t>
    </r>
    <r>
      <rPr>
        <sz val="12"/>
        <rFont val="宋体"/>
        <charset val="134"/>
      </rPr>
      <t/>
    </r>
  </si>
  <si>
    <r>
      <t>213.19</t>
    </r>
    <r>
      <rPr>
        <sz val="12"/>
        <rFont val="宋体"/>
        <charset val="134"/>
      </rPr>
      <t/>
    </r>
  </si>
  <si>
    <r>
      <t>213.20</t>
    </r>
    <r>
      <rPr>
        <sz val="12"/>
        <rFont val="宋体"/>
        <charset val="134"/>
      </rPr>
      <t/>
    </r>
  </si>
  <si>
    <r>
      <t>213.21</t>
    </r>
    <r>
      <rPr>
        <sz val="12"/>
        <rFont val="宋体"/>
        <charset val="134"/>
      </rPr>
      <t/>
    </r>
  </si>
  <si>
    <r>
      <t>213.22</t>
    </r>
    <r>
      <rPr>
        <sz val="12"/>
        <rFont val="宋体"/>
        <charset val="134"/>
      </rPr>
      <t/>
    </r>
  </si>
  <si>
    <t>支付寶: 147.03元</t>
    <phoneticPr fontId="58" type="noConversion"/>
  </si>
  <si>
    <t>支付寶: 563.15元</t>
    <phoneticPr fontId="58" type="noConversion"/>
  </si>
  <si>
    <t>8絲封口泡沫袋加厚6.5*8cm-2.5*3"</t>
    <phoneticPr fontId="58" type="noConversion"/>
  </si>
  <si>
    <t>支付寶: 160元</t>
    <phoneticPr fontId="58" type="noConversion"/>
  </si>
  <si>
    <t>支付寶: 11.42 + 300.74 + 216.18 + 286.2元</t>
    <phoneticPr fontId="58" type="noConversion"/>
  </si>
  <si>
    <t>支付寶: 92.26元</t>
    <phoneticPr fontId="58" type="noConversion"/>
  </si>
  <si>
    <t>支付寶: 122元</t>
    <phoneticPr fontId="58" type="noConversion"/>
  </si>
  <si>
    <t>支付寶: 88.7元</t>
    <phoneticPr fontId="58" type="noConversion"/>
  </si>
  <si>
    <t>支付寶: 248.76 + 175.07元</t>
    <phoneticPr fontId="58" type="noConversion"/>
  </si>
  <si>
    <t>304.01</t>
    <phoneticPr fontId="58" type="noConversion"/>
  </si>
  <si>
    <r>
      <t>304.13</t>
    </r>
    <r>
      <rPr>
        <sz val="12"/>
        <rFont val="宋体"/>
        <charset val="134"/>
      </rPr>
      <t/>
    </r>
  </si>
  <si>
    <r>
      <t>304.14</t>
    </r>
    <r>
      <rPr>
        <sz val="12"/>
        <rFont val="宋体"/>
        <charset val="134"/>
      </rPr>
      <t/>
    </r>
  </si>
  <si>
    <r>
      <t>304.15</t>
    </r>
    <r>
      <rPr>
        <sz val="12"/>
        <rFont val="宋体"/>
        <charset val="134"/>
      </rPr>
      <t/>
    </r>
  </si>
  <si>
    <r>
      <t>304.16</t>
    </r>
    <r>
      <rPr>
        <sz val="12"/>
        <rFont val="宋体"/>
        <charset val="134"/>
      </rPr>
      <t/>
    </r>
  </si>
  <si>
    <r>
      <t>304.17</t>
    </r>
    <r>
      <rPr>
        <sz val="12"/>
        <rFont val="宋体"/>
        <charset val="134"/>
      </rPr>
      <t/>
    </r>
  </si>
  <si>
    <r>
      <t>304.18</t>
    </r>
    <r>
      <rPr>
        <sz val="12"/>
        <rFont val="宋体"/>
        <charset val="134"/>
      </rPr>
      <t/>
    </r>
  </si>
  <si>
    <r>
      <t>304.19</t>
    </r>
    <r>
      <rPr>
        <sz val="12"/>
        <rFont val="宋体"/>
        <charset val="134"/>
      </rPr>
      <t/>
    </r>
  </si>
  <si>
    <r>
      <t>304.20</t>
    </r>
    <r>
      <rPr>
        <sz val="12"/>
        <rFont val="宋体"/>
        <charset val="134"/>
      </rPr>
      <t/>
    </r>
  </si>
  <si>
    <r>
      <t>304.21</t>
    </r>
    <r>
      <rPr>
        <sz val="12"/>
        <rFont val="宋体"/>
        <charset val="134"/>
      </rPr>
      <t/>
    </r>
  </si>
  <si>
    <t>支付寶: 365.4元</t>
    <phoneticPr fontId="58" type="noConversion"/>
  </si>
  <si>
    <t>微信: 5.92 + 1.91元 + 紅包: 5元</t>
    <phoneticPr fontId="58" type="noConversion"/>
  </si>
  <si>
    <t>10絲PE自封袋4cm*6cm</t>
    <phoneticPr fontId="58" type="noConversion"/>
  </si>
  <si>
    <t>10絲PE自封袋5cm*7cm</t>
    <phoneticPr fontId="58" type="noConversion"/>
  </si>
  <si>
    <t>10絲PE自封袋8cm*12cm</t>
    <phoneticPr fontId="58" type="noConversion"/>
  </si>
  <si>
    <t>10絲PE自封袋8cm*21cm</t>
    <phoneticPr fontId="58" type="noConversion"/>
  </si>
  <si>
    <t>10絲PE自封袋10cm*15cm</t>
    <phoneticPr fontId="58" type="noConversion"/>
  </si>
  <si>
    <t>10絲PE自封袋12cm*17cm</t>
    <phoneticPr fontId="58" type="noConversion"/>
  </si>
  <si>
    <t>10絲PE自封袋13cm*18cm</t>
    <phoneticPr fontId="58" type="noConversion"/>
  </si>
  <si>
    <t>10絲PE自封袋15cm*20cm</t>
    <phoneticPr fontId="58" type="noConversion"/>
  </si>
  <si>
    <t>20絲PE自封袋3.5cm*5cm</t>
    <phoneticPr fontId="58" type="noConversion"/>
  </si>
  <si>
    <t>20絲PE自封袋3cm*3cm</t>
    <phoneticPr fontId="58" type="noConversion"/>
  </si>
  <si>
    <t>20絲PE自封袋1.8cm*2.5cm</t>
    <phoneticPr fontId="58" type="noConversion"/>
  </si>
  <si>
    <t>20絲PE自封袋3cm*4cm</t>
    <phoneticPr fontId="58" type="noConversion"/>
  </si>
  <si>
    <t>20絲PE自封袋2cm*3cm</t>
    <phoneticPr fontId="58" type="noConversion"/>
  </si>
  <si>
    <t>20絲PE自封袋2.5cm*3.5cm</t>
    <phoneticPr fontId="58" type="noConversion"/>
  </si>
  <si>
    <t>支付寶: 742.06 + 49.2元 + 優惠: 39.04元</t>
    <phoneticPr fontId="58" type="noConversion"/>
  </si>
  <si>
    <t>504.05</t>
    <phoneticPr fontId="58" type="noConversion"/>
  </si>
  <si>
    <t>504.06</t>
  </si>
  <si>
    <t>504.07</t>
  </si>
  <si>
    <t>504.08</t>
  </si>
  <si>
    <t>504.09</t>
  </si>
  <si>
    <t>502.34</t>
    <phoneticPr fontId="58" type="noConversion"/>
  </si>
  <si>
    <t>502.35</t>
  </si>
  <si>
    <t>502.36</t>
  </si>
  <si>
    <t>502.38</t>
  </si>
  <si>
    <t>502.39</t>
  </si>
  <si>
    <t>502.40</t>
    <phoneticPr fontId="58" type="noConversion"/>
  </si>
  <si>
    <t>502.41</t>
  </si>
  <si>
    <t>502.42</t>
  </si>
  <si>
    <t>502.43</t>
  </si>
  <si>
    <t>502.44</t>
  </si>
  <si>
    <t>502.45</t>
    <phoneticPr fontId="58" type="noConversion"/>
  </si>
  <si>
    <t>502.46</t>
  </si>
  <si>
    <t>502.47</t>
  </si>
  <si>
    <t>502.48</t>
  </si>
  <si>
    <t>502.49</t>
  </si>
  <si>
    <t>502.50</t>
  </si>
  <si>
    <t>401.01</t>
    <phoneticPr fontId="58" type="noConversion"/>
  </si>
  <si>
    <t>401.02</t>
  </si>
  <si>
    <t>401.03</t>
  </si>
  <si>
    <t>401.04</t>
  </si>
  <si>
    <t>401.05</t>
  </si>
  <si>
    <t>401.06</t>
  </si>
  <si>
    <t>401.07</t>
  </si>
  <si>
    <t>401.08</t>
  </si>
  <si>
    <t>401.09</t>
  </si>
  <si>
    <t>401.10</t>
  </si>
  <si>
    <t>401.11</t>
  </si>
  <si>
    <t>401.12</t>
  </si>
  <si>
    <t>401.13</t>
  </si>
  <si>
    <t>401.14</t>
  </si>
  <si>
    <t>401.15</t>
  </si>
  <si>
    <t>401.16</t>
  </si>
  <si>
    <t>401.17</t>
  </si>
  <si>
    <t>401.18</t>
  </si>
  <si>
    <t>401.19</t>
  </si>
  <si>
    <t>401.20</t>
  </si>
  <si>
    <t>401.21</t>
  </si>
  <si>
    <t>401.22</t>
  </si>
  <si>
    <t>401.23</t>
  </si>
  <si>
    <t>401.24</t>
  </si>
  <si>
    <t>x</t>
    <phoneticPr fontId="58" type="noConversion"/>
  </si>
  <si>
    <t>403.01</t>
    <phoneticPr fontId="58" type="noConversion"/>
  </si>
  <si>
    <t>403.02</t>
  </si>
  <si>
    <t>403.03</t>
  </si>
  <si>
    <t>403.05</t>
  </si>
  <si>
    <t>403.06</t>
  </si>
  <si>
    <t>403.07</t>
  </si>
  <si>
    <t>403.08</t>
  </si>
  <si>
    <t>403.09</t>
  </si>
  <si>
    <t>403.10</t>
  </si>
  <si>
    <t>403.12</t>
  </si>
  <si>
    <t>403.13</t>
  </si>
  <si>
    <t>403.14</t>
  </si>
  <si>
    <t>403.15</t>
  </si>
  <si>
    <t>403.16</t>
  </si>
  <si>
    <t>403.17</t>
  </si>
  <si>
    <t>353.01</t>
    <phoneticPr fontId="58" type="noConversion"/>
  </si>
  <si>
    <t>353.02</t>
  </si>
  <si>
    <t>353.03</t>
  </si>
  <si>
    <t>353.04</t>
  </si>
  <si>
    <t>353.05</t>
  </si>
  <si>
    <t>353.06</t>
  </si>
  <si>
    <t>353.07</t>
  </si>
  <si>
    <t>321.01</t>
    <phoneticPr fontId="58" type="noConversion"/>
  </si>
  <si>
    <t>321.02</t>
  </si>
  <si>
    <t>321.03</t>
  </si>
  <si>
    <t>321.04</t>
  </si>
  <si>
    <r>
      <t>105.17</t>
    </r>
    <r>
      <rPr>
        <sz val="12"/>
        <rFont val="宋体"/>
        <charset val="134"/>
      </rPr>
      <t/>
    </r>
    <phoneticPr fontId="58" type="noConversion"/>
  </si>
  <si>
    <t>花藝膠帶12mm*27m-313秋</t>
    <phoneticPr fontId="58" type="noConversion"/>
  </si>
  <si>
    <t>403.11</t>
    <phoneticPr fontId="58" type="noConversion"/>
  </si>
  <si>
    <t>403.04</t>
    <phoneticPr fontId="58" type="noConversion"/>
  </si>
  <si>
    <t>502.27</t>
    <phoneticPr fontId="58" type="noConversion"/>
  </si>
  <si>
    <t>彈性繃帶50mm*4.5m-新膚色(棕)</t>
    <phoneticPr fontId="58" type="noConversion"/>
  </si>
  <si>
    <t>282.08</t>
    <phoneticPr fontId="58" type="noConversion"/>
  </si>
  <si>
    <t>235.05</t>
    <phoneticPr fontId="58" type="noConversion"/>
  </si>
  <si>
    <t>地毯固定貼片L型120mm*120mm*2mm-白</t>
    <phoneticPr fontId="58" type="noConversion"/>
  </si>
  <si>
    <t>283.05</t>
    <phoneticPr fontId="58" type="noConversion"/>
  </si>
  <si>
    <t>283.03</t>
    <phoneticPr fontId="58" type="noConversion"/>
  </si>
  <si>
    <t>283.04</t>
    <phoneticPr fontId="58" type="noConversion"/>
  </si>
  <si>
    <t>283.09</t>
    <phoneticPr fontId="58" type="noConversion"/>
  </si>
  <si>
    <t>306.10</t>
    <phoneticPr fontId="58" type="noConversion"/>
  </si>
  <si>
    <t>306.11</t>
    <phoneticPr fontId="58" type="noConversion"/>
  </si>
  <si>
    <t>306.01</t>
    <phoneticPr fontId="58" type="noConversion"/>
  </si>
  <si>
    <t>304.02</t>
  </si>
  <si>
    <t>304.03</t>
  </si>
  <si>
    <t>304.04</t>
  </si>
  <si>
    <t>304.05</t>
  </si>
  <si>
    <t>304.06</t>
  </si>
  <si>
    <t>304.07</t>
  </si>
  <si>
    <t>304.08</t>
  </si>
  <si>
    <t>304.09</t>
  </si>
  <si>
    <t>304.22</t>
  </si>
  <si>
    <t>304.10</t>
    <phoneticPr fontId="58" type="noConversion"/>
  </si>
  <si>
    <t>304.11</t>
    <phoneticPr fontId="58" type="noConversion"/>
  </si>
  <si>
    <t>304.12</t>
    <phoneticPr fontId="58" type="noConversion"/>
  </si>
  <si>
    <r>
      <t>304.24</t>
    </r>
    <r>
      <rPr>
        <sz val="12"/>
        <rFont val="宋体"/>
        <charset val="134"/>
      </rPr>
      <t/>
    </r>
    <phoneticPr fontId="58" type="noConversion"/>
  </si>
  <si>
    <t>貓眼大框太陽眼鏡-亮黑灰片</t>
    <phoneticPr fontId="58" type="noConversion"/>
  </si>
  <si>
    <t>裝箱</t>
    <phoneticPr fontId="58" type="noConversion"/>
  </si>
  <si>
    <t>#009</t>
    <phoneticPr fontId="58" type="noConversion"/>
  </si>
  <si>
    <t>#109</t>
    <phoneticPr fontId="58" type="noConversion"/>
  </si>
  <si>
    <t>303.24</t>
    <phoneticPr fontId="58" type="noConversion"/>
  </si>
  <si>
    <t>303.26</t>
    <phoneticPr fontId="58" type="noConversion"/>
  </si>
  <si>
    <t>抗UV尼龍扎帶4*250mm*25pcs</t>
    <phoneticPr fontId="58" type="noConversion"/>
  </si>
  <si>
    <t>水龍頭水口-可調角度銀色圓球</t>
    <phoneticPr fontId="58" type="noConversion"/>
  </si>
  <si>
    <t>#120</t>
    <phoneticPr fontId="58" type="noConversion"/>
  </si>
  <si>
    <t>#108</t>
    <phoneticPr fontId="58" type="noConversion"/>
  </si>
  <si>
    <t>#008</t>
    <phoneticPr fontId="58" type="noConversion"/>
  </si>
  <si>
    <t>迷你片型保險絲-5A-橘</t>
  </si>
  <si>
    <t>迷你片型保險絲-7.5A-咖啡</t>
  </si>
  <si>
    <t>迷你片型保險絲-10A-紅</t>
  </si>
  <si>
    <t>迷你片型保險絲-15A-藍</t>
  </si>
  <si>
    <t>迷你片型保險絲-20A-黃</t>
  </si>
  <si>
    <t>迷你片型保險絲-25A-白</t>
  </si>
  <si>
    <t>迷你片型保險絲-30A-綠</t>
  </si>
  <si>
    <t>迷你片型保險絲-35A-紫</t>
  </si>
  <si>
    <t>迷你片型保險絲-40A-暗紅</t>
  </si>
  <si>
    <t>小片型保險絲-1A</t>
  </si>
  <si>
    <t>小片型保險絲-3A</t>
  </si>
  <si>
    <t>小片型保險絲-5A</t>
  </si>
  <si>
    <t>小片型保險絲-7.5A</t>
  </si>
  <si>
    <t>小片型保險絲-10A</t>
  </si>
  <si>
    <t>小片型保險絲-15A</t>
  </si>
  <si>
    <t>小片型保險絲-20A</t>
  </si>
  <si>
    <t>小片型保險絲-25A</t>
  </si>
  <si>
    <t>小片型保險絲-30A</t>
  </si>
  <si>
    <t>小片型保險絲-35A</t>
  </si>
  <si>
    <t>小片型保險絲-40A</t>
  </si>
  <si>
    <t>中片型保險絲-1A</t>
  </si>
  <si>
    <t>中片型保險絲-3A</t>
  </si>
  <si>
    <t>中片型保險絲-5A</t>
  </si>
  <si>
    <t>中片型保險絲-7.5A</t>
  </si>
  <si>
    <t>中片型保險絲-10A</t>
  </si>
  <si>
    <t>中片型保險絲-15A</t>
  </si>
  <si>
    <t>中片型保險絲-20A</t>
  </si>
  <si>
    <t>中片型保險絲-25A</t>
  </si>
  <si>
    <t>中片型保險絲-30A</t>
  </si>
  <si>
    <t>中片型保險絲-35A</t>
  </si>
  <si>
    <t>中片型保險絲-40A</t>
  </si>
  <si>
    <t>中片型保險絲-50A</t>
    <phoneticPr fontId="58" type="noConversion"/>
  </si>
  <si>
    <t>大片型保險絲-20A</t>
  </si>
  <si>
    <t>大片型保險絲-30A</t>
  </si>
  <si>
    <t>大片型保險絲-40A</t>
  </si>
  <si>
    <t>大片型保險絲-50A</t>
  </si>
  <si>
    <t>大片型保險絲-60A</t>
  </si>
  <si>
    <t>大片型保險絲-70A</t>
  </si>
  <si>
    <t>大片型保險絲-100A</t>
  </si>
  <si>
    <t>5mm*20mm快斷型管型保險絲-0.2A</t>
  </si>
  <si>
    <t>5mm*20mm快斷型管型保險絲-0.5A</t>
  </si>
  <si>
    <t>5mm*20mm快斷型管型保險絲-1A</t>
  </si>
  <si>
    <t>5mm*20mm快斷型管型保險絲-2A</t>
  </si>
  <si>
    <t>5mm*20mm快斷型管型保險絲-3A</t>
  </si>
  <si>
    <t>5mm*20mm快斷型管型保險絲-5A</t>
  </si>
  <si>
    <t>5mm*20mm快斷型管型保險絲-8A</t>
  </si>
  <si>
    <t>5mm*20mm快斷型管型保險絲-10A</t>
  </si>
  <si>
    <t>5mm*20mm快斷型管型保險絲-15A</t>
  </si>
  <si>
    <t>5mm*20mm快斷型管型保險絲-20A</t>
    <phoneticPr fontId="58" type="noConversion"/>
  </si>
  <si>
    <t>6mm*30mm快斷型管型保險絲-0.5A</t>
  </si>
  <si>
    <t>6mm*30mm快斷型管型保險絲-1A</t>
  </si>
  <si>
    <t>6mm*30mm快斷型管型保險絲-2A</t>
  </si>
  <si>
    <t>6mm*30mm快斷型管型保險絲-3A</t>
  </si>
  <si>
    <t>6mm*30mm快斷型管型保險絲-5A</t>
  </si>
  <si>
    <t>6mm*30mm快斷型管型保險絲-10A</t>
  </si>
  <si>
    <t>6mm*30mm快斷型管型保險絲-15A</t>
  </si>
  <si>
    <t>6mm*30mm快斷型管型保險絲-20A</t>
  </si>
  <si>
    <t>6mm*30mm快斷型管型保險絲-30A</t>
  </si>
  <si>
    <t>汽車保險絲盒取電器-迷你蓝色端子</t>
    <phoneticPr fontId="58" type="noConversion"/>
  </si>
  <si>
    <t>汽車保險絲盒取電器-迷你透明端子</t>
    <phoneticPr fontId="58" type="noConversion"/>
  </si>
  <si>
    <t>汽車保險絲盒取電器-小蓝色端子</t>
  </si>
  <si>
    <t>汽車保險絲盒取電器-小透明端子</t>
  </si>
  <si>
    <t>汽車保險絲盒取電器-中蓝色端子</t>
  </si>
  <si>
    <t>汽車保險絲盒取電器-中透明端子</t>
  </si>
  <si>
    <t>汽车保险丝拔取器</t>
    <phoneticPr fontId="58" type="noConversion"/>
  </si>
  <si>
    <t>5mm*20mm旋鈕式保險管座</t>
    <phoneticPr fontId="58" type="noConversion"/>
  </si>
  <si>
    <t>6mm*30mm旋鈕式保險管座</t>
    <phoneticPr fontId="58" type="noConversion"/>
  </si>
  <si>
    <t>16絲鋁箔自封袋9cm*13cm-藍</t>
    <phoneticPr fontId="58" type="noConversion"/>
  </si>
  <si>
    <t>16絲鋁箔自封袋12cm*20cm-藍</t>
  </si>
  <si>
    <t>16絲鋁箔自封袋12cm*20cm-黑</t>
  </si>
  <si>
    <t>支付寶: 151元</t>
    <phoneticPr fontId="58" type="noConversion"/>
  </si>
  <si>
    <t>108.01</t>
    <phoneticPr fontId="58" type="noConversion"/>
  </si>
  <si>
    <t>108.02</t>
  </si>
  <si>
    <t>108.03</t>
  </si>
  <si>
    <t>108.04</t>
  </si>
  <si>
    <t>108.05</t>
  </si>
  <si>
    <t>108.06</t>
  </si>
  <si>
    <t>108.07</t>
  </si>
  <si>
    <t>108.08</t>
  </si>
  <si>
    <t>108.09</t>
  </si>
  <si>
    <t>108.10</t>
  </si>
  <si>
    <t>108.11</t>
  </si>
  <si>
    <t>108.12</t>
  </si>
  <si>
    <t>108.13</t>
  </si>
  <si>
    <t>108.14</t>
  </si>
  <si>
    <t>109.01</t>
    <phoneticPr fontId="58" type="noConversion"/>
  </si>
  <si>
    <t>109.02</t>
  </si>
  <si>
    <t>109.03</t>
  </si>
  <si>
    <t>109.05</t>
  </si>
  <si>
    <t>109.06</t>
  </si>
  <si>
    <t>109.04</t>
    <phoneticPr fontId="58" type="noConversion"/>
  </si>
  <si>
    <t>109.07</t>
  </si>
  <si>
    <t>20絲圖案自封袋2.5cm*3.5cm-紫維尼</t>
    <phoneticPr fontId="58" type="noConversion"/>
  </si>
  <si>
    <t>20絲圖案自封袋2.5cm*3cm-紅笑臉</t>
  </si>
  <si>
    <t>20絲圖案自封袋2cm*2.8cm-骷髏頭</t>
  </si>
  <si>
    <t>20絲圖案自封袋3.5cm*5cm-粉紅小豬</t>
  </si>
  <si>
    <t>20絲圖案自封袋3cm*4cm-橙維尼</t>
  </si>
  <si>
    <t>20絲圖案自封袋2.5cm*3.5cm-粉紅小豬</t>
    <phoneticPr fontId="58" type="noConversion"/>
  </si>
  <si>
    <t>20絲圖案自封袋2.5cm*3.5cm-紅笑臉</t>
    <phoneticPr fontId="58" type="noConversion"/>
  </si>
  <si>
    <t>315.01</t>
    <phoneticPr fontId="58" type="noConversion"/>
  </si>
  <si>
    <t>315.02</t>
  </si>
  <si>
    <t>315.03</t>
  </si>
  <si>
    <t>315.04</t>
  </si>
  <si>
    <t>315.05</t>
  </si>
  <si>
    <t>315.06</t>
  </si>
  <si>
    <t>315.07</t>
  </si>
  <si>
    <t>331.01</t>
    <phoneticPr fontId="58" type="noConversion"/>
  </si>
  <si>
    <r>
      <t>P</t>
    </r>
    <r>
      <rPr>
        <sz val="10"/>
        <rFont val="宋体"/>
        <charset val="134"/>
      </rPr>
      <t>OE</t>
    </r>
    <phoneticPr fontId="2" type="noConversion"/>
  </si>
  <si>
    <t>322.41</t>
    <phoneticPr fontId="58" type="noConversion"/>
  </si>
  <si>
    <t>HDMI線材分配器</t>
    <phoneticPr fontId="2" type="noConversion"/>
  </si>
  <si>
    <t>333.41</t>
    <phoneticPr fontId="58" type="noConversion"/>
  </si>
  <si>
    <t>333.42</t>
  </si>
  <si>
    <t>333.43</t>
  </si>
  <si>
    <t>361.01</t>
    <phoneticPr fontId="58" type="noConversion"/>
  </si>
  <si>
    <t>361.22</t>
  </si>
  <si>
    <t>361.23</t>
  </si>
  <si>
    <t>361.24</t>
  </si>
  <si>
    <t>361.25</t>
  </si>
  <si>
    <t>361.26</t>
  </si>
  <si>
    <t>361.27</t>
  </si>
  <si>
    <t>361.28</t>
  </si>
  <si>
    <t>DC公头5.5*2.1mm-帶包黑線音叉</t>
    <phoneticPr fontId="58" type="noConversion"/>
  </si>
  <si>
    <t>107.03</t>
    <phoneticPr fontId="58" type="noConversion"/>
  </si>
  <si>
    <t>306.04</t>
    <phoneticPr fontId="58" type="noConversion"/>
  </si>
  <si>
    <t>x</t>
    <phoneticPr fontId="58" type="noConversion"/>
  </si>
  <si>
    <r>
      <t>#00</t>
    </r>
    <r>
      <rPr>
        <sz val="10"/>
        <rFont val="宋体"/>
        <charset val="134"/>
      </rPr>
      <t>5</t>
    </r>
    <phoneticPr fontId="58" type="noConversion"/>
  </si>
  <si>
    <t>#004</t>
    <phoneticPr fontId="58" type="noConversion"/>
  </si>
  <si>
    <t>#003</t>
    <phoneticPr fontId="58" type="noConversion"/>
  </si>
  <si>
    <t>#002</t>
    <phoneticPr fontId="58" type="noConversion"/>
  </si>
  <si>
    <t>#001</t>
    <phoneticPr fontId="58" type="noConversion"/>
  </si>
  <si>
    <t>#006</t>
    <phoneticPr fontId="58" type="noConversion"/>
  </si>
  <si>
    <t>LED閃光百葉窗眼鏡-白</t>
    <phoneticPr fontId="58" type="noConversion"/>
  </si>
  <si>
    <r>
      <t>夜光膠帶10mm*1m-桃紅發橙</t>
    </r>
    <r>
      <rPr>
        <sz val="10"/>
        <rFont val="宋体"/>
        <charset val="134"/>
      </rPr>
      <t>(橙紅)</t>
    </r>
    <phoneticPr fontId="58" type="noConversion"/>
  </si>
  <si>
    <r>
      <t>夜光膠帶20mm*1m-桃紅發橙</t>
    </r>
    <r>
      <rPr>
        <sz val="10"/>
        <rFont val="宋体"/>
        <charset val="134"/>
      </rPr>
      <t>(</t>
    </r>
    <r>
      <rPr>
        <sz val="10"/>
        <rFont val="宋体"/>
        <charset val="134"/>
      </rPr>
      <t>橙紅</t>
    </r>
    <r>
      <rPr>
        <sz val="10"/>
        <rFont val="宋体"/>
        <charset val="134"/>
      </rPr>
      <t>)</t>
    </r>
    <phoneticPr fontId="58" type="noConversion"/>
  </si>
  <si>
    <r>
      <t>夜光膠帶10mm*1m-N銀紅</t>
    </r>
    <r>
      <rPr>
        <sz val="10"/>
        <rFont val="宋体"/>
        <charset val="134"/>
      </rPr>
      <t>(銀紅)</t>
    </r>
    <phoneticPr fontId="58" type="noConversion"/>
  </si>
  <si>
    <r>
      <t>夜光膠帶20mm*1m-N銀紅</t>
    </r>
    <r>
      <rPr>
        <sz val="10"/>
        <rFont val="宋体"/>
        <charset val="134"/>
      </rPr>
      <t>(銀紅)</t>
    </r>
    <phoneticPr fontId="58" type="noConversion"/>
  </si>
  <si>
    <t>夜光膠帶10mm*1m-N橙紅</t>
    <phoneticPr fontId="58" type="noConversion"/>
  </si>
  <si>
    <r>
      <t>夜光膠帶20mm*1m-N藍</t>
    </r>
    <r>
      <rPr>
        <sz val="10"/>
        <rFont val="宋体"/>
        <charset val="134"/>
      </rPr>
      <t>(N橙紅?)</t>
    </r>
    <phoneticPr fontId="58" type="noConversion"/>
  </si>
  <si>
    <t>0.75cm2中片型保險絲盒-AWG18</t>
    <phoneticPr fontId="58" type="noConversion"/>
  </si>
  <si>
    <t>美紋紙手撕膠帶6mm*12m-黃</t>
    <phoneticPr fontId="58" type="noConversion"/>
  </si>
  <si>
    <t>美紋紙手撕膠帶10mm*12m-黃</t>
    <phoneticPr fontId="58" type="noConversion"/>
  </si>
  <si>
    <t>美紋紙手撕膠帶12mm*12m-黃</t>
    <phoneticPr fontId="58" type="noConversion"/>
  </si>
  <si>
    <t>美紋紙手撕膠帶20mm*12m-黃</t>
    <phoneticPr fontId="58" type="noConversion"/>
  </si>
  <si>
    <t>美紋紙手撕膠帶24mm*12m-黃</t>
    <phoneticPr fontId="58" type="noConversion"/>
  </si>
  <si>
    <t>美紋紙手撕膠帶50mm*12m-黃</t>
    <phoneticPr fontId="58" type="noConversion"/>
  </si>
  <si>
    <t>美紋紙手撕膠帶6mm*12m-橙</t>
    <phoneticPr fontId="58" type="noConversion"/>
  </si>
  <si>
    <t>美紋紙手撕膠帶10mm*12m-橙</t>
    <phoneticPr fontId="58" type="noConversion"/>
  </si>
  <si>
    <t>美紋紙手撕膠帶12mm*12m-橙</t>
    <phoneticPr fontId="58" type="noConversion"/>
  </si>
  <si>
    <t>美紋紙手撕膠帶20mm*12m-橙</t>
    <phoneticPr fontId="58" type="noConversion"/>
  </si>
  <si>
    <t>美紋紙手撕膠帶24mm*12m-橙</t>
    <phoneticPr fontId="58" type="noConversion"/>
  </si>
  <si>
    <t>美紋紙手撕膠帶50mm*12m-橙</t>
    <phoneticPr fontId="58" type="noConversion"/>
  </si>
  <si>
    <t>5</t>
    <phoneticPr fontId="58" type="noConversion"/>
  </si>
  <si>
    <t>2.16</t>
    <phoneticPr fontId="58" type="noConversion"/>
  </si>
  <si>
    <t>8</t>
    <phoneticPr fontId="58" type="noConversion"/>
  </si>
  <si>
    <t>牛皮紙氣泡信封13cm*23cm+4cm</t>
  </si>
  <si>
    <t>牛皮紙氣泡信封15cm*25cm+4cm</t>
  </si>
  <si>
    <t>牛皮紙氣泡信封15cm*18cm+4cm</t>
  </si>
  <si>
    <t>牛皮紙氣泡信封20cm*21cm+4cm</t>
  </si>
  <si>
    <t>牛皮紙氣泡信封25cm*30cm+4cm</t>
  </si>
  <si>
    <t>珠光膜氣泡信封11cm*11cm+4cm</t>
  </si>
  <si>
    <t>珠光膜氣泡信封11cm*13cm+4cm</t>
  </si>
  <si>
    <t>珠光膜氣泡信封13cm*13cm+4cm</t>
  </si>
  <si>
    <t>珠光膜氣泡信封13cm*21cm+4cm</t>
  </si>
  <si>
    <t>珠光膜氣泡信封14cm*16cm+4cm</t>
  </si>
  <si>
    <t>珠光膜氣泡信封15cm*18cm+4cm</t>
  </si>
  <si>
    <t>珠光膜氣泡信封16cm*16cm+4cm</t>
  </si>
  <si>
    <t>珠光膜氣泡信封18cm*23cm+4cm</t>
  </si>
  <si>
    <t>珠光膜氣泡信封20cm*25cm+4cm</t>
  </si>
  <si>
    <t>珠光膜氣泡信封23cm*28cm+4cm</t>
  </si>
  <si>
    <t>珠光膜氣泡信封26cm*30cm+4cm</t>
  </si>
  <si>
    <t>珠光膜氣泡信封</t>
  </si>
  <si>
    <t>牛皮紙氣泡信封</t>
  </si>
  <si>
    <t>Infeelme和纸胶带1.5cm*7m隔壁花园-赤狐</t>
  </si>
  <si>
    <t>Infeelme和纸胶带1.5cm*7m隔壁花园-多肉</t>
  </si>
  <si>
    <t>Infeelme和纸胶带1.5cm*7m隔壁花园-黑猫</t>
  </si>
  <si>
    <t>Infeelme和纸胶带1.5cm*7m隔壁花园-花匠</t>
  </si>
  <si>
    <t>Infeelme和纸胶带1.5cm*7m隔壁花园-夏瓜</t>
  </si>
  <si>
    <t>Infeelme和纸胶带1.5cm*7m岁花纪-椿</t>
  </si>
  <si>
    <t>Infeelme和纸胶带1.5cm*7m岁花纪-丁香</t>
  </si>
  <si>
    <t>Infeelme和纸胶带1.5cm*7m岁花纪-粉团</t>
  </si>
  <si>
    <t>Infeelme和纸胶带1.5cm*7m岁花纪-黄梅</t>
  </si>
  <si>
    <t>Infeelme和纸胶带1.5cm*7m岁花纪-琉璃</t>
  </si>
  <si>
    <t>Infeelme和纸胶带1.5cm*7m岁花纪-山茶</t>
  </si>
  <si>
    <t>Infeelme和纸胶带1.5cm*7m岁花纪-辛夷</t>
  </si>
  <si>
    <t>Infeelme和纸胶带1.5cm*7m岁花纪-杏花</t>
  </si>
  <si>
    <t>Infeelme和纸胶带1.5cm*7m岁花纪-樱</t>
  </si>
  <si>
    <t>Infeelme和纸胶带1.5cm*7m岁花纪-绀蓝</t>
  </si>
  <si>
    <t>Infeelme和纸胶带1.5cm*7m岁花纪-黛紫</t>
  </si>
  <si>
    <t>Infeelme和纸胶带1.5cm*7m植觉-茶染</t>
  </si>
  <si>
    <t>Infeelme和纸胶带1.5cm*7m植觉-朝露</t>
  </si>
  <si>
    <t>Infeelme和纸胶带1.5cm*7m植觉-木槿</t>
  </si>
  <si>
    <t>Infeelme和纸胶带1.5cm*7m植觉-新绿</t>
  </si>
  <si>
    <t>Infeelme和纸胶带1.5cm*7m植觉-银杏</t>
  </si>
  <si>
    <t>Infeelme和纸胶带1.5cm*7m植觉-月玲子</t>
  </si>
  <si>
    <t>405.01</t>
    <phoneticPr fontId="58" type="noConversion"/>
  </si>
  <si>
    <t>269.01</t>
    <phoneticPr fontId="58" type="noConversion"/>
  </si>
  <si>
    <t>401.25</t>
    <phoneticPr fontId="58" type="noConversion"/>
  </si>
  <si>
    <t>401.26</t>
  </si>
  <si>
    <t>404.01</t>
    <phoneticPr fontId="58" type="noConversion"/>
  </si>
  <si>
    <t>404.02</t>
  </si>
  <si>
    <t>401.29</t>
  </si>
  <si>
    <t>401.30</t>
  </si>
  <si>
    <t>401.31</t>
  </si>
  <si>
    <t>401.32</t>
  </si>
  <si>
    <t>511.01</t>
    <phoneticPr fontId="58" type="noConversion"/>
  </si>
  <si>
    <t>車輛用品類</t>
    <phoneticPr fontId="2" type="noConversion"/>
  </si>
  <si>
    <t>工具</t>
    <phoneticPr fontId="2" type="noConversion"/>
  </si>
  <si>
    <t>镀镍4MM 灯笼头 香蕉插头 测试插头 灯笼型 四页型 香蕉型 插头102</t>
    <phoneticPr fontId="2" type="noConversion"/>
  </si>
  <si>
    <t>直销小号鳄鱼夹测试线 大号试灯夹线双头电源夹线五彩线总长48CM</t>
    <phoneticPr fontId="2" type="noConversion"/>
  </si>
  <si>
    <t>氣泡信封</t>
    <phoneticPr fontId="68" type="noConversion"/>
  </si>
  <si>
    <t>老楊</t>
    <phoneticPr fontId="68" type="noConversion"/>
  </si>
  <si>
    <t>#120</t>
    <phoneticPr fontId="68" type="noConversion"/>
  </si>
  <si>
    <t>#121</t>
  </si>
  <si>
    <t>#122</t>
  </si>
  <si>
    <t>#123</t>
  </si>
  <si>
    <t>#124</t>
  </si>
  <si>
    <t>#125</t>
  </si>
  <si>
    <t>#126</t>
  </si>
  <si>
    <t>#127</t>
  </si>
  <si>
    <t>轉接頭-RCA公轉音頻3.5mm母</t>
    <phoneticPr fontId="2" type="noConversion"/>
  </si>
  <si>
    <t>BNC端子-RG60</t>
    <phoneticPr fontId="2" type="noConversion"/>
  </si>
  <si>
    <t>轉換插座-3孔轉英國3腳</t>
    <phoneticPr fontId="2" type="noConversion"/>
  </si>
  <si>
    <t>RCA端子-公</t>
    <phoneticPr fontId="2" type="noConversion"/>
  </si>
  <si>
    <t>RCA端子-母</t>
    <phoneticPr fontId="2" type="noConversion"/>
  </si>
  <si>
    <t>USB接頭-2母</t>
    <phoneticPr fontId="2" type="noConversion"/>
  </si>
  <si>
    <t>轉換插座-3孔轉美國3腳</t>
    <phoneticPr fontId="2" type="noConversion"/>
  </si>
  <si>
    <t>電池盒-18650單節3.7V</t>
    <phoneticPr fontId="2" type="noConversion"/>
  </si>
  <si>
    <t>轉接頭-BNC母轉RCA母</t>
    <phoneticPr fontId="2" type="noConversion"/>
  </si>
  <si>
    <t>轉接頭-BNC母轉RCA公</t>
    <phoneticPr fontId="2" type="noConversion"/>
  </si>
  <si>
    <t>36cm一分二DC電源線5.5*2.1mm-1公2母</t>
  </si>
  <si>
    <t>双绞線传输器300m1對-BNC公頭帶線</t>
  </si>
  <si>
    <t>DC5.5*2.1mm-公轉帶黑红線</t>
  </si>
  <si>
    <t>DC5.5*2.1mm-母轉帶黑红線</t>
  </si>
  <si>
    <t>DC5.5*2.1mm-公轉螺絲绿接線端子</t>
  </si>
  <si>
    <t>DC5.5*2.1mm-母轉螺絲绿接線端子</t>
  </si>
  <si>
    <t>DC5.5*2.1mm-公轉按钮红接線端子</t>
  </si>
  <si>
    <t>DC5.5*2.1mm-母轉按钮红接線端子</t>
  </si>
  <si>
    <t>USB接頭-2公</t>
    <phoneticPr fontId="2" type="noConversion"/>
  </si>
  <si>
    <t>轉換插座-3孔轉扁2插</t>
    <phoneticPr fontId="2" type="noConversion"/>
  </si>
  <si>
    <t>轉接頭-VGA公轉VGA母</t>
    <phoneticPr fontId="2" type="noConversion"/>
  </si>
  <si>
    <t>轉接頭-VGA母轉VGA母</t>
    <phoneticPr fontId="2" type="noConversion"/>
  </si>
  <si>
    <t>轉接頭-VGA公轉VGA公</t>
    <phoneticPr fontId="2" type="noConversion"/>
  </si>
  <si>
    <t>HDMI接頭-公母</t>
    <phoneticPr fontId="2" type="noConversion"/>
  </si>
  <si>
    <t>HDMI接頭-母母帶螺絲孔</t>
    <phoneticPr fontId="2" type="noConversion"/>
  </si>
  <si>
    <t>BNC接頭-公轉按鈕接線端子</t>
    <phoneticPr fontId="2" type="noConversion"/>
  </si>
  <si>
    <t>BNC接頭-母轉按鈕接線端子</t>
    <phoneticPr fontId="2" type="noConversion"/>
  </si>
  <si>
    <t>BNC接頭-公轉接線綠端子</t>
    <phoneticPr fontId="2" type="noConversion"/>
  </si>
  <si>
    <t>BNC接頭-母轉接線綠端子</t>
    <phoneticPr fontId="2" type="noConversion"/>
  </si>
  <si>
    <t>RCA接頭-公轉接線綠端子</t>
    <phoneticPr fontId="2" type="noConversion"/>
  </si>
  <si>
    <t>RCA接頭-母轉接線綠端子</t>
    <phoneticPr fontId="2" type="noConversion"/>
  </si>
  <si>
    <t>轉接頭-BNC公轉RCA母</t>
    <phoneticPr fontId="2" type="noConversion"/>
  </si>
  <si>
    <t>轉接頭-BNC公轉RCA公</t>
    <phoneticPr fontId="2" type="noConversion"/>
  </si>
  <si>
    <t>BNC接頭-母母</t>
    <phoneticPr fontId="2" type="noConversion"/>
  </si>
  <si>
    <t>轉換插座-3孔轉歐大4.8mm</t>
    <phoneticPr fontId="2" type="noConversion"/>
  </si>
  <si>
    <t>轉換插座-3孔轉歐小4mm</t>
    <phoneticPr fontId="2" type="noConversion"/>
  </si>
  <si>
    <t>BNC接頭-3母</t>
    <phoneticPr fontId="2" type="noConversion"/>
  </si>
  <si>
    <t>美标万能转换插头 美规转换插座 电源多功能转换器 旅行转换头</t>
    <phoneticPr fontId="2" type="noConversion"/>
  </si>
  <si>
    <t>轉換插座-3孔轉澳州3腳</t>
    <phoneticPr fontId="2" type="noConversion"/>
  </si>
  <si>
    <t>轉換插座-3孔轉澳州2腳</t>
    <phoneticPr fontId="2" type="noConversion"/>
  </si>
  <si>
    <t>HDMI接頭-90度L公母(窄端向上)</t>
    <phoneticPr fontId="2" type="noConversion"/>
  </si>
  <si>
    <t>HDMI接頭-270度L公母(窄端向下)</t>
    <phoneticPr fontId="2" type="noConversion"/>
  </si>
  <si>
    <t>HDMI接頭-母micro公</t>
    <phoneticPr fontId="2" type="noConversion"/>
  </si>
  <si>
    <t>HDMI接頭-母mini公micro公</t>
    <phoneticPr fontId="2" type="noConversion"/>
  </si>
  <si>
    <t>HDMI接頭-母mini公</t>
    <phoneticPr fontId="2" type="noConversion"/>
  </si>
  <si>
    <t>HDMI接頭-左彎公母(窄端向下)</t>
    <phoneticPr fontId="2" type="noConversion"/>
  </si>
  <si>
    <t>HDMI接頭-右彎公母(窄端向下)</t>
    <phoneticPr fontId="2" type="noConversion"/>
  </si>
  <si>
    <t>HDMI接頭-90度L母母(窄端同向)</t>
    <phoneticPr fontId="2" type="noConversion"/>
  </si>
  <si>
    <t>RCA接頭-母母</t>
    <phoneticPr fontId="2" type="noConversion"/>
  </si>
  <si>
    <t>RCA接頭-公公</t>
    <phoneticPr fontId="2" type="noConversion"/>
  </si>
  <si>
    <t>HDMI接頭-90度L母母帶螺絲孔(窄端同向)</t>
    <phoneticPr fontId="2" type="noConversion"/>
  </si>
  <si>
    <t>DC5.5*2.1mm-母轉帶黑红線(315.06)</t>
    <phoneticPr fontId="2" type="noConversion"/>
  </si>
  <si>
    <t>音頻</t>
    <phoneticPr fontId="2" type="noConversion"/>
  </si>
  <si>
    <t>RCA接頭-1分2公轉2母</t>
    <phoneticPr fontId="2" type="noConversion"/>
  </si>
  <si>
    <t>RCA接頭-1分2母轉2公</t>
    <phoneticPr fontId="2" type="noConversion"/>
  </si>
  <si>
    <t>RCA接頭-1分2母轉2母</t>
    <phoneticPr fontId="2" type="noConversion"/>
  </si>
  <si>
    <t>RJ45接頭-1分2帶芯片</t>
    <phoneticPr fontId="2" type="noConversion"/>
  </si>
  <si>
    <t>音頻線3.5mm-1分2白色公并2母175mm</t>
    <phoneticPr fontId="2" type="noConversion"/>
  </si>
  <si>
    <t>音頻線3.5mm-1分2黑色公轉2母帶線175mm</t>
    <phoneticPr fontId="2" type="noConversion"/>
  </si>
  <si>
    <t>BNC接頭-公公</t>
    <phoneticPr fontId="2" type="noConversion"/>
  </si>
  <si>
    <t>BNC接頭-1公2母</t>
    <phoneticPr fontId="2" type="noConversion"/>
  </si>
  <si>
    <t>HDMI接頭-母母鍍金</t>
    <phoneticPr fontId="2" type="noConversion"/>
  </si>
  <si>
    <t>1分2轉接頭-音頻3.5mm公轉2RCA母鍍金</t>
    <phoneticPr fontId="2" type="noConversion"/>
  </si>
  <si>
    <t>1分2轉接頭-音頻3.5mm公轉2RCA母鐵鍍鎳</t>
    <phoneticPr fontId="2" type="noConversion"/>
  </si>
  <si>
    <t>RCA接頭-1分2公轉2母鍍金</t>
    <phoneticPr fontId="2" type="noConversion"/>
  </si>
  <si>
    <t>RJ45端子-水晶頭CAT5e低價</t>
    <phoneticPr fontId="2" type="noConversion"/>
  </si>
  <si>
    <t>USB連接線-公T頭公1m</t>
    <phoneticPr fontId="2" type="noConversion"/>
  </si>
  <si>
    <t>DC轉接線-USB轉DC公頭2.5*0.7mm</t>
  </si>
  <si>
    <t>DC轉接線-USB轉DC公頭3.5*1.35mm</t>
  </si>
  <si>
    <t>DC轉接線-USB轉DC公頭4.0*1.7mm</t>
  </si>
  <si>
    <t>DC轉接線-USB轉DC公頭5.5*2.1mm</t>
  </si>
  <si>
    <t>轉接頭-BNC公轉F母CCTV</t>
    <phoneticPr fontId="2" type="noConversion"/>
  </si>
  <si>
    <t>轉接頭-DVI(24+5)母轉HDMI公黑色螺絲</t>
    <phoneticPr fontId="2" type="noConversion"/>
  </si>
  <si>
    <t>311.01</t>
    <phoneticPr fontId="2" type="noConversion"/>
  </si>
  <si>
    <t>311.02</t>
  </si>
  <si>
    <t>311.03</t>
  </si>
  <si>
    <t>311.04</t>
  </si>
  <si>
    <t>311.05</t>
  </si>
  <si>
    <t>311.06</t>
  </si>
  <si>
    <t>311.07</t>
  </si>
  <si>
    <t>311.08</t>
  </si>
  <si>
    <t>311.09</t>
  </si>
  <si>
    <t>315.14</t>
  </si>
  <si>
    <t>315.06</t>
    <phoneticPr fontId="2" type="noConversion"/>
  </si>
  <si>
    <t>333.02</t>
  </si>
  <si>
    <t>333.03</t>
  </si>
  <si>
    <t>333.04</t>
  </si>
  <si>
    <t>333.05</t>
  </si>
  <si>
    <t>333.06</t>
  </si>
  <si>
    <t>333.07</t>
  </si>
  <si>
    <t>333.08</t>
  </si>
  <si>
    <t>333.09</t>
  </si>
  <si>
    <t>333.10</t>
  </si>
  <si>
    <t>333.11</t>
  </si>
  <si>
    <t>332.01</t>
    <phoneticPr fontId="2" type="noConversion"/>
  </si>
  <si>
    <t>332.02</t>
  </si>
  <si>
    <t>332.03</t>
  </si>
  <si>
    <t>332.04</t>
  </si>
  <si>
    <t>332.05</t>
  </si>
  <si>
    <t>332.06</t>
  </si>
  <si>
    <t>332.07</t>
  </si>
  <si>
    <t>332.08</t>
  </si>
  <si>
    <t>332.09</t>
  </si>
  <si>
    <t>332.10</t>
    <phoneticPr fontId="2" type="noConversion"/>
  </si>
  <si>
    <t>332.11</t>
  </si>
  <si>
    <t>332.12</t>
  </si>
  <si>
    <t>332.13</t>
  </si>
  <si>
    <t>332.14</t>
  </si>
  <si>
    <t>332.15</t>
  </si>
  <si>
    <t>351.01</t>
    <phoneticPr fontId="2" type="noConversion"/>
  </si>
  <si>
    <t>351.02</t>
  </si>
  <si>
    <t>351.03</t>
  </si>
  <si>
    <t>351.04</t>
  </si>
  <si>
    <t>351.05</t>
  </si>
  <si>
    <t>351.06</t>
  </si>
  <si>
    <t>316.01</t>
    <phoneticPr fontId="2" type="noConversion"/>
  </si>
  <si>
    <t>316.02</t>
  </si>
  <si>
    <t>316.03</t>
  </si>
  <si>
    <t>316.04</t>
  </si>
  <si>
    <t>316.05</t>
  </si>
  <si>
    <t>316.06</t>
  </si>
  <si>
    <t>307.01</t>
    <phoneticPr fontId="2" type="noConversion"/>
  </si>
  <si>
    <t>307.02</t>
  </si>
  <si>
    <t>307.03</t>
  </si>
  <si>
    <t>307.06</t>
  </si>
  <si>
    <t>307.07</t>
  </si>
  <si>
    <t>鰐魚夾-測試線小48cm-5色套</t>
    <phoneticPr fontId="2" type="noConversion"/>
  </si>
  <si>
    <t>鰐魚夾-測試線中50cm-5色套</t>
    <phoneticPr fontId="2" type="noConversion"/>
  </si>
  <si>
    <t>音響香蕉頭</t>
    <phoneticPr fontId="2" type="noConversion"/>
  </si>
  <si>
    <t>335.01</t>
    <phoneticPr fontId="2" type="noConversion"/>
  </si>
  <si>
    <t>335.02</t>
  </si>
  <si>
    <t>335.03</t>
  </si>
  <si>
    <t>335.04</t>
  </si>
  <si>
    <t>335.05</t>
  </si>
  <si>
    <t>335.06</t>
  </si>
  <si>
    <t>335.07</t>
  </si>
  <si>
    <t>335.08</t>
  </si>
  <si>
    <t>335.09</t>
  </si>
  <si>
    <t>335.10</t>
  </si>
  <si>
    <t>335.11</t>
  </si>
  <si>
    <t>335.12</t>
  </si>
  <si>
    <t>335.13</t>
  </si>
  <si>
    <t>335.14</t>
  </si>
  <si>
    <t>335.15</t>
  </si>
  <si>
    <t>335.16</t>
  </si>
  <si>
    <t>334.01</t>
    <phoneticPr fontId="2" type="noConversion"/>
  </si>
  <si>
    <t>334.05</t>
  </si>
  <si>
    <t>334.06</t>
  </si>
  <si>
    <t>316.07</t>
    <phoneticPr fontId="2" type="noConversion"/>
  </si>
  <si>
    <t>316.08</t>
  </si>
  <si>
    <t>316.09</t>
  </si>
  <si>
    <t>316.10</t>
  </si>
  <si>
    <t>316.11</t>
    <phoneticPr fontId="2" type="noConversion"/>
  </si>
  <si>
    <t>316.12</t>
  </si>
  <si>
    <t>316.13</t>
  </si>
  <si>
    <t>316.14</t>
  </si>
  <si>
    <t>338.01</t>
    <phoneticPr fontId="2" type="noConversion"/>
  </si>
  <si>
    <t>338.02</t>
  </si>
  <si>
    <t>338.03</t>
  </si>
  <si>
    <t>338.04</t>
  </si>
  <si>
    <t>音頻接頭-1分2-3.5mm公轉2母</t>
    <phoneticPr fontId="2" type="noConversion"/>
  </si>
  <si>
    <t>音頻接頭-單音6.35mm母轉3.5mm公</t>
    <phoneticPr fontId="2" type="noConversion"/>
  </si>
  <si>
    <t>音頻接頭-雙音6.35mm母轉3.5mm公</t>
    <phoneticPr fontId="2" type="noConversion"/>
  </si>
  <si>
    <t>音頻接頭-3.5mm母轉6.35mm公</t>
    <phoneticPr fontId="2" type="noConversion"/>
  </si>
  <si>
    <t>334.07</t>
  </si>
  <si>
    <t>334.08</t>
  </si>
  <si>
    <t>334.09</t>
  </si>
  <si>
    <t>334.10</t>
  </si>
  <si>
    <t>轉接頭</t>
    <phoneticPr fontId="2" type="noConversion"/>
  </si>
  <si>
    <t>轉接線</t>
    <phoneticPr fontId="2" type="noConversion"/>
  </si>
  <si>
    <t>338.21</t>
    <phoneticPr fontId="2" type="noConversion"/>
  </si>
  <si>
    <t>338.22</t>
  </si>
  <si>
    <t>338.23</t>
  </si>
  <si>
    <t>338.24</t>
    <phoneticPr fontId="2" type="noConversion"/>
  </si>
  <si>
    <t>338.25</t>
  </si>
  <si>
    <t>338.26</t>
  </si>
  <si>
    <t>338.27</t>
  </si>
  <si>
    <t>338.28</t>
    <phoneticPr fontId="2" type="noConversion"/>
  </si>
  <si>
    <t>338.29</t>
    <phoneticPr fontId="2" type="noConversion"/>
  </si>
  <si>
    <t>354.01</t>
    <phoneticPr fontId="2" type="noConversion"/>
  </si>
  <si>
    <t>354.02</t>
  </si>
  <si>
    <t>354.03</t>
  </si>
  <si>
    <t>354.04</t>
  </si>
  <si>
    <t>354.05</t>
  </si>
  <si>
    <t>354.06</t>
  </si>
  <si>
    <t>322.06</t>
    <phoneticPr fontId="2" type="noConversion"/>
  </si>
  <si>
    <r>
      <t>水晶头保护套 六类护套 异形网线护套</t>
    </r>
    <r>
      <rPr>
        <sz val="10"/>
        <rFont val="宋体"/>
        <charset val="134"/>
      </rPr>
      <t>-藍</t>
    </r>
    <phoneticPr fontId="58" type="noConversion"/>
  </si>
  <si>
    <r>
      <t>水晶头保护套 六类护套 异形网线护套</t>
    </r>
    <r>
      <rPr>
        <sz val="10"/>
        <rFont val="宋体"/>
        <charset val="134"/>
      </rPr>
      <t>-白</t>
    </r>
    <phoneticPr fontId="58" type="noConversion"/>
  </si>
  <si>
    <r>
      <t>水晶头保护套 六类护套 异形网线护套</t>
    </r>
    <r>
      <rPr>
        <sz val="10"/>
        <rFont val="宋体"/>
        <charset val="134"/>
      </rPr>
      <t>-黃</t>
    </r>
    <phoneticPr fontId="58" type="noConversion"/>
  </si>
  <si>
    <r>
      <t>水晶头保护套 六类护套 异形网线护套</t>
    </r>
    <r>
      <rPr>
        <sz val="10"/>
        <rFont val="宋体"/>
        <charset val="134"/>
      </rPr>
      <t>-紅</t>
    </r>
    <phoneticPr fontId="58" type="noConversion"/>
  </si>
  <si>
    <r>
      <t>水晶头保护套 六类护套 异形网线护套</t>
    </r>
    <r>
      <rPr>
        <sz val="10"/>
        <rFont val="宋体"/>
        <charset val="134"/>
      </rPr>
      <t>-橙</t>
    </r>
    <phoneticPr fontId="58" type="noConversion"/>
  </si>
  <si>
    <t>七类护套 水晶头套 保护套 批发 红色 656</t>
  </si>
  <si>
    <t>七类护套 水晶头套 保护套 批发 蓝色 656</t>
  </si>
  <si>
    <t>七类护套 水晶头套 保护套 批发 浅灰色 656</t>
  </si>
  <si>
    <t>七类护套 水晶头套 保护套 批发 白色 656</t>
  </si>
  <si>
    <t>七类护套 水晶头套 保护套 批发 绿色 656</t>
  </si>
  <si>
    <r>
      <t>321.2</t>
    </r>
    <r>
      <rPr>
        <sz val="10"/>
        <rFont val="宋体"/>
        <charset val="134"/>
      </rPr>
      <t>1</t>
    </r>
    <phoneticPr fontId="58" type="noConversion"/>
  </si>
  <si>
    <r>
      <t>321.22</t>
    </r>
    <r>
      <rPr>
        <sz val="10"/>
        <rFont val="宋体"/>
        <charset val="134"/>
      </rPr>
      <t/>
    </r>
  </si>
  <si>
    <r>
      <t>321.23</t>
    </r>
    <r>
      <rPr>
        <sz val="10"/>
        <rFont val="宋体"/>
        <charset val="134"/>
      </rPr>
      <t/>
    </r>
  </si>
  <si>
    <r>
      <t>321.24</t>
    </r>
    <r>
      <rPr>
        <sz val="10"/>
        <rFont val="宋体"/>
        <charset val="134"/>
      </rPr>
      <t/>
    </r>
  </si>
  <si>
    <r>
      <t>321.25</t>
    </r>
    <r>
      <rPr>
        <sz val="10"/>
        <rFont val="宋体"/>
        <charset val="134"/>
      </rPr>
      <t/>
    </r>
  </si>
  <si>
    <r>
      <t>321.26</t>
    </r>
    <r>
      <rPr>
        <sz val="10"/>
        <rFont val="宋体"/>
        <charset val="134"/>
      </rPr>
      <t/>
    </r>
  </si>
  <si>
    <r>
      <t>321.27</t>
    </r>
    <r>
      <rPr>
        <sz val="10"/>
        <rFont val="宋体"/>
        <charset val="134"/>
      </rPr>
      <t/>
    </r>
  </si>
  <si>
    <r>
      <t>321.28</t>
    </r>
    <r>
      <rPr>
        <sz val="10"/>
        <rFont val="宋体"/>
        <charset val="134"/>
      </rPr>
      <t/>
    </r>
  </si>
  <si>
    <r>
      <t>321.29</t>
    </r>
    <r>
      <rPr>
        <sz val="10"/>
        <rFont val="宋体"/>
        <charset val="134"/>
      </rPr>
      <t/>
    </r>
  </si>
  <si>
    <r>
      <t>321.30</t>
    </r>
    <r>
      <rPr>
        <sz val="10"/>
        <rFont val="宋体"/>
        <charset val="134"/>
      </rPr>
      <t/>
    </r>
  </si>
  <si>
    <r>
      <t>321.31</t>
    </r>
    <r>
      <rPr>
        <sz val="10"/>
        <rFont val="宋体"/>
        <charset val="134"/>
      </rPr>
      <t/>
    </r>
  </si>
  <si>
    <r>
      <t>321.32</t>
    </r>
    <r>
      <rPr>
        <sz val="10"/>
        <rFont val="宋体"/>
        <charset val="134"/>
      </rPr>
      <t/>
    </r>
  </si>
  <si>
    <r>
      <t>321.33</t>
    </r>
    <r>
      <rPr>
        <sz val="10"/>
        <rFont val="宋体"/>
        <charset val="134"/>
      </rPr>
      <t/>
    </r>
  </si>
  <si>
    <r>
      <t>321.34</t>
    </r>
    <r>
      <rPr>
        <sz val="10"/>
        <rFont val="宋体"/>
        <charset val="134"/>
      </rPr>
      <t/>
    </r>
  </si>
  <si>
    <t>水晶头保护套 六类护套 异形网线护套-灰</t>
    <phoneticPr fontId="58" type="noConversion"/>
  </si>
  <si>
    <t>超五类水晶头爪子水晶头护套 彩色护套 65-灰</t>
    <phoneticPr fontId="58" type="noConversion"/>
  </si>
  <si>
    <r>
      <t>超五类水晶头爪子水晶头护套 彩色护套 65</t>
    </r>
    <r>
      <rPr>
        <sz val="10"/>
        <rFont val="宋体"/>
        <charset val="134"/>
      </rPr>
      <t>-黑</t>
    </r>
    <phoneticPr fontId="58" type="noConversion"/>
  </si>
  <si>
    <r>
      <t>超五类水晶头爪子水晶头护套 彩色护套 65</t>
    </r>
    <r>
      <rPr>
        <sz val="10"/>
        <rFont val="宋体"/>
        <charset val="134"/>
      </rPr>
      <t>-藍</t>
    </r>
    <phoneticPr fontId="58" type="noConversion"/>
  </si>
  <si>
    <r>
      <t>超五类水晶头爪子水晶头护套 彩色护套 65</t>
    </r>
    <r>
      <rPr>
        <sz val="10"/>
        <rFont val="宋体"/>
        <charset val="134"/>
      </rPr>
      <t>-紫</t>
    </r>
    <phoneticPr fontId="58" type="noConversion"/>
  </si>
  <si>
    <r>
      <t>超五类水晶头爪子水晶头护套 彩色护套 65</t>
    </r>
    <r>
      <rPr>
        <sz val="10"/>
        <rFont val="宋体"/>
        <charset val="134"/>
      </rPr>
      <t>-淺灰</t>
    </r>
    <phoneticPr fontId="58" type="noConversion"/>
  </si>
  <si>
    <r>
      <t>321.35</t>
    </r>
    <r>
      <rPr>
        <sz val="10"/>
        <rFont val="宋体"/>
        <charset val="134"/>
      </rPr>
      <t/>
    </r>
  </si>
  <si>
    <r>
      <t>321.36</t>
    </r>
    <r>
      <rPr>
        <sz val="10"/>
        <rFont val="宋体"/>
        <charset val="134"/>
      </rPr>
      <t/>
    </r>
  </si>
  <si>
    <r>
      <t>321.37</t>
    </r>
    <r>
      <rPr>
        <sz val="10"/>
        <rFont val="宋体"/>
        <charset val="134"/>
      </rPr>
      <t/>
    </r>
  </si>
  <si>
    <r>
      <t>321.38</t>
    </r>
    <r>
      <rPr>
        <sz val="10"/>
        <rFont val="宋体"/>
        <charset val="134"/>
      </rPr>
      <t/>
    </r>
  </si>
  <si>
    <r>
      <t>321.39</t>
    </r>
    <r>
      <rPr>
        <sz val="10"/>
        <rFont val="宋体"/>
        <charset val="134"/>
      </rPr>
      <t/>
    </r>
  </si>
  <si>
    <t>厂家直销屏蔽超五类六类网络直通头水晶头连接器带屏蔽网线连接头 45</t>
    <phoneticPr fontId="58" type="noConversion"/>
  </si>
  <si>
    <t>银中原装机制网线 1米网络跳线 1米网线跳线 超五类RJ45网线 213</t>
    <phoneticPr fontId="58" type="noConversion"/>
  </si>
  <si>
    <r>
      <t>322.0</t>
    </r>
    <r>
      <rPr>
        <sz val="10"/>
        <rFont val="宋体"/>
        <charset val="134"/>
      </rPr>
      <t>1</t>
    </r>
    <phoneticPr fontId="58" type="noConversion"/>
  </si>
  <si>
    <r>
      <t>322.02</t>
    </r>
    <r>
      <rPr>
        <sz val="10"/>
        <rFont val="宋体"/>
        <charset val="134"/>
      </rPr>
      <t/>
    </r>
  </si>
  <si>
    <r>
      <t>322.03</t>
    </r>
    <r>
      <rPr>
        <sz val="10"/>
        <rFont val="宋体"/>
        <charset val="134"/>
      </rPr>
      <t/>
    </r>
  </si>
  <si>
    <r>
      <t>322.04</t>
    </r>
    <r>
      <rPr>
        <sz val="10"/>
        <rFont val="宋体"/>
        <charset val="134"/>
      </rPr>
      <t/>
    </r>
  </si>
  <si>
    <r>
      <t>322.05</t>
    </r>
    <r>
      <rPr>
        <sz val="10"/>
        <rFont val="宋体"/>
        <charset val="134"/>
      </rPr>
      <t/>
    </r>
  </si>
  <si>
    <r>
      <t>322.06</t>
    </r>
    <r>
      <rPr>
        <sz val="10"/>
        <rFont val="宋体"/>
        <charset val="134"/>
      </rPr>
      <t/>
    </r>
  </si>
  <si>
    <r>
      <t>POE分离器</t>
    </r>
    <r>
      <rPr>
        <sz val="10"/>
        <rFont val="宋体"/>
        <charset val="134"/>
      </rPr>
      <t>1對</t>
    </r>
    <r>
      <rPr>
        <sz val="10"/>
        <rFont val="宋体"/>
        <charset val="134"/>
      </rPr>
      <t>-12V</t>
    </r>
    <phoneticPr fontId="58" type="noConversion"/>
  </si>
  <si>
    <t>310.05</t>
    <phoneticPr fontId="58" type="noConversion"/>
  </si>
  <si>
    <t>361.21</t>
    <phoneticPr fontId="58" type="noConversion"/>
  </si>
  <si>
    <t>361.29</t>
    <phoneticPr fontId="58" type="noConversion"/>
  </si>
  <si>
    <t>电话一分四/1分4/一拖四/一进四出/分配盒/转接盒/分线盒6P4C四芯</t>
    <phoneticPr fontId="58" type="noConversion"/>
  </si>
  <si>
    <t>厂家直销 全铜电话直通头 电话线延长器 RJ11直通头内部带线</t>
    <phoneticPr fontId="58" type="noConversion"/>
  </si>
  <si>
    <t>全铜带线网络三通头 RJ45网线连接器 网线1分2转接头 8P8C 29</t>
    <phoneticPr fontId="58" type="noConversion"/>
  </si>
  <si>
    <t>高品质镀金网线一分二连接器 网络牛角三通 RJ45公转2母 网络牛角</t>
    <phoneticPr fontId="58" type="noConversion"/>
  </si>
  <si>
    <t>网线三通头 八芯网线转接头/RJ45三通/网络一分二/RJ45一分二 20</t>
    <phoneticPr fontId="58" type="noConversion"/>
  </si>
  <si>
    <t>x</t>
    <phoneticPr fontId="58" type="noConversion"/>
  </si>
  <si>
    <t>厂家直销 可拆卸洗杯刷 塑料强力长柄奶瓶刷 去污刷杯刷颜色随机kcxbs</t>
    <phoneticPr fontId="58" type="noConversion"/>
  </si>
  <si>
    <t>405.02</t>
  </si>
  <si>
    <r>
      <t>洗衣机漂浮滤毛器 海绵花形网袋过滤器</t>
    </r>
    <r>
      <rPr>
        <sz val="10"/>
        <rFont val="宋体"/>
        <charset val="134"/>
      </rPr>
      <t>-</t>
    </r>
    <r>
      <rPr>
        <sz val="10"/>
        <rFont val="宋体"/>
        <charset val="134"/>
      </rPr>
      <t>粉色(袋装）cmq-1</t>
    </r>
    <phoneticPr fontId="58" type="noConversion"/>
  </si>
  <si>
    <t>洗衣机漂浮滤毛器 海绵花形网袋洁滤器-蓝色（袋装）cmq-2</t>
    <phoneticPr fontId="58" type="noConversion"/>
  </si>
  <si>
    <r>
      <t>小米usb灯 led随身小夜灯 节能小台灯电脑 usb接口迷你灯 小米灯黄色（全检测）usbd-2</t>
    </r>
    <r>
      <rPr>
        <sz val="10"/>
        <rFont val="宋体"/>
        <charset val="134"/>
      </rPr>
      <t>(橙)</t>
    </r>
    <phoneticPr fontId="58" type="noConversion"/>
  </si>
  <si>
    <t>厨房清洁洗碗巾加厚双面百洁布 吸水不沾油污棉纱清洁布厂家批发26*26小号优质百洁布bjb-26</t>
    <phoneticPr fontId="58" type="noConversion"/>
  </si>
  <si>
    <r>
      <t>401.</t>
    </r>
    <r>
      <rPr>
        <sz val="10"/>
        <rFont val="宋体"/>
        <charset val="134"/>
      </rPr>
      <t>27</t>
    </r>
    <phoneticPr fontId="58" type="noConversion"/>
  </si>
  <si>
    <t>511.02</t>
  </si>
  <si>
    <t>超值10米长晾衣绳免打孔尼龙晒衣绳子 加粗多功能防滑晾衣服绳子lys-10</t>
    <phoneticPr fontId="58" type="noConversion"/>
  </si>
  <si>
    <t>511.03</t>
    <phoneticPr fontId="58" type="noConversion"/>
  </si>
  <si>
    <t>綠星-纸吸管 环保创意彩色纸吸管 一次性可降解纸质吸管纯色（混色）袋装15支纸吸管</t>
    <phoneticPr fontId="58" type="noConversion"/>
  </si>
  <si>
    <t>401.28</t>
    <phoneticPr fontId="58" type="noConversion"/>
  </si>
  <si>
    <t>藍圓點-纸吸管 环保创意彩色纸吸管 一次性可降解纸质吸管圆点（混色）袋装15支纸吸管</t>
    <phoneticPr fontId="58" type="noConversion"/>
  </si>
  <si>
    <t>黑白斜紋-纸吸管 环保创意彩色纸吸管 一次性可降解纸质吸管五角星（混色）袋装15支纸吸管</t>
    <phoneticPr fontId="58" type="noConversion"/>
  </si>
  <si>
    <t>純黑-纸吸管 环保创意彩色纸吸管 一次性可降解纸质吸管条纹（混色）袋装15支纸吸管</t>
    <phoneticPr fontId="58" type="noConversion"/>
  </si>
  <si>
    <t>粉星-纸吸管 环保创意彩色纸吸管 一次性可降解纸质吸管纯色（混色）袋装15支纸吸管</t>
    <phoneticPr fontId="58" type="noConversion"/>
  </si>
  <si>
    <t>紅白波浪-纸吸管 环保创意彩色纸吸管 一次性可降解纸质吸管纯色（混色）袋装15支纸吸管</t>
    <phoneticPr fontId="58" type="noConversion"/>
  </si>
  <si>
    <t>401.33</t>
  </si>
  <si>
    <t>511.04</t>
    <phoneticPr fontId="58" type="noConversion"/>
  </si>
  <si>
    <t>進貨</t>
    <phoneticPr fontId="68" type="noConversion"/>
  </si>
  <si>
    <t>己用</t>
    <phoneticPr fontId="68" type="noConversion"/>
  </si>
  <si>
    <t>餘額</t>
    <phoneticPr fontId="68" type="noConversion"/>
  </si>
  <si>
    <r>
      <t>#</t>
    </r>
    <r>
      <rPr>
        <sz val="10"/>
        <rFont val="宋体"/>
        <charset val="134"/>
      </rPr>
      <t>007</t>
    </r>
    <phoneticPr fontId="58" type="noConversion"/>
  </si>
  <si>
    <t>L-2分-3分外牙</t>
    <phoneticPr fontId="70" type="noConversion"/>
  </si>
  <si>
    <t>L-2分-1分細外牙</t>
    <phoneticPr fontId="70" type="noConversion"/>
  </si>
  <si>
    <t>L-3分-3分外牙</t>
    <phoneticPr fontId="70" type="noConversion"/>
  </si>
  <si>
    <t>L-3分-2分外牙</t>
    <phoneticPr fontId="70" type="noConversion"/>
  </si>
  <si>
    <t>L-2分-2分內牙</t>
    <phoneticPr fontId="70" type="noConversion"/>
  </si>
  <si>
    <t>L-2分-2分-隔板</t>
    <phoneticPr fontId="70" type="noConversion"/>
  </si>
  <si>
    <t>L-2分-1分長快插</t>
    <phoneticPr fontId="70" type="noConversion"/>
  </si>
  <si>
    <t>L-2分-2分快插</t>
    <phoneticPr fontId="70" type="noConversion"/>
  </si>
  <si>
    <t>L-3分-3分快插</t>
    <phoneticPr fontId="70" type="noConversion"/>
  </si>
  <si>
    <t>L-2分-3分內牙</t>
    <phoneticPr fontId="70" type="noConversion"/>
  </si>
  <si>
    <t>L-2分-3分快插</t>
    <phoneticPr fontId="70" type="noConversion"/>
  </si>
  <si>
    <t>L-3分-2分內牙</t>
    <phoneticPr fontId="70" type="noConversion"/>
  </si>
  <si>
    <t>L-3分-1分細外牙</t>
    <phoneticPr fontId="70" type="noConversion"/>
  </si>
  <si>
    <t>L-3分-2分快插</t>
    <phoneticPr fontId="70" type="noConversion"/>
  </si>
  <si>
    <t>L-3分-3分內牙</t>
    <phoneticPr fontId="70" type="noConversion"/>
  </si>
  <si>
    <t>L-3分-3分</t>
    <phoneticPr fontId="70" type="noConversion"/>
  </si>
  <si>
    <t>直-2分-2分</t>
    <phoneticPr fontId="70" type="noConversion"/>
  </si>
  <si>
    <t>直-2分-3分</t>
    <phoneticPr fontId="70" type="noConversion"/>
  </si>
  <si>
    <t>直-2分-3分外牙-隔板</t>
    <phoneticPr fontId="70" type="noConversion"/>
  </si>
  <si>
    <t>直-2分-2分外牙</t>
    <phoneticPr fontId="70" type="noConversion"/>
  </si>
  <si>
    <t>直-2分-2分細內牙</t>
    <phoneticPr fontId="70" type="noConversion"/>
  </si>
  <si>
    <t>直-2分-3分內牙</t>
    <phoneticPr fontId="70" type="noConversion"/>
  </si>
  <si>
    <t>直-3分-3分-隔板</t>
    <phoneticPr fontId="70" type="noConversion"/>
  </si>
  <si>
    <t>直-2分-3分外牙</t>
    <phoneticPr fontId="70" type="noConversion"/>
  </si>
  <si>
    <t>直-2分-2分內牙</t>
    <phoneticPr fontId="70" type="noConversion"/>
  </si>
  <si>
    <t>直-3分-3分外牙</t>
    <phoneticPr fontId="70" type="noConversion"/>
  </si>
  <si>
    <t>直-3分-3分</t>
    <phoneticPr fontId="70" type="noConversion"/>
  </si>
  <si>
    <t>直-2分-1分細外牙</t>
    <phoneticPr fontId="70" type="noConversion"/>
  </si>
  <si>
    <t>直-3分-2分外牙</t>
    <phoneticPr fontId="70" type="noConversion"/>
  </si>
  <si>
    <t>直-3分-3分內牙</t>
    <phoneticPr fontId="70" type="noConversion"/>
  </si>
  <si>
    <t>直-3分-2分內牙</t>
    <phoneticPr fontId="70" type="noConversion"/>
  </si>
  <si>
    <t>直-2分-3分-隔板</t>
    <phoneticPr fontId="70" type="noConversion"/>
  </si>
  <si>
    <t>T-3分-3分-3分</t>
    <phoneticPr fontId="70" type="noConversion"/>
  </si>
  <si>
    <t>T-3分-2分-3分</t>
    <phoneticPr fontId="70" type="noConversion"/>
  </si>
  <si>
    <t>T-2分-2分外牙-2分</t>
    <phoneticPr fontId="70" type="noConversion"/>
  </si>
  <si>
    <t>T-2分-2分-2分快插</t>
    <phoneticPr fontId="70" type="noConversion"/>
  </si>
  <si>
    <t>T-2分-2分-2分外牙</t>
    <phoneticPr fontId="70" type="noConversion"/>
  </si>
  <si>
    <t>Y-3分-3分-3分</t>
    <phoneticPr fontId="70" type="noConversion"/>
  </si>
  <si>
    <t>T-2分-2分-2分</t>
    <phoneticPr fontId="70" type="noConversion"/>
  </si>
  <si>
    <t>s1</t>
    <phoneticPr fontId="70" type="noConversion"/>
  </si>
  <si>
    <t>L-2分-2分</t>
    <phoneticPr fontId="70" type="noConversion"/>
  </si>
  <si>
    <r>
      <t>s</t>
    </r>
    <r>
      <rPr>
        <sz val="12"/>
        <rFont val="宋体"/>
        <charset val="134"/>
      </rPr>
      <t>2</t>
    </r>
    <phoneticPr fontId="70" type="noConversion"/>
  </si>
  <si>
    <t>T-2分-2分快插-2分</t>
    <phoneticPr fontId="70" type="noConversion"/>
  </si>
  <si>
    <t>T-3分-2分外牙-3分</t>
    <phoneticPr fontId="70" type="noConversion"/>
  </si>
  <si>
    <t>T-3分-3分外牙-3分</t>
    <phoneticPr fontId="70" type="noConversion"/>
  </si>
  <si>
    <t>T-3分-3分-2分外牙</t>
    <phoneticPr fontId="70" type="noConversion"/>
  </si>
  <si>
    <t>T-2分-3分外牙-2分</t>
    <phoneticPr fontId="70" type="noConversion"/>
  </si>
  <si>
    <t>T-3分-3分-2分快插</t>
    <phoneticPr fontId="70" type="noConversion"/>
  </si>
  <si>
    <t>T-2分-3分外牙-3分</t>
    <phoneticPr fontId="70" type="noConversion"/>
  </si>
  <si>
    <t>T-2分-2分外牙-3分</t>
    <phoneticPr fontId="70" type="noConversion"/>
  </si>
  <si>
    <t>T-3分-3分-3分外牙</t>
    <phoneticPr fontId="70" type="noConversion"/>
  </si>
  <si>
    <t>T-3分-3分-3分快插</t>
    <phoneticPr fontId="70" type="noConversion"/>
  </si>
  <si>
    <t>吸水不鏽鋼濾網-3分</t>
    <phoneticPr fontId="70" type="noConversion"/>
  </si>
  <si>
    <t>球閥-2分-3分</t>
    <phoneticPr fontId="70" type="noConversion"/>
  </si>
  <si>
    <t>球閥-2分-2分</t>
    <phoneticPr fontId="70" type="noConversion"/>
  </si>
  <si>
    <r>
      <t>s</t>
    </r>
    <r>
      <rPr>
        <sz val="12"/>
        <rFont val="宋体"/>
        <charset val="134"/>
      </rPr>
      <t>3</t>
    </r>
    <r>
      <rPr>
        <sz val="12"/>
        <rFont val="宋体"/>
        <charset val="134"/>
      </rPr>
      <t/>
    </r>
  </si>
  <si>
    <t>球閥-3分-2分外牙</t>
    <phoneticPr fontId="70" type="noConversion"/>
  </si>
  <si>
    <t>球閥-2分-2分外牙</t>
    <phoneticPr fontId="70" type="noConversion"/>
  </si>
  <si>
    <t>球閥-3分-3分外牙</t>
    <phoneticPr fontId="70" type="noConversion"/>
  </si>
  <si>
    <t>球閥-L-3分-6分內牙</t>
    <phoneticPr fontId="70" type="noConversion"/>
  </si>
  <si>
    <t>球閥-L-2分-2分內牙</t>
    <phoneticPr fontId="70" type="noConversion"/>
  </si>
  <si>
    <r>
      <t>s</t>
    </r>
    <r>
      <rPr>
        <sz val="12"/>
        <rFont val="宋体"/>
        <charset val="134"/>
      </rPr>
      <t>4</t>
    </r>
    <r>
      <rPr>
        <sz val="12"/>
        <rFont val="宋体"/>
        <charset val="134"/>
      </rPr>
      <t/>
    </r>
  </si>
  <si>
    <t>球閥-L-2分-6分內牙</t>
    <phoneticPr fontId="70" type="noConversion"/>
  </si>
  <si>
    <t>球閥-L-2分-3分內牙</t>
    <phoneticPr fontId="70" type="noConversion"/>
  </si>
  <si>
    <t>球閥-L-3分-3分內牙</t>
    <phoneticPr fontId="70" type="noConversion"/>
  </si>
  <si>
    <t>球閥-L-3分-2分內牙</t>
    <phoneticPr fontId="70" type="noConversion"/>
  </si>
  <si>
    <t>立布-3分</t>
    <phoneticPr fontId="70" type="noConversion"/>
  </si>
  <si>
    <t>立布-2分</t>
    <phoneticPr fontId="70" type="noConversion"/>
  </si>
  <si>
    <t>廢水比-300</t>
    <phoneticPr fontId="70" type="noConversion"/>
  </si>
  <si>
    <t>廢水比-650</t>
    <phoneticPr fontId="70" type="noConversion"/>
  </si>
  <si>
    <t>廢水比-350</t>
    <phoneticPr fontId="70" type="noConversion"/>
  </si>
  <si>
    <t>廢水比-550</t>
    <phoneticPr fontId="70" type="noConversion"/>
  </si>
  <si>
    <t>廢水比-420</t>
    <phoneticPr fontId="70" type="noConversion"/>
  </si>
  <si>
    <t>Y-2分-2分-2分</t>
    <phoneticPr fontId="70" type="noConversion"/>
  </si>
  <si>
    <t>L-2分-2分外牙</t>
    <phoneticPr fontId="70" type="noConversion"/>
  </si>
  <si>
    <t>s5</t>
    <phoneticPr fontId="70" type="noConversion"/>
  </si>
  <si>
    <t>2分轉2分細內牙鵝頸快接頭</t>
    <phoneticPr fontId="2" type="noConversion"/>
  </si>
  <si>
    <t>s6</t>
    <phoneticPr fontId="70" type="noConversion"/>
  </si>
  <si>
    <t>L-2分-3分</t>
    <phoneticPr fontId="70" type="noConversion"/>
  </si>
  <si>
    <t>T-2分-3分-2分</t>
    <phoneticPr fontId="70" type="noConversion"/>
  </si>
  <si>
    <t>T-2分-3分-3分</t>
    <phoneticPr fontId="70" type="noConversion"/>
  </si>
  <si>
    <t>直-2分-3分快插</t>
  </si>
  <si>
    <t>直-2分-2分快插</t>
  </si>
  <si>
    <t>直-3分-2分快插</t>
  </si>
  <si>
    <t>球閥-L-2分-2分內牙-陶瓷</t>
    <phoneticPr fontId="70" type="noConversion"/>
  </si>
  <si>
    <t>球閥-L-2分-2分內牙-陶瓷(免卡)</t>
    <phoneticPr fontId="70" type="noConversion"/>
  </si>
  <si>
    <t>閥廢水比</t>
    <phoneticPr fontId="2" type="noConversion"/>
  </si>
  <si>
    <t>381.01</t>
    <phoneticPr fontId="70" type="noConversion"/>
  </si>
  <si>
    <t>381.02</t>
  </si>
  <si>
    <t>381.03</t>
  </si>
  <si>
    <t>381.04</t>
  </si>
  <si>
    <t>381.05</t>
  </si>
  <si>
    <t>381.06</t>
  </si>
  <si>
    <t>381.07</t>
  </si>
  <si>
    <t>381.08</t>
  </si>
  <si>
    <t>381.09</t>
  </si>
  <si>
    <t>381.10</t>
  </si>
  <si>
    <t>381.11</t>
  </si>
  <si>
    <t>381.12</t>
  </si>
  <si>
    <t>381.13</t>
  </si>
  <si>
    <t>381.14</t>
  </si>
  <si>
    <t>381.15</t>
  </si>
  <si>
    <t>381.16</t>
  </si>
  <si>
    <t>381.17</t>
  </si>
  <si>
    <t>381.18</t>
  </si>
  <si>
    <t>381.19</t>
  </si>
  <si>
    <t>381.20</t>
  </si>
  <si>
    <t>381.32</t>
  </si>
  <si>
    <t>381.33</t>
  </si>
  <si>
    <t>381.34</t>
  </si>
  <si>
    <t>381.35</t>
  </si>
  <si>
    <t>381.36</t>
  </si>
  <si>
    <t>381.37</t>
  </si>
  <si>
    <t>381.38</t>
  </si>
  <si>
    <t>381.39</t>
  </si>
  <si>
    <t>381.40</t>
  </si>
  <si>
    <t>381.41</t>
  </si>
  <si>
    <t>381.42</t>
  </si>
  <si>
    <t>381.43</t>
  </si>
  <si>
    <t>381.44</t>
  </si>
  <si>
    <t>381.45</t>
  </si>
  <si>
    <t>381.46</t>
  </si>
  <si>
    <t>381.47</t>
  </si>
  <si>
    <t>381.48</t>
  </si>
  <si>
    <t>381.49</t>
  </si>
  <si>
    <t>381.50</t>
  </si>
  <si>
    <t>381.51</t>
  </si>
  <si>
    <t>381.52</t>
  </si>
  <si>
    <t>381.54</t>
  </si>
  <si>
    <t>381.56</t>
  </si>
  <si>
    <t>381.57</t>
  </si>
  <si>
    <t>381.58</t>
  </si>
  <si>
    <t>381.59</t>
  </si>
  <si>
    <t>381.60</t>
  </si>
  <si>
    <t>381.61</t>
  </si>
  <si>
    <t>381.62</t>
  </si>
  <si>
    <t>381.63</t>
  </si>
  <si>
    <t>381.64</t>
  </si>
  <si>
    <t>381.65</t>
  </si>
  <si>
    <t>381.66</t>
  </si>
  <si>
    <t>381.67</t>
  </si>
  <si>
    <t>381.68</t>
  </si>
  <si>
    <t>381.69</t>
  </si>
  <si>
    <t>382.01</t>
    <phoneticPr fontId="70" type="noConversion"/>
  </si>
  <si>
    <t>382.02</t>
  </si>
  <si>
    <t>382.03</t>
  </si>
  <si>
    <t>382.04</t>
  </si>
  <si>
    <t>382.05</t>
  </si>
  <si>
    <t>382.06</t>
  </si>
  <si>
    <t>382.07</t>
  </si>
  <si>
    <t>382.09</t>
  </si>
  <si>
    <t>382.10</t>
  </si>
  <si>
    <t>382.11</t>
  </si>
  <si>
    <t>382.12</t>
  </si>
  <si>
    <t>382.13</t>
  </si>
  <si>
    <t>382.31</t>
    <phoneticPr fontId="70" type="noConversion"/>
  </si>
  <si>
    <t>382.32</t>
  </si>
  <si>
    <t>382.33</t>
  </si>
  <si>
    <t>382.34</t>
  </si>
  <si>
    <t>382.35</t>
  </si>
  <si>
    <t>382.36</t>
  </si>
  <si>
    <r>
      <t>s</t>
    </r>
    <r>
      <rPr>
        <sz val="12"/>
        <rFont val="宋体"/>
        <charset val="134"/>
      </rPr>
      <t>7</t>
    </r>
    <phoneticPr fontId="70" type="noConversion"/>
  </si>
  <si>
    <r>
      <t>s</t>
    </r>
    <r>
      <rPr>
        <sz val="12"/>
        <rFont val="宋体"/>
        <charset val="134"/>
      </rPr>
      <t>8</t>
    </r>
    <phoneticPr fontId="70" type="noConversion"/>
  </si>
  <si>
    <t>廢水比-400</t>
    <phoneticPr fontId="70" type="noConversion"/>
  </si>
  <si>
    <t>廢水比-450</t>
    <phoneticPr fontId="70" type="noConversion"/>
  </si>
  <si>
    <t>382.37</t>
  </si>
  <si>
    <t>382.38</t>
  </si>
  <si>
    <t>廢水比-800</t>
    <phoneticPr fontId="70" type="noConversion"/>
  </si>
  <si>
    <t>廢水比-1000</t>
    <phoneticPr fontId="70" type="noConversion"/>
  </si>
  <si>
    <t>廢水比-1200</t>
    <phoneticPr fontId="70" type="noConversion"/>
  </si>
  <si>
    <t>廢水比-1500</t>
    <phoneticPr fontId="70" type="noConversion"/>
  </si>
  <si>
    <t>立布-4分</t>
    <phoneticPr fontId="70" type="noConversion"/>
  </si>
  <si>
    <t>s9</t>
    <phoneticPr fontId="70" type="noConversion"/>
  </si>
  <si>
    <t>s10</t>
  </si>
  <si>
    <t>s11</t>
  </si>
  <si>
    <t>s12</t>
  </si>
  <si>
    <t>s13</t>
    <phoneticPr fontId="70" type="noConversion"/>
  </si>
  <si>
    <t>s14</t>
  </si>
  <si>
    <t>立布-6分</t>
    <phoneticPr fontId="70" type="noConversion"/>
  </si>
  <si>
    <t>382.40</t>
  </si>
  <si>
    <t>382.41</t>
  </si>
  <si>
    <t>382.42</t>
  </si>
  <si>
    <t>382.51</t>
    <phoneticPr fontId="70" type="noConversion"/>
  </si>
  <si>
    <t>382.52</t>
  </si>
  <si>
    <t>382.53</t>
  </si>
  <si>
    <t>382.54</t>
  </si>
  <si>
    <t>383.01</t>
    <phoneticPr fontId="70" type="noConversion"/>
  </si>
  <si>
    <t>381.31</t>
    <phoneticPr fontId="70" type="noConversion"/>
  </si>
  <si>
    <t>直-2分-1分細內牙</t>
    <phoneticPr fontId="70" type="noConversion"/>
  </si>
  <si>
    <r>
      <t>L-2分-1分內牙</t>
    </r>
    <r>
      <rPr>
        <sz val="10"/>
        <rFont val="宋体"/>
        <charset val="134"/>
      </rPr>
      <t>(細內牙?)</t>
    </r>
    <phoneticPr fontId="70" type="noConversion"/>
  </si>
  <si>
    <t>K4046N接头3分内牙转2分快接 L型弯头 3分内螺纹转2分快接</t>
    <phoneticPr fontId="70" type="noConversion"/>
  </si>
  <si>
    <r>
      <t>381.</t>
    </r>
    <r>
      <rPr>
        <sz val="10"/>
        <rFont val="宋体"/>
        <charset val="134"/>
      </rPr>
      <t>70</t>
    </r>
    <phoneticPr fontId="70" type="noConversion"/>
  </si>
  <si>
    <r>
      <t>381.</t>
    </r>
    <r>
      <rPr>
        <sz val="10"/>
        <rFont val="宋体"/>
        <charset val="134"/>
      </rPr>
      <t>55</t>
    </r>
    <phoneticPr fontId="70" type="noConversion"/>
  </si>
  <si>
    <t>381.53</t>
    <phoneticPr fontId="70" type="noConversion"/>
  </si>
  <si>
    <t>世通接头 三分内螺纹转三分快接 弯头 L型转换接头快接弯头</t>
    <phoneticPr fontId="70" type="noConversion"/>
  </si>
  <si>
    <r>
      <t>3</t>
    </r>
    <r>
      <rPr>
        <sz val="10"/>
        <rFont val="宋体"/>
        <charset val="134"/>
      </rPr>
      <t>21.05</t>
    </r>
    <phoneticPr fontId="2" type="noConversion"/>
  </si>
  <si>
    <r>
      <t>3</t>
    </r>
    <r>
      <rPr>
        <sz val="10"/>
        <rFont val="宋体"/>
        <charset val="134"/>
      </rPr>
      <t>21.40</t>
    </r>
    <phoneticPr fontId="2" type="noConversion"/>
  </si>
  <si>
    <r>
      <t>3</t>
    </r>
    <r>
      <rPr>
        <sz val="10"/>
        <rFont val="宋体"/>
        <charset val="134"/>
      </rPr>
      <t>21.41</t>
    </r>
    <phoneticPr fontId="2" type="noConversion"/>
  </si>
  <si>
    <t>RJ45端子-水晶頭套CAT5e低價-灰</t>
    <phoneticPr fontId="2" type="noConversion"/>
  </si>
  <si>
    <t>RJ45端子-水晶頭套CAT5e低價-藍</t>
    <phoneticPr fontId="2" type="noConversion"/>
  </si>
  <si>
    <t>七类护套 水晶头套 保护套 批发 黑色 656(黃)</t>
    <phoneticPr fontId="58" type="noConversion"/>
  </si>
  <si>
    <t>RJ45网络水晶护套 8P8C水晶胶套 彩色水晶护套 超五类水晶护套 彩色</t>
    <phoneticPr fontId="2" type="noConversion"/>
  </si>
  <si>
    <t>1.5米3.5mm一分二RCA音频线3.5转双莲花电脑连接线一对二音频线 黑 线长：1.5米实际1.4米102</t>
    <phoneticPr fontId="2" type="noConversion"/>
  </si>
  <si>
    <t>1分2轉接線-音頻3.5mm公轉2RCA公金頭1.5m</t>
    <phoneticPr fontId="2" type="noConversion"/>
  </si>
  <si>
    <t>1分3轉接線-音頻3.5mm公轉3RCA母金頭</t>
    <phoneticPr fontId="2" type="noConversion"/>
  </si>
  <si>
    <t>1分2轉接線-音頻3.5mm公轉2RCA母</t>
    <phoneticPr fontId="2" type="noConversion"/>
  </si>
  <si>
    <t>1分3轉接線-音頻3.5mm公轉3RCA公1.5m</t>
    <phoneticPr fontId="2" type="noConversion"/>
  </si>
  <si>
    <t>RCA連接線-2公2公1.5m金頭</t>
    <phoneticPr fontId="2" type="noConversion"/>
  </si>
  <si>
    <t>RCA連接線-3公3公1.5m金頭</t>
    <phoneticPr fontId="2" type="noConversion"/>
  </si>
  <si>
    <t>音頻線3.5mm-公公黑色金頭1.5m</t>
    <phoneticPr fontId="2" type="noConversion"/>
  </si>
  <si>
    <t>音頻線3.5mm-公母黑色全銅金頭1.5m</t>
    <phoneticPr fontId="2" type="noConversion"/>
  </si>
  <si>
    <t>明雅K5转换插旅游转换插头转换器 转换插头 带开关转换插座一转3 K5 白色</t>
    <phoneticPr fontId="2" type="noConversion"/>
  </si>
  <si>
    <t>多孔位轉換插座-2位3孔轉扁2插帶開關K5</t>
    <phoneticPr fontId="2" type="noConversion"/>
  </si>
  <si>
    <r>
      <t>多孔位轉換插座-3位3孔轉扁2插帶按鈕開關</t>
    </r>
    <r>
      <rPr>
        <sz val="10"/>
        <rFont val="宋体"/>
        <charset val="134"/>
      </rPr>
      <t>K2</t>
    </r>
    <phoneticPr fontId="2" type="noConversion"/>
  </si>
  <si>
    <r>
      <t>多孔位轉換插座-3位3孔轉扁2插帶船形開關</t>
    </r>
    <r>
      <rPr>
        <sz val="10"/>
        <rFont val="宋体"/>
        <charset val="134"/>
      </rPr>
      <t>K3</t>
    </r>
    <phoneticPr fontId="2" type="noConversion"/>
  </si>
  <si>
    <r>
      <t>多孔位轉換插座-4位3孔轉扁2插</t>
    </r>
    <r>
      <rPr>
        <sz val="10"/>
        <rFont val="宋体"/>
        <charset val="134"/>
      </rPr>
      <t>K8</t>
    </r>
    <phoneticPr fontId="2" type="noConversion"/>
  </si>
  <si>
    <r>
      <t>多孔位轉換插座-可旋轉4位3孔轉扁2插</t>
    </r>
    <r>
      <rPr>
        <sz val="10"/>
        <rFont val="宋体"/>
        <charset val="134"/>
      </rPr>
      <t>K4</t>
    </r>
    <phoneticPr fontId="2" type="noConversion"/>
  </si>
  <si>
    <t>轉換插座-3孔轉美英歐3種小布袋</t>
    <phoneticPr fontId="2" type="noConversion"/>
  </si>
  <si>
    <t>一拖四多功能两扁转换插头插座转换器一体成型防摔 电源旅行插座 K8 2扁</t>
    <phoneticPr fontId="2" type="noConversion"/>
  </si>
  <si>
    <t>多孔位轉換插座-3位扁2插迷你彩色</t>
    <phoneticPr fontId="2" type="noConversion"/>
  </si>
  <si>
    <t>镀金200A鳄鱼夹汽车大号电瓶夹大电流鳄鱼夹200A 鳄鱼夹长140MM</t>
    <phoneticPr fontId="2" type="noConversion"/>
  </si>
  <si>
    <r>
      <t>鰐魚夾-140mm鍍金200A</t>
    </r>
    <r>
      <rPr>
        <sz val="10"/>
        <rFont val="宋体"/>
        <charset val="134"/>
      </rPr>
      <t>-黑</t>
    </r>
    <phoneticPr fontId="2" type="noConversion"/>
  </si>
  <si>
    <r>
      <t>鰐魚夾-140mm鍍金200A</t>
    </r>
    <r>
      <rPr>
        <sz val="10"/>
        <rFont val="宋体"/>
        <charset val="134"/>
      </rPr>
      <t>-紅</t>
    </r>
    <phoneticPr fontId="2" type="noConversion"/>
  </si>
  <si>
    <r>
      <t>鰐魚夾-102mm鍍銅60A</t>
    </r>
    <r>
      <rPr>
        <sz val="10"/>
        <rFont val="宋体"/>
        <charset val="134"/>
      </rPr>
      <t>-黑紅1對</t>
    </r>
    <phoneticPr fontId="2" type="noConversion"/>
  </si>
  <si>
    <r>
      <t>鰐魚夾-90mm全包鍍銅100A</t>
    </r>
    <r>
      <rPr>
        <sz val="10"/>
        <rFont val="宋体"/>
        <charset val="134"/>
      </rPr>
      <t>-黑</t>
    </r>
    <phoneticPr fontId="2" type="noConversion"/>
  </si>
  <si>
    <r>
      <t>鰐魚夾-90mm全包鍍銅100A</t>
    </r>
    <r>
      <rPr>
        <sz val="10"/>
        <rFont val="宋体"/>
        <charset val="134"/>
      </rPr>
      <t>-紅</t>
    </r>
    <phoneticPr fontId="2" type="noConversion"/>
  </si>
  <si>
    <t>鰐魚夾-75mm全包膠護套彈簧20A-黑</t>
    <phoneticPr fontId="2" type="noConversion"/>
  </si>
  <si>
    <t>鰐魚夾-75mm全包膠護套彈簧20A-紅</t>
    <phoneticPr fontId="2" type="noConversion"/>
  </si>
  <si>
    <r>
      <t>315.0</t>
    </r>
    <r>
      <rPr>
        <sz val="10"/>
        <rFont val="宋体"/>
        <charset val="134"/>
      </rPr>
      <t>8</t>
    </r>
    <phoneticPr fontId="2" type="noConversion"/>
  </si>
  <si>
    <r>
      <t>315.09</t>
    </r>
    <r>
      <rPr>
        <sz val="10"/>
        <rFont val="宋体"/>
        <charset val="134"/>
      </rPr>
      <t/>
    </r>
  </si>
  <si>
    <r>
      <t>315.10</t>
    </r>
    <r>
      <rPr>
        <sz val="10"/>
        <rFont val="宋体"/>
        <charset val="134"/>
      </rPr>
      <t/>
    </r>
  </si>
  <si>
    <r>
      <t>315.11</t>
    </r>
    <r>
      <rPr>
        <sz val="10"/>
        <rFont val="宋体"/>
        <charset val="134"/>
      </rPr>
      <t/>
    </r>
  </si>
  <si>
    <t>315.12</t>
    <phoneticPr fontId="2" type="noConversion"/>
  </si>
  <si>
    <t>315.13</t>
  </si>
  <si>
    <t>315.15</t>
  </si>
  <si>
    <t>315.19</t>
  </si>
  <si>
    <t>315.20</t>
  </si>
  <si>
    <t>315.21</t>
  </si>
  <si>
    <t>315.22</t>
  </si>
  <si>
    <t>315.27</t>
    <phoneticPr fontId="2" type="noConversion"/>
  </si>
  <si>
    <t>直销60A102mm镀铜50A镀铜鳄鱼夹逆变机超声波套件鳄鱼夹 蓄电池夹</t>
    <phoneticPr fontId="2" type="noConversion"/>
  </si>
  <si>
    <t>307.04</t>
    <phoneticPr fontId="2" type="noConversion"/>
  </si>
  <si>
    <t>307.05</t>
    <phoneticPr fontId="2" type="noConversion"/>
  </si>
  <si>
    <t>20A大电流全包鳄鱼夹 测试夹 弹簧夹 电夹 大号护套鳄鱼夹 75mm</t>
    <phoneticPr fontId="2" type="noConversion"/>
  </si>
  <si>
    <t>315.16</t>
    <phoneticPr fontId="2" type="noConversion"/>
  </si>
  <si>
    <t>315.17</t>
    <phoneticPr fontId="2" type="noConversion"/>
  </si>
  <si>
    <t>315.18</t>
    <phoneticPr fontId="2" type="noConversion"/>
  </si>
  <si>
    <r>
      <t>鰐魚夾-80mm鍍銅50A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</si>
  <si>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鰐魚夾-75mm鍍銅30A</t>
    </r>
    <r>
      <rPr>
        <sz val="10"/>
        <rFont val="宋体"/>
        <charset val="134"/>
      </rPr>
      <t>-</t>
    </r>
    <r>
      <rPr>
        <sz val="10"/>
        <rFont val="宋体"/>
        <charset val="134"/>
      </rPr>
      <t>黑紅</t>
    </r>
    <r>
      <rPr>
        <sz val="10"/>
        <rFont val="宋体"/>
        <charset val="134"/>
      </rPr>
      <t>1</t>
    </r>
    <r>
      <rPr>
        <sz val="10"/>
        <rFont val="宋体"/>
        <charset val="134"/>
      </rPr>
      <t>對</t>
    </r>
    <phoneticPr fontId="2" type="noConversion"/>
  </si>
  <si>
    <t>鰐魚夾-大護套銅5A-黑紅1對</t>
    <phoneticPr fontId="2" type="noConversion"/>
  </si>
  <si>
    <r>
      <t>鰐魚夾-小護套銅5A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</si>
  <si>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鰐魚夾-中護套銅5A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</si>
  <si>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鰐魚夾-55mm鐵鍍鎳帶塑膠長短手柄5A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</si>
  <si>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鰐魚夾-52mm鐵鍍鎳帶塑膠手柄5A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</si>
  <si>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鰐魚夾-50mm鐵鍍鎳帶塑膠單手柄5A</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</si>
  <si>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鰐魚夾-35mm鐵鍍鎳帶塑膠手柄5A</t>
    </r>
    <r>
      <rPr>
        <sz val="10"/>
        <rFont val="宋体"/>
        <charset val="134"/>
      </rPr>
      <t>-</t>
    </r>
    <r>
      <rPr>
        <sz val="10"/>
        <rFont val="宋体"/>
        <charset val="134"/>
      </rPr>
      <t>黑紅</t>
    </r>
    <r>
      <rPr>
        <sz val="10"/>
        <rFont val="宋体"/>
        <charset val="134"/>
      </rPr>
      <t>1</t>
    </r>
    <r>
      <rPr>
        <sz val="10"/>
        <rFont val="宋体"/>
        <charset val="134"/>
      </rPr>
      <t>對</t>
    </r>
    <phoneticPr fontId="2" type="noConversion"/>
  </si>
  <si>
    <t>USB連接線-公公藍色透明全銅帶磁環1.5m</t>
    <phoneticPr fontId="2" type="noConversion"/>
  </si>
  <si>
    <t>USB連接線-公母黑色全銅帶磁環1.5m</t>
    <phoneticPr fontId="2" type="noConversion"/>
  </si>
  <si>
    <t>USB連接線-公公黑色全銅帶磁環1.5m</t>
    <phoneticPr fontId="2" type="noConversion"/>
  </si>
  <si>
    <t>音頻線3.5mm-公公金屬彩色殼鍍金頭編織線1m</t>
    <phoneticPr fontId="2" type="noConversion"/>
  </si>
  <si>
    <t>音頻線3.5mm-公公金屬金色殼鍍金頭編織線1m</t>
    <phoneticPr fontId="2" type="noConversion"/>
  </si>
  <si>
    <r>
      <t>轉接頭-RS232公轉</t>
    </r>
    <r>
      <rPr>
        <sz val="10"/>
        <rFont val="宋体"/>
        <charset val="134"/>
      </rPr>
      <t>RS232</t>
    </r>
    <r>
      <rPr>
        <sz val="10"/>
        <rFont val="宋体"/>
        <charset val="134"/>
      </rPr>
      <t>公</t>
    </r>
    <phoneticPr fontId="2" type="noConversion"/>
  </si>
  <si>
    <r>
      <t>轉接頭-RS232公轉</t>
    </r>
    <r>
      <rPr>
        <sz val="10"/>
        <rFont val="宋体"/>
        <charset val="134"/>
      </rPr>
      <t>RS232</t>
    </r>
    <r>
      <rPr>
        <sz val="10"/>
        <rFont val="宋体"/>
        <charset val="134"/>
      </rPr>
      <t>母</t>
    </r>
    <phoneticPr fontId="2" type="noConversion"/>
  </si>
  <si>
    <r>
      <t>轉接頭-RS232母轉</t>
    </r>
    <r>
      <rPr>
        <sz val="10"/>
        <rFont val="宋体"/>
        <charset val="134"/>
      </rPr>
      <t>RS232</t>
    </r>
    <r>
      <rPr>
        <sz val="10"/>
        <rFont val="宋体"/>
        <charset val="134"/>
      </rPr>
      <t>母</t>
    </r>
    <phoneticPr fontId="2" type="noConversion"/>
  </si>
  <si>
    <r>
      <t>RCA連接線-1分2</t>
    </r>
    <r>
      <rPr>
        <sz val="10"/>
        <rFont val="宋体"/>
        <charset val="134"/>
      </rPr>
      <t>-</t>
    </r>
    <r>
      <rPr>
        <sz val="10"/>
        <rFont val="宋体"/>
        <charset val="134"/>
      </rPr>
      <t>公轉2母32cm</t>
    </r>
    <phoneticPr fontId="2" type="noConversion"/>
  </si>
  <si>
    <r>
      <t>RCA連接線-1分2-</t>
    </r>
    <r>
      <rPr>
        <sz val="10"/>
        <rFont val="宋体"/>
        <charset val="134"/>
      </rPr>
      <t>母轉2公</t>
    </r>
    <r>
      <rPr>
        <sz val="10"/>
        <rFont val="宋体"/>
        <charset val="134"/>
      </rPr>
      <t>30cm</t>
    </r>
    <phoneticPr fontId="2" type="noConversion"/>
  </si>
  <si>
    <t>RCA接頭-母母鍍金</t>
    <phoneticPr fontId="2" type="noConversion"/>
  </si>
  <si>
    <t>供应 3.5一分二音频转接头 3.5公转两个3.5母 耳机转接头 情侣插 102</t>
    <phoneticPr fontId="2" type="noConversion"/>
  </si>
  <si>
    <r>
      <t>334.0</t>
    </r>
    <r>
      <rPr>
        <sz val="10"/>
        <rFont val="宋体"/>
        <charset val="134"/>
      </rPr>
      <t>2</t>
    </r>
    <phoneticPr fontId="2" type="noConversion"/>
  </si>
  <si>
    <r>
      <t>334.0</t>
    </r>
    <r>
      <rPr>
        <sz val="10"/>
        <rFont val="宋体"/>
        <charset val="134"/>
      </rPr>
      <t>3</t>
    </r>
    <phoneticPr fontId="2" type="noConversion"/>
  </si>
  <si>
    <r>
      <t>334.0</t>
    </r>
    <r>
      <rPr>
        <sz val="10"/>
        <rFont val="宋体"/>
        <charset val="134"/>
      </rPr>
      <t>4</t>
    </r>
    <phoneticPr fontId="2" type="noConversion"/>
  </si>
  <si>
    <t>1分2轉接頭-音頻6.35mm公轉2RCA母</t>
    <phoneticPr fontId="2" type="noConversion"/>
  </si>
  <si>
    <t>x</t>
    <phoneticPr fontId="2" type="noConversion"/>
  </si>
  <si>
    <r>
      <t>333.</t>
    </r>
    <r>
      <rPr>
        <sz val="10"/>
        <rFont val="宋体"/>
        <charset val="134"/>
      </rPr>
      <t>12</t>
    </r>
    <phoneticPr fontId="2" type="noConversion"/>
  </si>
  <si>
    <r>
      <t>333.</t>
    </r>
    <r>
      <rPr>
        <sz val="10"/>
        <rFont val="宋体"/>
        <charset val="134"/>
      </rPr>
      <t>01</t>
    </r>
    <phoneticPr fontId="2" type="noConversion"/>
  </si>
  <si>
    <r>
      <t>香蕉頭2mm-純銅鍍金直針型</t>
    </r>
    <r>
      <rPr>
        <sz val="10"/>
        <rFont val="宋体"/>
        <charset val="134"/>
      </rPr>
      <t>-黑</t>
    </r>
    <phoneticPr fontId="2" type="noConversion"/>
  </si>
  <si>
    <r>
      <t>香蕉頭2mm-純銅鍍金直針型</t>
    </r>
    <r>
      <rPr>
        <sz val="10"/>
        <rFont val="宋体"/>
        <charset val="134"/>
      </rPr>
      <t>-紅</t>
    </r>
    <phoneticPr fontId="2" type="noConversion"/>
  </si>
  <si>
    <r>
      <t>香蕉頭4mm-百威鍍金</t>
    </r>
    <r>
      <rPr>
        <sz val="10"/>
        <rFont val="宋体"/>
        <charset val="134"/>
      </rPr>
      <t>-黑</t>
    </r>
    <phoneticPr fontId="2" type="noConversion"/>
  </si>
  <si>
    <t>香蕉頭4mm-百威鍍金-紅</t>
    <phoneticPr fontId="2" type="noConversion"/>
  </si>
  <si>
    <r>
      <t>香蕉頭4mm-鍍金四頁型</t>
    </r>
    <r>
      <rPr>
        <sz val="10"/>
        <rFont val="宋体"/>
        <charset val="134"/>
      </rPr>
      <t>-黑紅1對</t>
    </r>
    <phoneticPr fontId="2" type="noConversion"/>
  </si>
  <si>
    <t>香蕉頭4mm-鍍鎳四頁型-黑紅1對</t>
    <phoneticPr fontId="2" type="noConversion"/>
  </si>
  <si>
    <r>
      <t>香蕉頭4mm-怪獸純銅鍍金四頁型</t>
    </r>
    <r>
      <rPr>
        <sz val="10"/>
        <rFont val="宋体"/>
        <charset val="134"/>
      </rPr>
      <t>-黑</t>
    </r>
    <phoneticPr fontId="2" type="noConversion"/>
  </si>
  <si>
    <r>
      <t>香蕉頭4mm-怪獸純銅鍍金四頁型</t>
    </r>
    <r>
      <rPr>
        <sz val="10"/>
        <rFont val="宋体"/>
        <charset val="134"/>
      </rPr>
      <t>-紅</t>
    </r>
    <phoneticPr fontId="2" type="noConversion"/>
  </si>
  <si>
    <t>厂家直销 怪兽香蕉插头24K镀金纯铜 发烧喇叭音箱插头 香蕉头</t>
    <phoneticPr fontId="2" type="noConversion"/>
  </si>
  <si>
    <r>
      <t>香蕉頭4mm-雙聯鐵鍍鎳</t>
    </r>
    <r>
      <rPr>
        <sz val="10"/>
        <rFont val="宋体"/>
        <charset val="134"/>
      </rPr>
      <t>-黑</t>
    </r>
    <phoneticPr fontId="2" type="noConversion"/>
  </si>
  <si>
    <r>
      <t>香蕉頭4mm-雙聯鐵鍍鎳</t>
    </r>
    <r>
      <rPr>
        <sz val="10"/>
        <rFont val="宋体"/>
        <charset val="134"/>
      </rPr>
      <t>-紅</t>
    </r>
    <phoneticPr fontId="2" type="noConversion"/>
  </si>
  <si>
    <r>
      <t>香蕉頭4mm-中道純銅鍍金鋁殼L彎頭型</t>
    </r>
    <r>
      <rPr>
        <sz val="10"/>
        <rFont val="宋体"/>
        <charset val="134"/>
      </rPr>
      <t>-黑</t>
    </r>
    <phoneticPr fontId="2" type="noConversion"/>
  </si>
  <si>
    <r>
      <t>香蕉頭4mm-中道純銅鍍金鋁殼L彎頭型</t>
    </r>
    <r>
      <rPr>
        <sz val="10"/>
        <rFont val="宋体"/>
        <charset val="134"/>
      </rPr>
      <t>-紅</t>
    </r>
    <phoneticPr fontId="2" type="noConversion"/>
  </si>
  <si>
    <t>中道纯铜镀金banana头香蕉插头喇叭线Y型插头/U型插头音响线接头102</t>
    <phoneticPr fontId="2" type="noConversion"/>
  </si>
  <si>
    <r>
      <t>香蕉頭4mm-中道純銅鍍金鋁殼鋸齒型</t>
    </r>
    <r>
      <rPr>
        <sz val="10"/>
        <rFont val="宋体"/>
        <charset val="134"/>
      </rPr>
      <t>-黑</t>
    </r>
    <phoneticPr fontId="2" type="noConversion"/>
  </si>
  <si>
    <r>
      <t>香蕉頭4mm-中道純銅鍍金鋁殼鋸齒型</t>
    </r>
    <r>
      <rPr>
        <sz val="10"/>
        <rFont val="宋体"/>
        <charset val="134"/>
      </rPr>
      <t>-紅</t>
    </r>
    <phoneticPr fontId="2" type="noConversion"/>
  </si>
  <si>
    <t>335.17</t>
  </si>
  <si>
    <t>335.18</t>
  </si>
  <si>
    <t>中道Nakamichi 纯铜镀金香蕉插头 免焊接4MM香蕉头音响喇叭线插头 中道香蕉102</t>
    <phoneticPr fontId="2" type="noConversion"/>
  </si>
  <si>
    <t>335.19</t>
  </si>
  <si>
    <t>335.20</t>
  </si>
  <si>
    <t>335.21</t>
  </si>
  <si>
    <t>335.22</t>
  </si>
  <si>
    <t>厂家直销六角棱4mm香蕉插座纯铜镀金 功放音响音箱接线柱接线端子105</t>
    <phoneticPr fontId="2" type="noConversion"/>
  </si>
  <si>
    <r>
      <t>香蕉頭4mm-中道純銅鍍金四頁型</t>
    </r>
    <r>
      <rPr>
        <sz val="10"/>
        <rFont val="宋体"/>
        <charset val="134"/>
      </rPr>
      <t>-黑</t>
    </r>
    <phoneticPr fontId="2" type="noConversion"/>
  </si>
  <si>
    <r>
      <t>香蕉頭4mm-中道純銅鍍金四頁型</t>
    </r>
    <r>
      <rPr>
        <sz val="10"/>
        <rFont val="宋体"/>
        <charset val="134"/>
      </rPr>
      <t>-紅</t>
    </r>
    <phoneticPr fontId="2" type="noConversion"/>
  </si>
  <si>
    <r>
      <t>香蕉頭4mm-中道純銅鋁殼六芯型</t>
    </r>
    <r>
      <rPr>
        <sz val="10"/>
        <rFont val="宋体"/>
        <charset val="134"/>
      </rPr>
      <t>-黑</t>
    </r>
    <phoneticPr fontId="2" type="noConversion"/>
  </si>
  <si>
    <r>
      <t>香蕉頭4mm-中道純銅鋁殼六芯型</t>
    </r>
    <r>
      <rPr>
        <sz val="10"/>
        <rFont val="宋体"/>
        <charset val="134"/>
      </rPr>
      <t>-紅</t>
    </r>
    <phoneticPr fontId="2" type="noConversion"/>
  </si>
  <si>
    <r>
      <t>香蕉頭插座4mm-純銅鍍金圓柱型</t>
    </r>
    <r>
      <rPr>
        <sz val="10"/>
        <rFont val="宋体"/>
        <charset val="134"/>
      </rPr>
      <t>-黑</t>
    </r>
    <phoneticPr fontId="2" type="noConversion"/>
  </si>
  <si>
    <r>
      <t>香蕉頭插座4mm-純銅鍍金圓柱型</t>
    </r>
    <r>
      <rPr>
        <sz val="10"/>
        <rFont val="宋体"/>
        <charset val="134"/>
      </rPr>
      <t>-紅</t>
    </r>
    <phoneticPr fontId="2" type="noConversion"/>
  </si>
  <si>
    <r>
      <t>香蕉頭4mm-中道純銅鍍金鋁殼Y型</t>
    </r>
    <r>
      <rPr>
        <sz val="10"/>
        <rFont val="宋体"/>
        <charset val="134"/>
      </rPr>
      <t>-黑</t>
    </r>
    <phoneticPr fontId="2" type="noConversion"/>
  </si>
  <si>
    <r>
      <t>香蕉頭4mm-中道純銅鍍金鋁殼Y型</t>
    </r>
    <r>
      <rPr>
        <sz val="10"/>
        <rFont val="宋体"/>
        <charset val="134"/>
      </rPr>
      <t>-紅</t>
    </r>
    <phoneticPr fontId="2" type="noConversion"/>
  </si>
  <si>
    <r>
      <t>香蕉頭插座4mm-鍍銅六角型</t>
    </r>
    <r>
      <rPr>
        <sz val="10"/>
        <rFont val="宋体"/>
        <charset val="134"/>
      </rPr>
      <t>-黑</t>
    </r>
    <phoneticPr fontId="2" type="noConversion"/>
  </si>
  <si>
    <t>香蕉頭插座4mm-鍍銅六角型-紅</t>
    <phoneticPr fontId="2" type="noConversion"/>
  </si>
  <si>
    <t>335.23</t>
  </si>
  <si>
    <t>335.24</t>
  </si>
  <si>
    <t>335.25</t>
  </si>
  <si>
    <t>335.26</t>
  </si>
  <si>
    <t>335.27</t>
  </si>
  <si>
    <r>
      <t>香蕉頭插座4mm-鐵鍍鎳長圓柱型</t>
    </r>
    <r>
      <rPr>
        <sz val="10"/>
        <rFont val="宋体"/>
        <charset val="134"/>
      </rPr>
      <t>-黑紅1對</t>
    </r>
    <phoneticPr fontId="2" type="noConversion"/>
  </si>
  <si>
    <r>
      <t>香蕉頭插座4mm-鐵鍍鎳大圓柱型</t>
    </r>
    <r>
      <rPr>
        <sz val="10"/>
        <rFont val="宋体"/>
        <charset val="134"/>
      </rPr>
      <t>-</t>
    </r>
    <r>
      <rPr>
        <sz val="10"/>
        <rFont val="宋体"/>
        <charset val="134"/>
      </rPr>
      <t>黑紅</t>
    </r>
    <r>
      <rPr>
        <sz val="10"/>
        <rFont val="宋体"/>
        <charset val="134"/>
      </rPr>
      <t>1</t>
    </r>
    <r>
      <rPr>
        <sz val="10"/>
        <rFont val="宋体"/>
        <charset val="134"/>
      </rPr>
      <t>對</t>
    </r>
    <phoneticPr fontId="2" type="noConversion"/>
  </si>
  <si>
    <r>
      <t>香蕉頭插座4mm-鐵鍍鎳圓柱型</t>
    </r>
    <r>
      <rPr>
        <sz val="10"/>
        <rFont val="宋体"/>
        <charset val="134"/>
      </rPr>
      <t>-</t>
    </r>
    <r>
      <rPr>
        <sz val="10"/>
        <rFont val="宋体"/>
        <charset val="134"/>
      </rPr>
      <t>黑紅</t>
    </r>
    <r>
      <rPr>
        <sz val="10"/>
        <rFont val="宋体"/>
        <charset val="134"/>
      </rPr>
      <t>1</t>
    </r>
    <r>
      <rPr>
        <sz val="10"/>
        <rFont val="宋体"/>
        <charset val="134"/>
      </rPr>
      <t>對</t>
    </r>
    <phoneticPr fontId="2" type="noConversion"/>
  </si>
  <si>
    <t>338.30</t>
    <phoneticPr fontId="2" type="noConversion"/>
  </si>
  <si>
    <t>轉接頭-DVI(24+1)公轉VGA母白色</t>
    <phoneticPr fontId="2" type="noConversion"/>
  </si>
  <si>
    <t>轉接頭-DVI(24+1)公轉HDMI母鍍金黑色</t>
    <phoneticPr fontId="2" type="noConversion"/>
  </si>
  <si>
    <t>338.31</t>
  </si>
  <si>
    <t>轉接頭-DVI(24+5)公轉HDMI母鍍金黑色金屬螺絲</t>
    <phoneticPr fontId="2" type="noConversion"/>
  </si>
  <si>
    <t>338.32</t>
  </si>
  <si>
    <t>轉接頭-DVI(24+5)公轉HDMI母鍍金黑色</t>
    <phoneticPr fontId="2" type="noConversion"/>
  </si>
  <si>
    <t>338.33</t>
  </si>
  <si>
    <t>轉接頭-DVI(24+5)公轉VGA母白色</t>
    <phoneticPr fontId="2" type="noConversion"/>
  </si>
  <si>
    <t>338.34</t>
  </si>
  <si>
    <t>轉接頭-DVI(24+5)公轉VGA母黑色金屬螺絲</t>
    <phoneticPr fontId="2" type="noConversion"/>
  </si>
  <si>
    <t>338.35</t>
  </si>
  <si>
    <t>DVI转VGA头 dvi24+5公转vga母转接头 高清公转VGA母连接头 铁螺丝</t>
    <phoneticPr fontId="2" type="noConversion"/>
  </si>
  <si>
    <t>DVI转VGA头 24+5dvi公转vga母转接头 高清公转VGA 母连接头</t>
    <phoneticPr fontId="2" type="noConversion"/>
  </si>
  <si>
    <t>轉接頭-DVI(24+5)公轉VGA母黑色</t>
    <phoneticPr fontId="2" type="noConversion"/>
  </si>
  <si>
    <t>DVI转VGA头 dvi公转vga母转接头 高清公转VGA 母连接头 金属螺丝 DVI 005</t>
    <phoneticPr fontId="2" type="noConversion"/>
  </si>
  <si>
    <t>338.36</t>
  </si>
  <si>
    <t>338.37</t>
    <phoneticPr fontId="2" type="noConversion"/>
  </si>
  <si>
    <t>長CTO箱(71.5x26.5x34.5)</t>
    <phoneticPr fontId="2" type="noConversion"/>
  </si>
  <si>
    <t>雜箱(44*44*47)</t>
    <phoneticPr fontId="53" type="noConversion"/>
  </si>
  <si>
    <t>雜箱(31*38*32)</t>
    <phoneticPr fontId="53" type="noConversion"/>
  </si>
  <si>
    <t>dome</t>
    <phoneticPr fontId="53" type="noConversion"/>
  </si>
  <si>
    <t>42mm*50m封箱膠帶</t>
    <phoneticPr fontId="53" type="noConversion"/>
  </si>
  <si>
    <t>雜箱(29*29*45)</t>
    <phoneticPr fontId="53" type="noConversion"/>
  </si>
  <si>
    <t>魔術貼</t>
    <phoneticPr fontId="53" type="noConversion"/>
  </si>
  <si>
    <t>雜箱(51*27*30)</t>
    <phoneticPr fontId="53" type="noConversion"/>
  </si>
  <si>
    <t>收納盒</t>
    <phoneticPr fontId="53" type="noConversion"/>
  </si>
  <si>
    <t>雜箱(54*27*26)</t>
    <phoneticPr fontId="53" type="noConversion"/>
  </si>
  <si>
    <t>50支小T-PP</t>
    <phoneticPr fontId="53" type="noConversion"/>
  </si>
  <si>
    <t>長CTO箱(71.5*26.5*34.5)</t>
    <phoneticPr fontId="2" type="noConversion"/>
  </si>
  <si>
    <t>氣泡信封箱(50*40*39)</t>
    <phoneticPr fontId="2" type="noConversion"/>
  </si>
  <si>
    <t>牛皮紙氣泡信封</t>
    <phoneticPr fontId="2" type="noConversion"/>
  </si>
  <si>
    <t>珠光膜氣泡信封</t>
    <phoneticPr fontId="2" type="noConversion"/>
  </si>
  <si>
    <t>106.01-106.22</t>
    <phoneticPr fontId="2" type="noConversion"/>
  </si>
  <si>
    <t>10絲白邊PE自封袋5cm*8cm+1.5cm</t>
    <phoneticPr fontId="58" type="noConversion"/>
  </si>
  <si>
    <t>10絲白邊PE自封袋8cm*13cm+1.5cm</t>
    <phoneticPr fontId="58" type="noConversion"/>
  </si>
  <si>
    <t>熱縮管+6.5*8封口氣泡袋</t>
    <phoneticPr fontId="53" type="noConversion"/>
  </si>
  <si>
    <t>352.01-352.05(缺352.03)</t>
    <phoneticPr fontId="2" type="noConversion"/>
  </si>
  <si>
    <t>501.01-504.04(缺502.05-502.09+502.40-502.44)</t>
    <phoneticPr fontId="2" type="noConversion"/>
  </si>
  <si>
    <t>滑鼠+13*13珠光膜+6.5*8封口氣泡袋</t>
  </si>
  <si>
    <t>快遞袋+16*16珠光膜+6.5*8封口氣泡袋</t>
  </si>
  <si>
    <t>眼鏡+13*13珠光膜+6.5*8封口氣泡袋</t>
  </si>
  <si>
    <t>滑鼠+18*23珠光膜+8*13氣泡袋</t>
  </si>
  <si>
    <t>352.03+352.06-352.08</t>
    <phoneticPr fontId="2" type="noConversion"/>
  </si>
  <si>
    <t>雜箱(40*40*40)</t>
    <phoneticPr fontId="53" type="noConversion"/>
  </si>
  <si>
    <t>15*15氣泡袋</t>
    <phoneticPr fontId="53" type="noConversion"/>
  </si>
  <si>
    <t>8*8氣泡袋(8*10作錯)</t>
    <phoneticPr fontId="53" type="noConversion"/>
  </si>
  <si>
    <r>
      <t>c</t>
    </r>
    <r>
      <rPr>
        <sz val="10"/>
        <rFont val="宋体"/>
        <charset val="134"/>
      </rPr>
      <t>onnecter</t>
    </r>
    <phoneticPr fontId="2" type="noConversion"/>
  </si>
  <si>
    <r>
      <rPr>
        <sz val="10"/>
        <rFont val="宋体"/>
        <charset val="134"/>
      </rPr>
      <t xml:space="preserve">reading </t>
    </r>
    <r>
      <rPr>
        <sz val="10"/>
        <rFont val="宋体"/>
        <charset val="134"/>
      </rPr>
      <t>g</t>
    </r>
    <r>
      <rPr>
        <sz val="10"/>
        <rFont val="宋体"/>
        <charset val="134"/>
      </rPr>
      <t>lasses</t>
    </r>
    <phoneticPr fontId="2" type="noConversion"/>
  </si>
  <si>
    <t>雙面膠帶-自熔止漏水</t>
    <phoneticPr fontId="2" type="noConversion"/>
  </si>
  <si>
    <t>鋁箔膠帶</t>
    <phoneticPr fontId="2" type="noConversion"/>
  </si>
  <si>
    <t>美紋紙手撕膠帶</t>
    <phoneticPr fontId="2" type="noConversion"/>
  </si>
  <si>
    <t>汽車輪胎防滑扎帶</t>
    <phoneticPr fontId="58" type="noConversion"/>
  </si>
  <si>
    <t>PVC氣球鏈</t>
    <phoneticPr fontId="2" type="noConversion"/>
  </si>
  <si>
    <t>包裝彩帶</t>
    <phoneticPr fontId="2" type="noConversion"/>
  </si>
  <si>
    <t>雙面膠帶-氣球圓點膠</t>
    <phoneticPr fontId="2" type="noConversion"/>
  </si>
  <si>
    <t>PVC氣球鏈+包裝彩帶+氣球圓點膠+26*30珠光膜+冰箱貼</t>
    <phoneticPr fontId="2" type="noConversion"/>
  </si>
  <si>
    <t>絨布膠帶</t>
    <phoneticPr fontId="2" type="noConversion"/>
  </si>
  <si>
    <t>PET高溫膠帶</t>
    <phoneticPr fontId="2" type="noConversion"/>
  </si>
  <si>
    <t>銅箔膠帶</t>
    <phoneticPr fontId="2" type="noConversion"/>
  </si>
  <si>
    <t>不鏽鋼扎帶</t>
    <phoneticPr fontId="2" type="noConversion"/>
  </si>
  <si>
    <t>彈力線</t>
    <phoneticPr fontId="2" type="noConversion"/>
  </si>
  <si>
    <t>202+208+214</t>
    <phoneticPr fontId="2" type="noConversion"/>
  </si>
  <si>
    <t>281</t>
    <phoneticPr fontId="2" type="noConversion"/>
  </si>
  <si>
    <t>401</t>
    <phoneticPr fontId="2" type="noConversion"/>
  </si>
  <si>
    <t>212+262.41</t>
    <phoneticPr fontId="2" type="noConversion"/>
  </si>
  <si>
    <t>104</t>
    <phoneticPr fontId="2" type="noConversion"/>
  </si>
  <si>
    <t>502.05-502.09+502.40-502.44</t>
    <phoneticPr fontId="2" type="noConversion"/>
  </si>
  <si>
    <t>215+233+206</t>
    <phoneticPr fontId="2" type="noConversion"/>
  </si>
  <si>
    <t>266+267+234</t>
    <phoneticPr fontId="2" type="noConversion"/>
  </si>
  <si>
    <t>211+230+231+265+402</t>
    <phoneticPr fontId="2" type="noConversion"/>
  </si>
  <si>
    <t>防滑膠帶</t>
    <phoneticPr fontId="2" type="noConversion"/>
  </si>
  <si>
    <t>雙面膠帶-車用強力泡棉</t>
    <phoneticPr fontId="2" type="noConversion"/>
  </si>
  <si>
    <t>雙面膠帶-透明壓克力</t>
    <phoneticPr fontId="2" type="noConversion"/>
  </si>
  <si>
    <t>嫁接膜</t>
    <phoneticPr fontId="2" type="noConversion"/>
  </si>
  <si>
    <t>安全監控</t>
    <phoneticPr fontId="2" type="noConversion"/>
  </si>
  <si>
    <t>207+232+235+262+263+283+284</t>
    <phoneticPr fontId="2" type="noConversion"/>
  </si>
  <si>
    <t>反光膠帶</t>
    <phoneticPr fontId="2" type="noConversion"/>
  </si>
  <si>
    <t>雙面膠帶-納米魔術</t>
    <phoneticPr fontId="2" type="noConversion"/>
  </si>
  <si>
    <t>雙面膠帶-地毯固定貼片</t>
    <phoneticPr fontId="2" type="noConversion"/>
  </si>
  <si>
    <t>尼龍扎帶</t>
    <phoneticPr fontId="2" type="noConversion"/>
  </si>
  <si>
    <t>運動-瑜伽拉力圈帶</t>
    <phoneticPr fontId="2" type="noConversion"/>
  </si>
  <si>
    <t>運動-把手膠帶</t>
    <phoneticPr fontId="2" type="noConversion"/>
  </si>
  <si>
    <t>反光膠帶+納米魔術膠帶+地毯固定貼片+尼龍扎帶+不鏽鋼扎帶+瑜伽拉力圈帶+把手膠帶+18*23珠光膜</t>
    <phoneticPr fontId="2" type="noConversion"/>
  </si>
  <si>
    <t>電氣膠帶</t>
    <phoneticPr fontId="2" type="noConversion"/>
  </si>
  <si>
    <t>安全膠帶</t>
    <phoneticPr fontId="2" type="noConversion"/>
  </si>
  <si>
    <t>花藝膠帶</t>
    <phoneticPr fontId="2" type="noConversion"/>
  </si>
  <si>
    <t>地毯膠帶</t>
    <phoneticPr fontId="2" type="noConversion"/>
  </si>
  <si>
    <t>209+105.09+105.15+105.21+105.24</t>
    <phoneticPr fontId="2" type="noConversion"/>
  </si>
  <si>
    <t>自粘OPP袋</t>
    <phoneticPr fontId="2" type="noConversion"/>
  </si>
  <si>
    <t>x</t>
    <phoneticPr fontId="58" type="noConversion"/>
  </si>
  <si>
    <t>108+109+213+269+353+401+404+405+511</t>
    <phoneticPr fontId="2" type="noConversion"/>
  </si>
  <si>
    <t>鋁自封袋</t>
    <phoneticPr fontId="2" type="noConversion"/>
  </si>
  <si>
    <t>圖案自封袋</t>
    <phoneticPr fontId="2" type="noConversion"/>
  </si>
  <si>
    <t>DIY和風膠帶</t>
    <phoneticPr fontId="2" type="noConversion"/>
  </si>
  <si>
    <t>繩索</t>
    <phoneticPr fontId="2" type="noConversion"/>
  </si>
  <si>
    <r>
      <t>USB-</t>
    </r>
    <r>
      <rPr>
        <sz val="10"/>
        <rFont val="宋体"/>
        <charset val="134"/>
      </rPr>
      <t>LED</t>
    </r>
    <phoneticPr fontId="2" type="noConversion"/>
  </si>
  <si>
    <t>廚房</t>
    <phoneticPr fontId="2" type="noConversion"/>
  </si>
  <si>
    <t>瓶罐</t>
    <phoneticPr fontId="2" type="noConversion"/>
  </si>
  <si>
    <t>浴室洗衣</t>
    <phoneticPr fontId="2" type="noConversion"/>
  </si>
  <si>
    <t>文具</t>
    <phoneticPr fontId="2" type="noConversion"/>
  </si>
  <si>
    <t>OPP+16*16珠光膜+6.5*8封口氣泡袋</t>
  </si>
  <si>
    <t>肌力貼+彈性綁帶+26*30珠光膜+8*13氣泡袋+冰箱貼</t>
  </si>
  <si>
    <t>廚房用品+膠台+26*30珠光膜+8*13氣泡袋+冰箱貼</t>
  </si>
  <si>
    <t>美紋紙手撕膠帶+汽車輪胎防滑扎帶+26*30珠光膜+8*13氣泡袋</t>
  </si>
  <si>
    <t>防滑膠帶+車用強力泡棉膠帶+透明壓克力膠帶+嫁接膜+安全監控+18*23珠光膜+8*13氣泡袋</t>
  </si>
  <si>
    <t>眼鏡+扎絲+18*23珠光膜+8*13氣泡袋+冰箱貼+膠台</t>
  </si>
  <si>
    <t>膠台+封箱膠帶+26*30珠光膜+8*13氣泡袋+冰箱貼</t>
  </si>
  <si>
    <t>夜光膠帶+自熔止漏水膠帶+鋁箔膠帶+26*30珠光膜+8*13氣泡袋+冰箱貼</t>
  </si>
  <si>
    <t>絨布膠帶+高溫膠帶+銅箔膠帶+不鏽鋼扎帶+彈力線+18*23珠光膜+8*13氣泡袋</t>
  </si>
  <si>
    <t>地毯膠帶+自粘OPP袋+膠台+6.5*8氣泡袋</t>
  </si>
  <si>
    <t>鋁自封袋+圖案自封袋+和風膠帶+繩索+USB-LED+廚房用品+空瓶+浴室洗衣用品+文具+15*20氣泡袋</t>
  </si>
  <si>
    <t>自粘OPP袋+10*20氣泡袋</t>
    <phoneticPr fontId="2" type="noConversion"/>
  </si>
  <si>
    <t>105+107.06</t>
    <phoneticPr fontId="2" type="noConversion"/>
  </si>
  <si>
    <t>透明自封袋</t>
    <phoneticPr fontId="2" type="noConversion"/>
  </si>
  <si>
    <t>透明自封袋+自粘OPP袋+15*25氣泡袋</t>
    <phoneticPr fontId="2" type="noConversion"/>
  </si>
  <si>
    <t>402.01</t>
    <phoneticPr fontId="58" type="noConversion"/>
  </si>
  <si>
    <t>201.02</t>
    <phoneticPr fontId="58" type="noConversion"/>
  </si>
  <si>
    <t>251+252</t>
    <phoneticPr fontId="2" type="noConversion"/>
  </si>
  <si>
    <t>電氣膠帶+安全膠帶+花藝膠帶+18*23珠光膜+8*13氣泡袋</t>
    <phoneticPr fontId="2" type="noConversion"/>
  </si>
  <si>
    <t>分線夾</t>
    <phoneticPr fontId="2" type="noConversion"/>
  </si>
  <si>
    <t>對接頭</t>
    <phoneticPr fontId="2" type="noConversion"/>
  </si>
  <si>
    <t>透明自封袋+車用分線夾+車用對接頭+車用端子+封箱膠帶+13*13珠光膜+25*30封口氣泡袋</t>
    <phoneticPr fontId="53" type="noConversion"/>
  </si>
  <si>
    <t>45mm*70m封箱膠帶</t>
    <phoneticPr fontId="53" type="noConversion"/>
  </si>
  <si>
    <t>321+322</t>
    <phoneticPr fontId="2" type="noConversion"/>
  </si>
  <si>
    <t>網路接頭類</t>
    <phoneticPr fontId="2" type="noConversion"/>
  </si>
  <si>
    <t>網路接頭+10*20氣泡袋</t>
    <phoneticPr fontId="53" type="noConversion"/>
  </si>
  <si>
    <t>RO接頭+25*25氣泡袋+8*15氣泡袋</t>
    <phoneticPr fontId="53" type="noConversion"/>
  </si>
  <si>
    <r>
      <t>103.21</t>
    </r>
    <r>
      <rPr>
        <sz val="12"/>
        <rFont val="宋体"/>
        <charset val="134"/>
      </rPr>
      <t/>
    </r>
    <phoneticPr fontId="58" type="noConversion"/>
  </si>
  <si>
    <t>103.10</t>
    <phoneticPr fontId="58" type="noConversion"/>
  </si>
  <si>
    <t>381+382+383+103.10+103.21</t>
    <phoneticPr fontId="2" type="noConversion"/>
  </si>
  <si>
    <t>保險絲片</t>
    <phoneticPr fontId="2" type="noConversion"/>
  </si>
  <si>
    <t>電池鰐魚夾</t>
    <phoneticPr fontId="2" type="noConversion"/>
  </si>
  <si>
    <t>車用保險絲+車用鰐魚夾+25*35氣泡袋+8*15氣泡袋</t>
    <phoneticPr fontId="53" type="noConversion"/>
  </si>
  <si>
    <r>
      <t>103.24</t>
    </r>
    <r>
      <rPr>
        <sz val="12"/>
        <rFont val="宋体"/>
        <charset val="134"/>
      </rPr>
      <t/>
    </r>
    <phoneticPr fontId="58" type="noConversion"/>
  </si>
  <si>
    <t>103.06</t>
    <phoneticPr fontId="58" type="noConversion"/>
  </si>
  <si>
    <t>331-338+103.24+103.06</t>
    <phoneticPr fontId="2" type="noConversion"/>
  </si>
  <si>
    <t>電視接頭類</t>
    <phoneticPr fontId="2" type="noConversion"/>
  </si>
  <si>
    <t>電視接頭+30*35氣泡袋+8*13氣泡袋</t>
    <phoneticPr fontId="53" type="noConversion"/>
  </si>
  <si>
    <t>電源接頭類</t>
    <phoneticPr fontId="2" type="noConversion"/>
  </si>
  <si>
    <t>AC-旅行插座</t>
    <phoneticPr fontId="2" type="noConversion"/>
  </si>
  <si>
    <t>電話接頭類</t>
    <phoneticPr fontId="2" type="noConversion"/>
  </si>
  <si>
    <t>電源接頭+插座+電話接頭+封箱膠帶+20*25氣泡袋+15*20氣泡袋</t>
    <phoneticPr fontId="53" type="noConversion"/>
  </si>
  <si>
    <r>
      <t>103.19</t>
    </r>
    <r>
      <rPr>
        <sz val="12"/>
        <rFont val="宋体"/>
        <charset val="134"/>
      </rPr>
      <t/>
    </r>
    <phoneticPr fontId="58" type="noConversion"/>
  </si>
  <si>
    <r>
      <t>103.17</t>
    </r>
    <r>
      <rPr>
        <sz val="12"/>
        <rFont val="宋体"/>
        <charset val="134"/>
      </rPr>
      <t/>
    </r>
    <phoneticPr fontId="58" type="noConversion"/>
  </si>
  <si>
    <t>透明自封袋+15*25氣泡袋</t>
    <phoneticPr fontId="53" type="noConversion"/>
  </si>
  <si>
    <t>107.01+(02+05+07+10+12-17)+103.15</t>
    <phoneticPr fontId="2" type="noConversion"/>
  </si>
  <si>
    <t>透明自封袋+15*25氣泡袋+13*13珠光膜</t>
    <phoneticPr fontId="53" type="noConversion"/>
  </si>
  <si>
    <t>107.08+107.09+103.15</t>
    <phoneticPr fontId="2" type="noConversion"/>
  </si>
  <si>
    <t>透明自封袋+15*25氣泡袋</t>
    <phoneticPr fontId="53" type="noConversion"/>
  </si>
  <si>
    <t>107.04+107.06+107.11+103.15</t>
    <phoneticPr fontId="2" type="noConversion"/>
  </si>
  <si>
    <t>透明自封袋+5*8封口氣泡袋</t>
    <phoneticPr fontId="53" type="noConversion"/>
  </si>
  <si>
    <t>107.08+103.04</t>
    <phoneticPr fontId="2" type="noConversion"/>
  </si>
  <si>
    <t>透明自封袋+6.5*8封口氣泡袋</t>
    <phoneticPr fontId="53" type="noConversion"/>
  </si>
  <si>
    <t>107.06+103.07</t>
    <phoneticPr fontId="2" type="noConversion"/>
  </si>
  <si>
    <t>107.02+103.20</t>
    <phoneticPr fontId="2" type="noConversion"/>
  </si>
  <si>
    <t>107.03+103.14</t>
    <phoneticPr fontId="2" type="noConversion"/>
  </si>
  <si>
    <t>107.03+103.11</t>
    <phoneticPr fontId="2" type="noConversion"/>
  </si>
  <si>
    <t>雜箱(33*39*40)</t>
    <phoneticPr fontId="53" type="noConversion"/>
  </si>
  <si>
    <t>透明自封袋+20*30氣泡袋+封箱膠帶</t>
    <phoneticPr fontId="53" type="noConversion"/>
  </si>
  <si>
    <t>透明自封袋+13*20氣泡袋+封箱膠帶</t>
    <phoneticPr fontId="53" type="noConversion"/>
  </si>
  <si>
    <t>透明自封袋+13*20氣泡袋</t>
    <phoneticPr fontId="53" type="noConversion"/>
  </si>
  <si>
    <t>透明自封袋+10*15氣泡袋</t>
    <phoneticPr fontId="53" type="noConversion"/>
  </si>
  <si>
    <t>透明自封袋+13*25氣泡袋</t>
    <phoneticPr fontId="53" type="noConversion"/>
  </si>
  <si>
    <t>107.02+103.15</t>
    <phoneticPr fontId="2" type="noConversion"/>
  </si>
  <si>
    <t>13*15氣泡袋</t>
    <phoneticPr fontId="53" type="noConversion"/>
  </si>
  <si>
    <t>透明自封袋+8*13封口氣泡袋</t>
    <phoneticPr fontId="53" type="noConversion"/>
  </si>
  <si>
    <t>107.02+103.06</t>
    <phoneticPr fontId="2" type="noConversion"/>
  </si>
  <si>
    <t>8*13封口氣泡袋+封箱膠帶</t>
    <phoneticPr fontId="53" type="noConversion"/>
  </si>
  <si>
    <t>103.06</t>
    <phoneticPr fontId="2" type="noConversion"/>
  </si>
  <si>
    <t>8*9氣泡袋+8*13氣泡袋</t>
    <phoneticPr fontId="53" type="noConversion"/>
  </si>
  <si>
    <t>103.02+103.03</t>
    <phoneticPr fontId="2" type="noConversion"/>
  </si>
  <si>
    <t>8*9氣泡袋+6.5*8氣泡袋</t>
    <phoneticPr fontId="53" type="noConversion"/>
  </si>
  <si>
    <t>103.01+103.02</t>
    <phoneticPr fontId="2" type="noConversion"/>
  </si>
  <si>
    <t>8*9封口氣泡袋</t>
    <phoneticPr fontId="53" type="noConversion"/>
  </si>
  <si>
    <t>203-205+253+268</t>
    <phoneticPr fontId="2" type="noConversion"/>
  </si>
  <si>
    <t>107+301-303</t>
    <phoneticPr fontId="2" type="noConversion"/>
  </si>
  <si>
    <t>304+306+307+405+103.21+103.23</t>
    <phoneticPr fontId="2" type="noConversion"/>
  </si>
  <si>
    <t>315+316+361+103.17+103.19</t>
    <phoneticPr fontId="2" type="noConversion"/>
  </si>
  <si>
    <t>sealing tape</t>
    <phoneticPr fontId="2" type="noConversion"/>
  </si>
  <si>
    <r>
      <t>p</t>
    </r>
    <r>
      <rPr>
        <sz val="10"/>
        <rFont val="宋体"/>
        <charset val="134"/>
      </rPr>
      <t>lastic bag</t>
    </r>
    <phoneticPr fontId="2" type="noConversion"/>
  </si>
  <si>
    <r>
      <t>p</t>
    </r>
    <r>
      <rPr>
        <sz val="10"/>
        <rFont val="宋体"/>
        <charset val="134"/>
      </rPr>
      <t>lastic bubble bag</t>
    </r>
    <phoneticPr fontId="2" type="noConversion"/>
  </si>
  <si>
    <t>牛皮紙氣泡信封11cm*15cm+3.5cm</t>
    <phoneticPr fontId="58" type="noConversion"/>
  </si>
  <si>
    <r>
      <t>牛皮紙氣泡信封9cm*13cm+</t>
    </r>
    <r>
      <rPr>
        <sz val="10"/>
        <rFont val="宋体"/>
        <charset val="134"/>
      </rPr>
      <t>3.5</t>
    </r>
    <r>
      <rPr>
        <sz val="10"/>
        <rFont val="宋体"/>
        <charset val="134"/>
      </rPr>
      <t>cm</t>
    </r>
    <phoneticPr fontId="58" type="noConversion"/>
  </si>
  <si>
    <r>
      <t>8絲平口透明氣泡袋8cm*</t>
    </r>
    <r>
      <rPr>
        <sz val="10"/>
        <rFont val="宋体"/>
        <charset val="134"/>
      </rPr>
      <t>8</t>
    </r>
    <r>
      <rPr>
        <sz val="10"/>
        <rFont val="宋体"/>
        <charset val="134"/>
      </rPr>
      <t>cm</t>
    </r>
    <phoneticPr fontId="58" type="noConversion"/>
  </si>
  <si>
    <t>支付寶: 32元</t>
    <phoneticPr fontId="58" type="noConversion"/>
  </si>
  <si>
    <t>Sealing Tapes</t>
  </si>
  <si>
    <t>Reading Glasses</t>
  </si>
  <si>
    <t>Plastic Bubble Bags</t>
  </si>
  <si>
    <t>Plastic Bags</t>
  </si>
  <si>
    <t>Connecters</t>
    <phoneticPr fontId="2" type="noConversion"/>
  </si>
  <si>
    <t>490 KG</t>
  </si>
  <si>
    <t>雜箱(31*29*42)</t>
    <phoneticPr fontId="53" type="noConversion"/>
  </si>
  <si>
    <t>18 KG</t>
  </si>
  <si>
    <t>55 KG</t>
  </si>
  <si>
    <t xml:space="preserve"> KG</t>
  </si>
  <si>
    <t>168 KG</t>
  </si>
  <si>
    <t>863 KG</t>
  </si>
  <si>
    <t>滑鼠-SONY環透光</t>
    <phoneticPr fontId="58" type="noConversion"/>
  </si>
  <si>
    <t>滑鼠-皮紋827</t>
    <phoneticPr fontId="58" type="noConversion"/>
  </si>
  <si>
    <t>滑鼠-綠光823</t>
    <phoneticPr fontId="58" type="noConversion"/>
  </si>
  <si>
    <t>滑鼠-三層盔甲</t>
    <phoneticPr fontId="58" type="noConversion"/>
  </si>
  <si>
    <t>滑鼠-左右突865</t>
    <phoneticPr fontId="58" type="noConversion"/>
  </si>
  <si>
    <t>滑鼠-IBM亮面</t>
    <phoneticPr fontId="58" type="noConversion"/>
  </si>
  <si>
    <t>滑鼠-仿萍果白</t>
    <phoneticPr fontId="58" type="noConversion"/>
  </si>
  <si>
    <t>滑鼠-IBM紅線</t>
    <phoneticPr fontId="58" type="noConversion"/>
  </si>
  <si>
    <t>USB-LED可彎曲白色usbd-1</t>
    <phoneticPr fontId="2" type="noConversion"/>
  </si>
  <si>
    <t>USB-LED可彎曲紫色usbd-5</t>
    <phoneticPr fontId="2" type="noConversion"/>
  </si>
  <si>
    <r>
      <t>USB-LED可彎曲橙色usbd-</t>
    </r>
    <r>
      <rPr>
        <sz val="10"/>
        <rFont val="宋体"/>
        <charset val="134"/>
      </rPr>
      <t>2</t>
    </r>
    <phoneticPr fontId="58" type="noConversion"/>
  </si>
  <si>
    <t>USB-LED可彎曲藍色usbd-4</t>
    <phoneticPr fontId="58" type="noConversion"/>
  </si>
  <si>
    <t>USB-LED可彎曲綠色usbd-6</t>
    <phoneticPr fontId="58" type="noConversion"/>
  </si>
  <si>
    <t>USB-LED可彎曲粉色usbd-8</t>
    <phoneticPr fontId="58" type="noConversion"/>
  </si>
  <si>
    <t>USB-LED可彎曲紅色usbd-3</t>
    <phoneticPr fontId="58" type="noConversion"/>
  </si>
  <si>
    <t>502.01</t>
    <phoneticPr fontId="58" type="noConversion"/>
  </si>
  <si>
    <t>502.02</t>
  </si>
  <si>
    <t>502.02</t>
    <phoneticPr fontId="2" type="noConversion"/>
  </si>
  <si>
    <t>502.03</t>
  </si>
  <si>
    <t>502.03</t>
    <phoneticPr fontId="2" type="noConversion"/>
  </si>
  <si>
    <t>502.04</t>
  </si>
  <si>
    <t>502.04</t>
    <phoneticPr fontId="2" type="noConversion"/>
  </si>
  <si>
    <t>502.05</t>
  </si>
  <si>
    <t>502.05</t>
    <phoneticPr fontId="2" type="noConversion"/>
  </si>
  <si>
    <t>502.06</t>
  </si>
  <si>
    <t>502.06</t>
    <phoneticPr fontId="2" type="noConversion"/>
  </si>
  <si>
    <t>502.07</t>
  </si>
  <si>
    <t>502.07</t>
    <phoneticPr fontId="2" type="noConversion"/>
  </si>
  <si>
    <t>502.08</t>
  </si>
  <si>
    <t>502.08</t>
    <phoneticPr fontId="2" type="noConversion"/>
  </si>
  <si>
    <t>502.09</t>
  </si>
  <si>
    <t>502.09</t>
    <phoneticPr fontId="2" type="noConversion"/>
  </si>
  <si>
    <t>502.10</t>
  </si>
  <si>
    <t>502.10</t>
    <phoneticPr fontId="2" type="noConversion"/>
  </si>
  <si>
    <t>Revese Osmosis</t>
    <phoneticPr fontId="2" type="noConversion"/>
  </si>
  <si>
    <t>Replacement</t>
    <phoneticPr fontId="2" type="noConversion"/>
  </si>
  <si>
    <t>Whole House</t>
    <phoneticPr fontId="2" type="noConversion"/>
  </si>
  <si>
    <t>Fittings</t>
    <phoneticPr fontId="2" type="noConversion"/>
  </si>
  <si>
    <t>Feeders</t>
    <phoneticPr fontId="2" type="noConversion"/>
  </si>
  <si>
    <t>Drinking Water</t>
    <phoneticPr fontId="2" type="noConversion"/>
  </si>
  <si>
    <t>Valves</t>
    <phoneticPr fontId="2" type="noConversion"/>
  </si>
  <si>
    <t>Housing</t>
    <phoneticPr fontId="2" type="noConversion"/>
  </si>
  <si>
    <t>Ultra Violet</t>
    <phoneticPr fontId="2" type="noConversion"/>
  </si>
  <si>
    <t>Combo Set</t>
    <phoneticPr fontId="2" type="noConversion"/>
  </si>
  <si>
    <t>Standard</t>
    <phoneticPr fontId="2" type="noConversion"/>
  </si>
  <si>
    <t>Ecnomical</t>
    <phoneticPr fontId="2" type="noConversion"/>
  </si>
  <si>
    <t>Standard Flow 100 GPD</t>
    <phoneticPr fontId="2" type="noConversion"/>
  </si>
  <si>
    <t>High Flow 150+ GPD</t>
    <phoneticPr fontId="2" type="noConversion"/>
  </si>
  <si>
    <t>Low Flow 50 GPD</t>
    <phoneticPr fontId="2" type="noConversion"/>
  </si>
  <si>
    <t>Portable RO</t>
    <phoneticPr fontId="2" type="noConversion"/>
  </si>
  <si>
    <t>Aquarium</t>
    <phoneticPr fontId="2" type="noConversion"/>
  </si>
  <si>
    <t>Filters</t>
    <phoneticPr fontId="2" type="noConversion"/>
  </si>
  <si>
    <t>Utilityes</t>
    <phoneticPr fontId="2" type="noConversion"/>
  </si>
  <si>
    <t>Parts &amp; Tools</t>
    <phoneticPr fontId="2" type="noConversion"/>
  </si>
  <si>
    <t>Resin</t>
    <phoneticPr fontId="2" type="noConversion"/>
  </si>
  <si>
    <t>Menbranes</t>
    <phoneticPr fontId="2" type="noConversion"/>
  </si>
  <si>
    <t>Root Catalog</t>
    <phoneticPr fontId="2" type="noConversion"/>
  </si>
  <si>
    <t>sku</t>
  </si>
  <si>
    <t>name</t>
  </si>
  <si>
    <t>base_image</t>
  </si>
  <si>
    <t>FT-M100</t>
  </si>
  <si>
    <t>100 GPD Reverse Osmosis RO membrane Water Filter Reef#FT-M100</t>
  </si>
  <si>
    <t>/catalog/images/22-08.jpg</t>
  </si>
  <si>
    <t>FS-4</t>
  </si>
  <si>
    <t>1set 4pcs Reverse Osmosis RO Replacement Filters#FS-4</t>
  </si>
  <si>
    <t>/catalog/images/FS-4.jpg</t>
  </si>
  <si>
    <t>PT-NED</t>
  </si>
  <si>
    <t>Water Filter RO Parts 1/4" Needle Valve#PT-NED</t>
  </si>
  <si>
    <t>/catalog/images/PW-22-21.jpg</t>
  </si>
  <si>
    <t>PT-12C</t>
  </si>
  <si>
    <t>Feed Water Adapter Chrome 1/2" Tee &amp; 1/4" Ball Valve"#PT-12C</t>
  </si>
  <si>
    <t>/catalog/images/22-22.jpg</t>
  </si>
  <si>
    <t>PT-34C</t>
  </si>
  <si>
    <t>Garden/ Lundry Hose Adapter 2 x 3/4" Tee &amp; 1/4" Ball Valve for R</t>
  </si>
  <si>
    <t>/catalog/images/PW-22-23.jpg</t>
  </si>
  <si>
    <t>PT-BVTQ</t>
  </si>
  <si>
    <t>Water Filter Parts Ball Valve For Water Storage Tank#PT-BVTQ</t>
  </si>
  <si>
    <t>/catalog/images/22-224.jpg</t>
  </si>
  <si>
    <t>PT-WCH-P</t>
  </si>
  <si>
    <t>Water Filter RO Parts Filter Housing Wrench#PT-WCH-P</t>
  </si>
  <si>
    <t>/catalog/images/PW-22-26.jpg</t>
  </si>
  <si>
    <t>Water Filter Parts Lead Free Chrome Long Reach Faucet#PT-FAU</t>
  </si>
  <si>
    <t>/catalog/images/22-28.jpg</t>
  </si>
  <si>
    <t>450 ML RO Membrane Flow Restrictor Quick Flush valve PT-450FVA</t>
  </si>
  <si>
    <t>/catalog/images/PW-22-29.jpg</t>
  </si>
  <si>
    <t>FT-PP</t>
  </si>
  <si>
    <t>5 Micron PP Sediment Filter#FT-PP</t>
  </si>
  <si>
    <t>/catalog/images/22-30.jpg</t>
  </si>
  <si>
    <t>Granular Activated Carbon Filter Replacement Filter#FT-UDF</t>
  </si>
  <si>
    <t>/catalog/images/22-31.jpg</t>
  </si>
  <si>
    <t>FT-CTO</t>
  </si>
  <si>
    <t>5 Micron Carbon Block Replacement Filter#FT-CTO</t>
  </si>
  <si>
    <t>/catalog/images/22-32.jpg</t>
  </si>
  <si>
    <t>Reverse Osmosis RO Housing Replacement Filter#PT-M1</t>
  </si>
  <si>
    <t>/catalog/images/22-33.jpg</t>
  </si>
  <si>
    <t>FT-T33</t>
  </si>
  <si>
    <t>In-line Granular Activated Carbon Replacement Filter#FT-T33</t>
  </si>
  <si>
    <t>/catalog/images/T33.JPG</t>
  </si>
  <si>
    <t>RQ-5B-50</t>
  </si>
  <si>
    <t>Aqua Reef RO DI Reverse Osmosis Water System RQ-5B-50</t>
  </si>
  <si>
    <t>/catalog/images/RQ-6B-50.JPG</t>
  </si>
  <si>
    <t>Zero 0ppm RO+(2)DI +Tank Reverse Osmosis Water Filter#ROH-6BBT</t>
  </si>
  <si>
    <t>/catalog/images/DSC03210.JPG</t>
  </si>
  <si>
    <t>FT-DIB</t>
  </si>
  <si>
    <t>0PPM Clear Ion DI (De-Ionized) Filter#FT-DIB</t>
  </si>
  <si>
    <t>/catalog/images/PW-22-44.jpg</t>
  </si>
  <si>
    <t>FS-5B</t>
  </si>
  <si>
    <t>1 set 5 pcs 0 PPM Spare Replacement Filters#FS-5B</t>
  </si>
  <si>
    <t>/catalog/images/FS-5B.JPG</t>
  </si>
  <si>
    <t>FS-10B</t>
  </si>
  <si>
    <t>2 set 10 pcs Spare Replacement Filters#FS-10B</t>
  </si>
  <si>
    <t>/catalog/images/FS-10B.JPG</t>
  </si>
  <si>
    <t>FS-20B</t>
  </si>
  <si>
    <t>4 set 20 pcs 0 PPM Spare Replacement Filters#FS-20B</t>
  </si>
  <si>
    <t>/catalog/images/FS-20B.JPG</t>
  </si>
  <si>
    <t>RQ-7BUVT</t>
  </si>
  <si>
    <t>7stUV+RO+DI+TANK Complete Reverse Osmosis Water Filter#RQ-7BUVT</t>
  </si>
  <si>
    <t>/catalog/images/RQ-7BUVT-100.JPG</t>
  </si>
  <si>
    <t>PT-1044Q</t>
  </si>
  <si>
    <t>RO Parts Straight Quick Connector#PT-1044Q</t>
  </si>
  <si>
    <t>/catalog/images/22-67.jpg</t>
  </si>
  <si>
    <t>PT-6044Q</t>
  </si>
  <si>
    <t>RO Parts Tee Quick Connector#PT-6044Q</t>
  </si>
  <si>
    <t>/catalog/images/22-69.jpg</t>
  </si>
  <si>
    <t>PT-CLP-BS</t>
  </si>
  <si>
    <t>2 Pcs Big/Small Clip Combo#PT-CLP-BS</t>
  </si>
  <si>
    <t>/catalog/images/22-71.jpg</t>
  </si>
  <si>
    <t>2 Pcs Housing Bracket Clips#PT-CLP-B</t>
  </si>
  <si>
    <t>/catalog/images/22-72.jpg</t>
  </si>
  <si>
    <t>FS-5BB</t>
  </si>
  <si>
    <t>1set 0ppm 5pcs Reverse Osmosis RO+2DI Replacement Filters#FS-5BB</t>
  </si>
  <si>
    <t>/catalog/images/FS-5BB.JPG</t>
  </si>
  <si>
    <t>Refill 0ppm Ion DI(De-Ionized)Filter Replacement Resin#RES-MB400</t>
  </si>
  <si>
    <t>/catalog/images/PW-22-78.jpg</t>
  </si>
  <si>
    <t>FS-POQ-3T</t>
  </si>
  <si>
    <t>1set 3pcs Portable Reverse Osmosis RO Replacement #FS-POQ-3T</t>
  </si>
  <si>
    <t>/catalog/images/POQ-3T.JPG</t>
  </si>
  <si>
    <t>FT-M150</t>
  </si>
  <si>
    <t>150 GPD Reverse Osmosis RO membrane Water Filter Reef#FT-M150</t>
  </si>
  <si>
    <t>/catalog/images/PW-22-56.jpg</t>
  </si>
  <si>
    <t>FS-10BM100</t>
  </si>
  <si>
    <t>/catalog/images/FS-10BM100.JPG</t>
  </si>
  <si>
    <t>FS-5BM100</t>
  </si>
  <si>
    <t>1set 0 PPM 6pcs Reverse Osmosis RO 100 GPD RO Membrane#FS-5BM100</t>
  </si>
  <si>
    <t>/catalog/images/FS-5BM100.JPG</t>
  </si>
  <si>
    <t>50Ft 1/4" RO tube pipe hose PT-TUB2-50</t>
  </si>
  <si>
    <t>/catalog/images/22-85.jpg</t>
  </si>
  <si>
    <t>1/4" inlet Saddle Clamp Drain Valve Reverse Osmosis RO#PT-SAD</t>
  </si>
  <si>
    <t>/catalog/images/PW-22-63.jpg</t>
  </si>
  <si>
    <t>Portable 4st 100GPD Reverse Osmosis ROWaterFilter+3ps#PO-43P100</t>
  </si>
  <si>
    <t>/catalog/images/PW-22-88.jpg</t>
  </si>
  <si>
    <t>FT-UV-bulb</t>
  </si>
  <si>
    <t>UV 8W (Ultraviolet) replacement blub FT-UV-bulb</t>
  </si>
  <si>
    <t>/catalog/images/UV-S-2.JPG</t>
  </si>
  <si>
    <t>FS-5BUV8W</t>
  </si>
  <si>
    <t>1set 6ps Reverse Osmosis RO +DI +UV Replacement Filters#FS-5BUV8</t>
  </si>
  <si>
    <t>/catalog/images/FS-5BUV8W.jpg</t>
  </si>
  <si>
    <t>RES-MB400-32</t>
  </si>
  <si>
    <t>0PPM Refill DI Resin (32 oz) for Reverse Osmosis System</t>
  </si>
  <si>
    <t>/catalog/images/resin32.jpg</t>
  </si>
  <si>
    <t>PT-1044-6</t>
  </si>
  <si>
    <t>6 Pcs RO Fitting 1/4" Union Connector NO.1044#PT-1044-6</t>
  </si>
  <si>
    <t>/catalog/images/PW-22-107.jpg</t>
  </si>
  <si>
    <t>PT-CLP-BB</t>
  </si>
  <si>
    <t>2 Pcs Dual Membrane Filter Big/Big Clip Combo#PT-CLP-BB</t>
  </si>
  <si>
    <t>/catalog/images/22-108.jpg</t>
  </si>
  <si>
    <t>FT-M50</t>
  </si>
  <si>
    <t>50 GPD Reverse Osmosis RO membrane Water Filter Reef#FT-M50</t>
  </si>
  <si>
    <t>/catalog/images/PW-22-122.jpg</t>
  </si>
  <si>
    <t>RQ-6BB-150</t>
  </si>
  <si>
    <t>150G 0ppm Reverse Osmosis+2DI Aquarium Water Filter#RQ-6BB-150</t>
  </si>
  <si>
    <t>/catalog/images/RQ-6BB-150.JPG</t>
  </si>
  <si>
    <t>0ppm 6st Reverse Osmosis 2 OUTPUT RO+DI WaterFilter#RQ-6B2W-100</t>
  </si>
  <si>
    <t>/catalog/images/RQ-6B2W-100.JPG</t>
  </si>
  <si>
    <t>100 GPD 6st Reverse Osmosis RO DI Tank Water System RQ-6BT-100</t>
  </si>
  <si>
    <t>/catalog/images/RQ-6BT-100.JPG</t>
  </si>
  <si>
    <t>PT-131Q</t>
  </si>
  <si>
    <t>PT-131Q RO Water Filter 1/4" Tube x 1/4 Tube Straight Valve</t>
  </si>
  <si>
    <t>/catalog/images/PW-22-131.jpg</t>
  </si>
  <si>
    <t>New RO Tube/Hose Cutter Plastic#PT-CUT</t>
  </si>
  <si>
    <t>/catalog/images/22-128.jpg</t>
  </si>
  <si>
    <t>RO Water Filter Fitting 1/4 Union Tee/Quick Connect#PT-702Q</t>
  </si>
  <si>
    <t>/catalog/images/22-129.jpg</t>
  </si>
  <si>
    <t>100 GPD Reef Drinking RODI Reverse Osmosis w/tank RQ-6BT2W-100</t>
  </si>
  <si>
    <t>/catalog/images/RQ-6BT2W-100.JPG</t>
  </si>
  <si>
    <t>/catalog/images/222.jpg</t>
  </si>
  <si>
    <t>PW-1</t>
  </si>
  <si>
    <t>New 6st Reverse Osmosis RO+DI+TANK Water Filters(36 Sets)</t>
  </si>
  <si>
    <t>/catalog/images/333.jpg</t>
  </si>
  <si>
    <t>Plastic Float Valve For Reverse Osmosis RO System#PT-FV</t>
  </si>
  <si>
    <t>/catalog/images/22-262.gif</t>
  </si>
  <si>
    <t>PT-CLP-SS</t>
  </si>
  <si>
    <t>2 Pcs Double Small Clips PT-CLP-SS</t>
  </si>
  <si>
    <t>/catalog/images/22-70.jpg</t>
  </si>
  <si>
    <t>FS-21P</t>
  </si>
  <si>
    <t>21 Pcs New Water Filter Carbon Sediment Reverse Osmosis#FS-21P</t>
  </si>
  <si>
    <t>/catalog/images/FS-21p.jpg</t>
  </si>
  <si>
    <t>POQ-4B-50</t>
  </si>
  <si>
    <t>0PPM Portable 50 GPD Reverse Osmosis RO+DI Filtration POQ-4B-50</t>
  </si>
  <si>
    <t>/catalog/images/POQ-4B-50.jpg</t>
  </si>
  <si>
    <t>FT-BKFB</t>
  </si>
  <si>
    <t>0 PPM DI (De-Ionized) Refillable Mixed#FT-BKFB</t>
  </si>
  <si>
    <t>/catalog/images/22-110.jpg</t>
  </si>
  <si>
    <t>PT-4042Q</t>
  </si>
  <si>
    <t>PT-4042Q Membrane housing Fitting 1/4 x 1/8 Elbow Union Quick Co</t>
  </si>
  <si>
    <t>/catalog/images/22-150.jpg</t>
  </si>
  <si>
    <t>New Clear Refillable Housing#PT-HOU-DI</t>
  </si>
  <si>
    <t>/catalog/images/22-155-g.jpg</t>
  </si>
  <si>
    <t>450 ML Reverse Osmosis Membrane Flow Restrictor#PT-WASH</t>
  </si>
  <si>
    <t>/catalog/images/22-156.jpg</t>
  </si>
  <si>
    <t>PT-6064</t>
  </si>
  <si>
    <t>RO Fitting 3/8 x 1/4 Elbow Union Connector #PT-6064</t>
  </si>
  <si>
    <t>/catalog/images/22-157.jpg</t>
  </si>
  <si>
    <t>PT-WCH-M2</t>
  </si>
  <si>
    <t>Water Filter RO Parts Membrane Housing Wrench#PT-WCH-M2</t>
  </si>
  <si>
    <t>/catalog/images/22-158.jpg</t>
  </si>
  <si>
    <t>PT-RINP-WT</t>
  </si>
  <si>
    <t>3 Pcs Filter Housing Replacement O-ring#PT-RINP-WT</t>
  </si>
  <si>
    <t>/catalog/images/PT-RING-WT.jpg</t>
  </si>
  <si>
    <t>2 Pcs RO Reverse Osmosis Water Filter Connector#PT-BUL</t>
  </si>
  <si>
    <t>/catalog/images/22-160.jpg</t>
  </si>
  <si>
    <t>FS-PO14M50</t>
  </si>
  <si>
    <t>4set 12pcs 0ppm Replacement Filters+50GPD Membrane#FS-PO14M50</t>
  </si>
  <si>
    <t>/catalog/images/FS-POQ14M50.jpg</t>
  </si>
  <si>
    <t>Reef 5st 100GPD Reverse Osmosis RO Water Filters#RQ-5-100</t>
  </si>
  <si>
    <t>/catalog/images/RQ-5-100.JPG</t>
  </si>
  <si>
    <t>Feed Water Adapter Chrome 1/2" Tee#PT-12</t>
  </si>
  <si>
    <t>/catalog/images/22-163.jpg</t>
  </si>
  <si>
    <t>Feed Water Adapter Chrome  2 x 3/4" Tee #PT-34</t>
  </si>
  <si>
    <t>/catalog/images/22-164.jpg</t>
  </si>
  <si>
    <t>POQ-4B-100</t>
  </si>
  <si>
    <t>0PPM Portable 100GPD Reverse Osmosis RO+DI Filtration POQ-4B-100</t>
  </si>
  <si>
    <t>/catalog/images/POQ-4B-100.JPG</t>
  </si>
  <si>
    <t>FS-6BBB</t>
  </si>
  <si>
    <t>1set 0ppm 6pc Reverse Osmosis RO+3DI Replacement Filters#FS-6BBB</t>
  </si>
  <si>
    <t>/catalog/images/FS-6BBB.JPG</t>
  </si>
  <si>
    <t>PT-4044-6</t>
  </si>
  <si>
    <t>6Pcs RO Fitting 1/4" Elbow Union Connector NO.4044#PT-4044-6</t>
  </si>
  <si>
    <t>/catalog/images/PW-22-106.jpg</t>
  </si>
  <si>
    <t>Reverse Osmosis Membrane Flow Restrictor check valve #PT-CV</t>
  </si>
  <si>
    <t>/catalog/images/22-167.jpg</t>
  </si>
  <si>
    <t>RO Parts 1/4" Quick Connector Auto Shut Off Valve #PT-ASOVQ</t>
  </si>
  <si>
    <t>/catalog/images/22-168.jpg</t>
  </si>
  <si>
    <t>New 10" Clear Refillable Housing#PT-HOU-BG</t>
  </si>
  <si>
    <t>/catalog/images/22-170.jpg</t>
  </si>
  <si>
    <t>Feed Water Adapter 1/4" Ball Valve#FT-BV1414</t>
  </si>
  <si>
    <t>/catalog/images/FT-BV1414.jpg</t>
  </si>
  <si>
    <t>RQ-7BBB-100</t>
  </si>
  <si>
    <t>0ppm 7st 100 GPD RO 3xDI Water System RQ-7BBB-100</t>
  </si>
  <si>
    <t>/catalog/images/RQ-7BBB-100.JPG</t>
  </si>
  <si>
    <t>RQ-300BT-2W 7St 300G 2OUTPUT RO+DI+Tank Reverse Osmosis System</t>
  </si>
  <si>
    <t>/catalog/images/RQ-300BT-2W.JPG</t>
  </si>
  <si>
    <t>FS-3PCB</t>
  </si>
  <si>
    <t>1 set 3 pcs 0 PPM Spare Replacement Filters#FS-3PCB</t>
  </si>
  <si>
    <t>/catalog/images/FS-3PCB.jpg</t>
  </si>
  <si>
    <t>RO Parts Tee Connector#PT-1414</t>
  </si>
  <si>
    <t>/catalog/images/PT-1414.jpg</t>
  </si>
  <si>
    <t>PT-0404Q</t>
  </si>
  <si>
    <t>RO Water Filter Fitting 1/4 Union Quick Connect #PT-0404Q</t>
  </si>
  <si>
    <t>/catalog/images/PT-0404Q.jpg</t>
  </si>
  <si>
    <t>POQ-4B3P-100</t>
  </si>
  <si>
    <t>0PPM Portable 100G Reverse Osmosis DI Water system #POQ-4B3P-100</t>
  </si>
  <si>
    <t>/catalog/images/POQ-4B3P.JPG</t>
  </si>
  <si>
    <t>PT-FAU-N</t>
  </si>
  <si>
    <t>Water Filter Parts Lead Free Chrome Long Reach Faucet#PT-FAU-N</t>
  </si>
  <si>
    <t>/catalog/images/22-174.jpg</t>
  </si>
  <si>
    <t>FS-3TM50</t>
  </si>
  <si>
    <t>4pcs Portable Reverse Osmosis RO Replacement+50GPD#FS-FS-3TM50</t>
  </si>
  <si>
    <t>/catalog/images/FS-4PTT-50.jpg</t>
  </si>
  <si>
    <t>FS-PO3BM50</t>
  </si>
  <si>
    <t>4 pcs 0PPM Portable RO DI Replacement+50GPD #FS-PO3BM50</t>
  </si>
  <si>
    <t>/catalog/images/FS-PO3BM50.JPG</t>
  </si>
  <si>
    <t>ROH-6PHT</t>
  </si>
  <si>
    <t>6 Stage Reverse Osmosis ALKALINE Water Filter System#ROH-6PHT</t>
  </si>
  <si>
    <t>/catalog/images/22-4176.jpg</t>
  </si>
  <si>
    <t>Water Filter Parts Ball Valve For Water Storage Tank#PT-BVT</t>
  </si>
  <si>
    <t>/catalog/images/22-24-8.jpg</t>
  </si>
  <si>
    <t>FS-5PH</t>
  </si>
  <si>
    <t>5Pcs ALKALINE Reverse Osmosis RO Replacement Filter#FS-5PH</t>
  </si>
  <si>
    <t>/catalog/images/FS-5PH.JPG</t>
  </si>
  <si>
    <t>Upgrade Reverse Osmosis into Alkaline Filter System#FT-PH</t>
  </si>
  <si>
    <t>/catalog/images/FT-PH.jpg</t>
  </si>
  <si>
    <t>PT-TUB3-25</t>
  </si>
  <si>
    <t>25Ft 3/8" Reverse Osmosis RO/DI/Aquarium Water Tubing#PT-TUB3-25</t>
  </si>
  <si>
    <t>/catalog/images/22-179-1.jpg</t>
  </si>
  <si>
    <t>3 Pcs Filter Housing Replacement O-ring#PT-RINP-BK</t>
  </si>
  <si>
    <t>/catalog/images/PT-RING-BK.jpg</t>
  </si>
  <si>
    <t>6 Stage Reverse Osmosis ALKALINE Water Filter System#ROH-6PH</t>
  </si>
  <si>
    <t>/catalog/images/ROH-6GPH.jpg</t>
  </si>
  <si>
    <t>POQ-5B2W-50</t>
  </si>
  <si>
    <t>2 OUTPUT 0PPM Portable 50 GPD Reverse Osmosis RO DI #POQ-5B2W-50</t>
  </si>
  <si>
    <t>/catalog/images/POQ-5B2W-50.png</t>
  </si>
  <si>
    <t>Portable 5st 50G Reverse Osmosis RO+DI+Tank Water Filter#PO-5BT</t>
  </si>
  <si>
    <t>/catalog/images/PO-5BT-50.JPG</t>
  </si>
  <si>
    <t>FS-5BBM100</t>
  </si>
  <si>
    <t>6 pcs 0PPM Water Filter RO+DI Replacement+100GPD #FS-5BBM100</t>
  </si>
  <si>
    <t>/catalog/images/FS-5BBM100.JPG</t>
  </si>
  <si>
    <t>RQ-6B-150</t>
  </si>
  <si>
    <t>0ppm 6st 150 GPD Reverse Osmosis RO+DI Water Filters#RQ-6B-150</t>
  </si>
  <si>
    <t>/catalog/images/RQ-6B-150.JPG</t>
  </si>
  <si>
    <t>Aqua Reef RO DI Reverse Osmosis water System RQ-6BB-100</t>
  </si>
  <si>
    <t>/catalog/images/RQ-6BB-100.JPG</t>
  </si>
  <si>
    <t>Portable 4st 100GPD Reverse Osmosis RO Water Filter PO-D4-100</t>
  </si>
  <si>
    <t>/catalog/images/DSC00796.JPG</t>
  </si>
  <si>
    <t>RQ-6B2W-150</t>
  </si>
  <si>
    <t>0 ppm Reverse Osmosis 2 OUTPUT RODI WaterFilter RQ-6B2W-150</t>
  </si>
  <si>
    <t>/catalog/images/RQ-6B2W-150.JPG</t>
  </si>
  <si>
    <t>POQ-4-50</t>
  </si>
  <si>
    <t>Portable 4st 50GPD Reverse Osmosis RO Water Filter POQ-4-50</t>
  </si>
  <si>
    <t>/catalog/images/22-15-50G.JPG</t>
  </si>
  <si>
    <t>Portable 4st 100GPD Reverse Osmosis RO Water Filter POQ-4-100</t>
  </si>
  <si>
    <t>/catalog/images/22-15-100G.JPG</t>
  </si>
  <si>
    <t>FS-5BM150</t>
  </si>
  <si>
    <t>1set 0 PPM 6pcs Reverse Osmosis 150 GPD Membrane#FS-5BM150</t>
  </si>
  <si>
    <t>/catalog/images/FS-5BM150.JPG</t>
  </si>
  <si>
    <t>USPS priority large flat rate box shipping charge</t>
  </si>
  <si>
    <t>/catalog/images/USPS.jpg</t>
  </si>
  <si>
    <t>FS-4M100</t>
  </si>
  <si>
    <t>1set 5pcs RO Replacement Filters +100 GPD membrane#FS-4M100</t>
  </si>
  <si>
    <t>/catalog/images/4PM100.jpg</t>
  </si>
  <si>
    <t>FS-4M50</t>
  </si>
  <si>
    <t>1set 5pcs RO Replacement Filters +50 GPD membrane#FS-4M50</t>
  </si>
  <si>
    <t>AquaReef RODI 5stage Reverse Osmosis Water System RQ-5B-100</t>
  </si>
  <si>
    <t>/catalog/images/RQ-5B-100.JPG</t>
  </si>
  <si>
    <t>Water Filter RO Parts Membrane Housing Wrench#PT-WCH-M1</t>
  </si>
  <si>
    <t>/catalog/images/Pt-wch-m1-1.jpg</t>
  </si>
  <si>
    <t>TDS Meter Reverse Osmosis Reef Water PPM Tester PT-TDS1</t>
  </si>
  <si>
    <t>/catalog/images/TDS-1-1.jpg</t>
  </si>
  <si>
    <t>PT-CUT1</t>
  </si>
  <si>
    <t>Tube cutter&amp; Collet release tool for 1/4" quick connector PT-CUT</t>
  </si>
  <si>
    <t>/catalog/images/Pt-cut1-1-sp-.jpg</t>
  </si>
  <si>
    <t>PT-1042Q</t>
  </si>
  <si>
    <t>1/4" tube to 1/8" thread RO membrane housing Parts Straight Quic</t>
  </si>
  <si>
    <t>/catalog/images/1042Q.jpg</t>
  </si>
  <si>
    <t>FT-PPi</t>
  </si>
  <si>
    <t>Inline 5 micron PP Reverse Sediment Filter#FT-PPi</t>
  </si>
  <si>
    <t>/catalog/images/FT-PPi.JPG</t>
  </si>
  <si>
    <t>RO Pressure Gauge 0 to 180 PSI meter #PT-PSI-180</t>
  </si>
  <si>
    <t>/catalog/images/S__45588484.jpg</t>
  </si>
  <si>
    <t>FS-4B</t>
  </si>
  <si>
    <t>1set 4pcs Reverse Osmosis RO Replacement Filters#FS-4B</t>
  </si>
  <si>
    <t>/catalog/images/FS-4B.JPG</t>
  </si>
  <si>
    <t>FS-5BBx2</t>
  </si>
  <si>
    <t>2 set 10 pcs Spare Replacement Filters FS-5BBx2</t>
  </si>
  <si>
    <t>/catalog/images/FS-5BBx2.JPG</t>
  </si>
  <si>
    <t>FS-5BBM150</t>
  </si>
  <si>
    <t>6 pcs 0PPM Water Filter RO+DI Replacement+150GPD #FS-5BBM150</t>
  </si>
  <si>
    <t>/catalog/images/FS-5BBM150.JPG</t>
  </si>
  <si>
    <t>FS-PO4</t>
  </si>
  <si>
    <t>4 pcs 0PPM Portable RO DI Replacement filter FS-PO4</t>
  </si>
  <si>
    <t>/catalog/images/FS-PO4.JPG</t>
  </si>
  <si>
    <t>FS-PO3BM100</t>
  </si>
  <si>
    <t>4 pcs 0PPM Portable RO DI Replacement+100GPD #FS-PO3BM100</t>
  </si>
  <si>
    <t>/catalog/images/FS-PO3BM100.JPG</t>
  </si>
  <si>
    <t>FS-PO3TM100</t>
  </si>
  <si>
    <t>4pcs Portable Reverse Osmosis RO Replacement filters FS-PO3TM100</t>
  </si>
  <si>
    <t>/catalog/images/FS-PO3TM100.jpg</t>
  </si>
  <si>
    <t>FS-22BM150</t>
  </si>
  <si>
    <t>4set 22pcs 0ppm RO DI replacement 150G Membrane#FS-22BM150</t>
  </si>
  <si>
    <t>/catalog/images/FS-22BM150.jpg</t>
  </si>
  <si>
    <t>FS-5PHM100</t>
  </si>
  <si>
    <t>6Pcs ALKALINE Reverse Osmosis RO Replacement membrane FS-5PHM100</t>
  </si>
  <si>
    <t>/catalog/images/FS-5PHM100.JPG</t>
  </si>
  <si>
    <t>FS-4x4</t>
  </si>
  <si>
    <t>4set 4pcs Reverse Osmosis RO Replacement Filters#FS-4x4</t>
  </si>
  <si>
    <t>/catalog/images/FS-4x4JPG.JPG</t>
  </si>
  <si>
    <t>FT-400UG</t>
  </si>
  <si>
    <t>400 GPD RO system upgrade kits FT-400UG</t>
  </si>
  <si>
    <t>/catalog/images/PT-HOU-M400-1.jpg</t>
  </si>
  <si>
    <t>RQ-6B2W-50</t>
  </si>
  <si>
    <t>0 ppm Reverse Osmosis 2 OUTPUT RODI WaterFilter RQ-6B2W-50</t>
  </si>
  <si>
    <t>/catalog/images/RQ-6B2W-50.JPG</t>
  </si>
  <si>
    <t>FS-4BM50</t>
  </si>
  <si>
    <t>5pc Reverse Osmosis RO Replacement Filters 50G FS-4BM50</t>
  </si>
  <si>
    <t>/catalog/images/FS-4BM50.JPG</t>
  </si>
  <si>
    <t>FS-4BM100</t>
  </si>
  <si>
    <t>5pc Reverse Osmosis RO Replacement Filters 100G FS-4BM100</t>
  </si>
  <si>
    <t>/catalog/images/FS-4BM100.JPG</t>
  </si>
  <si>
    <t>USPS-25</t>
  </si>
  <si>
    <t>USPS shipping charge to Canada</t>
  </si>
  <si>
    <t>/catalog/images/Canada-pl-USPS.png</t>
  </si>
  <si>
    <t>Metal bracket replacement for Reverse Osmosis System M3</t>
  </si>
  <si>
    <t>/catalog/images/bracket-1.jpg</t>
  </si>
  <si>
    <t>POQ-5B-50</t>
  </si>
  <si>
    <t>Portable 5 stage Reverse Osmosis DI Radiation Removal POQ-5B-50</t>
  </si>
  <si>
    <t>/catalog/images/POQ-5B-50.JPG</t>
  </si>
  <si>
    <t>3 Gallons Pressurized tank updrade kit PT-TANK02UG</t>
  </si>
  <si>
    <t>/catalog/images/tank.jpg</t>
  </si>
  <si>
    <t>RQ-5-50</t>
  </si>
  <si>
    <t>Reef 5st 50 GPD Reverse Osmosis RO Water Filters#RQ-5-50</t>
  </si>
  <si>
    <t>/catalog/images/RQ-5-50.JPG</t>
  </si>
  <si>
    <t>RQ-5-150</t>
  </si>
  <si>
    <t>Reef 5st 150 GPD Reverse Osmosis RO Water Filters#RQ-5-150</t>
  </si>
  <si>
    <t>/catalog/images/RQ-5-150.JPG</t>
  </si>
  <si>
    <t>RQ-5B-150</t>
  </si>
  <si>
    <t>Aqua Reef RO DI Reverse Osmosis Water System RQ-5B-150</t>
  </si>
  <si>
    <t>/catalog/images/RQ-5B-150.JPG</t>
  </si>
  <si>
    <t>PT-FV-50</t>
  </si>
  <si>
    <t>50 pcs shut off Float valve For  Reverse Osmosis RO System</t>
  </si>
  <si>
    <t>/catalog/images/FV-50.JPG</t>
  </si>
  <si>
    <t>0PPM Non-transparent Ion RO DI replacement Filter FT-QDI</t>
  </si>
  <si>
    <t>/catalog/images/QDI.jpg</t>
  </si>
  <si>
    <t>50 GPD 6st Reverse Osmosis RO DI Water Filters system RQ-6B-50</t>
  </si>
  <si>
    <t>Zero 0ppm 6st Reverse Osmosis RO+DI Water Filters RQ-6B-100</t>
  </si>
  <si>
    <t>/catalog/images/RQ-6B-100.JPG</t>
  </si>
  <si>
    <t>RQ-6BB-50</t>
  </si>
  <si>
    <t>0ppm 6st 50 GPD Reverse Osmosis RO+DI Water Filters#RQ-6BB-50</t>
  </si>
  <si>
    <t>/catalog/images/RQ-6BB-50.JPG</t>
  </si>
  <si>
    <t>3/4" Garden / Laundry hose adapter connect to1/4 "tube PT-Q34A</t>
  </si>
  <si>
    <t>/catalog/images/GardenHose.JPG</t>
  </si>
  <si>
    <t>POQ-4B-150</t>
  </si>
  <si>
    <t>0PPM Portable 150GPD Reverse Osmosis RO+DI Filtration POQ-4B-150</t>
  </si>
  <si>
    <t>/catalog/images/POQ-4B-150.JPG</t>
  </si>
  <si>
    <t>EX-clear2 Change white housing to clear housing</t>
  </si>
  <si>
    <t>/catalog/images/3xclear.JPG</t>
  </si>
  <si>
    <t>USPS-47</t>
  </si>
  <si>
    <t>Priority Mail International Flat Rate shipping charge $50</t>
  </si>
  <si>
    <t>/catalog/images/USPS-flatratebox.JPG</t>
  </si>
  <si>
    <t>RQ-5T-50</t>
  </si>
  <si>
    <t>50GPD Home drinking Reverse Osmosis Water system w/tank RQ-5T-50</t>
  </si>
  <si>
    <t>/catalog/images/RQ-5T-50.JPG</t>
  </si>
  <si>
    <t>RQ-5T-150</t>
  </si>
  <si>
    <t>150 GPD HomeDrinking Reverse Osmosis RO system w/tank RQ-5T-150</t>
  </si>
  <si>
    <t>/catalog/images/RQ-5T-150.JPG</t>
  </si>
  <si>
    <t>100 GPD HomeDrinking Reverse Osmosis RO system w/tank RQ-5T-100</t>
  </si>
  <si>
    <t>/catalog/images/RQ-5T-100.JPG</t>
  </si>
  <si>
    <t>FS-10BM50</t>
  </si>
  <si>
    <t>2set 10pcs 0ppm Reverse Osmosis +DI +50G RO Membrane#FS-10BM50</t>
  </si>
  <si>
    <t>/catalog/images/FS-10BM50.JPG</t>
  </si>
  <si>
    <t>FS-10BM150</t>
  </si>
  <si>
    <t>10pcs 0ppm RO replacement DI filters+150 GDP Membrane FS-10BM150</t>
  </si>
  <si>
    <t>/catalog/images/FS-10BM150.JPG</t>
  </si>
  <si>
    <t>100GPD 5 stage Reverse Osmosis dual outlet RODI system 5BT2W-100</t>
  </si>
  <si>
    <t>/catalog/images/RQ-5BT2W-100.JPG</t>
  </si>
  <si>
    <t>FS-6M100</t>
  </si>
  <si>
    <t>2 set 6pcs RO Replacement PreFilters 100 GPD membrane FS-6M100</t>
  </si>
  <si>
    <t>/catalog/images/FS-6M100.JPG</t>
  </si>
  <si>
    <t>PT-icemaker</t>
  </si>
  <si>
    <t>1/4" ice maker quick fitting connector PT-icemaker</t>
  </si>
  <si>
    <t>/catalog/images/SP-icemaker-2.JPG</t>
  </si>
  <si>
    <t>Plastic aerator faucet adapter SP-aerator-p</t>
  </si>
  <si>
    <t>/catalog/images/SP-aerator-01.JPG</t>
  </si>
  <si>
    <t>PT-TUBE25-RD</t>
  </si>
  <si>
    <t>25Ft 1/4" RO polyethylene RED tube pipe hose TUBE25-RD</t>
  </si>
  <si>
    <t>/catalog/images/PT-TUBE25-RD.JPG</t>
  </si>
  <si>
    <t>Metal aerator faucet adapter SP-aerator-M</t>
  </si>
  <si>
    <t>/catalog/images/SP-aerator-M.JPG</t>
  </si>
  <si>
    <t>1/4" RO tube Quick connector for bathroom sink PT-aerator-Q</t>
  </si>
  <si>
    <t>/catalog/images/SP-aerator-Q1.JPG</t>
  </si>
  <si>
    <t>POQ-5B-150</t>
  </si>
  <si>
    <t>Portable 150G Reverse Osmosis RO DI Radiation Removal POQ-5B-150</t>
  </si>
  <si>
    <t>/catalog/images/POQ-5B-150.JPG</t>
  </si>
  <si>
    <t>High quality Teflon tape PT-tape</t>
  </si>
  <si>
    <t>/catalog/images/SP-tape.JPG</t>
  </si>
  <si>
    <t>1/2" hose adapter Tee for kitchen undersink 1/4 "tube PT-310</t>
  </si>
  <si>
    <t>/catalog/images/310-1.JPG</t>
  </si>
  <si>
    <t>Stainless UV 8W (Ultraviolet) Filters#FT-UV8W</t>
  </si>
  <si>
    <t>/catalog/images/UV-S.JPG</t>
  </si>
  <si>
    <t>New design quick push Clear pre-housing PT-HOU-C1</t>
  </si>
  <si>
    <t>/catalog/images/C1-3.JPG</t>
  </si>
  <si>
    <t>SP-C clip</t>
  </si>
  <si>
    <t>20 clips C ring/clip for quick fitting connector lock SP-C clip</t>
  </si>
  <si>
    <t>/catalog/images/C-sp-ring-1.JPG</t>
  </si>
  <si>
    <t>PT-C clip</t>
  </si>
  <si>
    <t>20 clips C ring clip for quick fitting connector lock</t>
  </si>
  <si>
    <t>Pressure regulator For Reverse Osmosis RO System PT-regulator</t>
  </si>
  <si>
    <t>/catalog/images/regulator.JPG</t>
  </si>
  <si>
    <t>FS-22BBM150</t>
  </si>
  <si>
    <t>22pcs 0ppm RO DI replacement 150G Membrane 22BBM150</t>
  </si>
  <si>
    <t>/catalog/images/FS-22BBM150.JPG</t>
  </si>
  <si>
    <t>RQ-6BT-150</t>
  </si>
  <si>
    <t>150 GPD 6 stage RO DI Tank Water System RQ-6BT-150</t>
  </si>
  <si>
    <t>/catalog/images/RQ-6BT-150.JPG</t>
  </si>
  <si>
    <t>PT-FAU-N1</t>
  </si>
  <si>
    <t>Water Filter Parts Lead Free Chrome Long Reach Faucet#PT-FAU-N1</t>
  </si>
  <si>
    <t>/catalog/images/fau-N1-1.JPG</t>
  </si>
  <si>
    <t>POQ-4-150</t>
  </si>
  <si>
    <t>Countertop 150G Reverse Osmosis RO system POQ-4-150</t>
  </si>
  <si>
    <t>/catalog/images/POQ-4-150.JPG</t>
  </si>
  <si>
    <t>RQ-6BT-50</t>
  </si>
  <si>
    <t>50 GPD 6 stage RO DI Tank Water System RQ-6BT-50</t>
  </si>
  <si>
    <t>/catalog/images/DSC03211.JPG</t>
  </si>
  <si>
    <t>RQ-7BBB-150</t>
  </si>
  <si>
    <t>7st 150 GPD 0ppm RO 3xDI Water System RQ-7BBB-150</t>
  </si>
  <si>
    <t>/catalog/images/RQ-7BBB-150.JPG</t>
  </si>
  <si>
    <t>FS-POQ4BM100</t>
  </si>
  <si>
    <t>5 Pc Portable RO Replacement filter 100GPD membrane POQ4BM100</t>
  </si>
  <si>
    <t>/catalog/images/FS-PO4BM100.JPG</t>
  </si>
  <si>
    <t>FS-POQ4BM150</t>
  </si>
  <si>
    <t>5 Pc Portable RO Replacement filter 150GPD membrane POQ4BM150</t>
  </si>
  <si>
    <t>/catalog/images/FS-PO4BM150.JPG</t>
  </si>
  <si>
    <t>FS-POQ4BM50</t>
  </si>
  <si>
    <t>5 Pc Portable RO Replacement filter 50GPD membrane POQ4BM50</t>
  </si>
  <si>
    <t>/catalog/images/FS-PO4BM50.JPG</t>
  </si>
  <si>
    <t>1/2" kitchen/bathroom under sink adapter 1/4" tube PT-Q12A</t>
  </si>
  <si>
    <t>/catalog/images/Q12A-1.JPG</t>
  </si>
  <si>
    <t>FS-22BBM100</t>
  </si>
  <si>
    <t>22pcs 0ppm RO DI replacement filter 2x 100G Membrane 22BBM100</t>
  </si>
  <si>
    <t>/catalog/images/FS-22BBM100.JPG</t>
  </si>
  <si>
    <t>0PPM RO DI filter upgrade kit with Tube Connector Clip FT-QDI-TC</t>
  </si>
  <si>
    <t>/catalog/images/QDI-TC-1.JPG</t>
  </si>
  <si>
    <t>EX-450FVK</t>
  </si>
  <si>
    <t>Upgrade Flow Restrictor to easy quick  flush kits EX-450FVK</t>
  </si>
  <si>
    <t>/catalog/images/FVK.JPG</t>
  </si>
  <si>
    <t>450 ML RO Membrane Flow Restrictor Quick FlushKit PT-FlushKit</t>
  </si>
  <si>
    <t>/catalog/images/FVK-1.JPG</t>
  </si>
  <si>
    <t>2OUTPUT 0PPM Portable 100GPD Reverse Osmosis RO DI #POQ-5B2W-100</t>
  </si>
  <si>
    <t>/catalog/images/POQ-5B2W-100.JPG</t>
  </si>
  <si>
    <t>FS-4x2</t>
  </si>
  <si>
    <t>2 set 8 pcs RO Replacement Filters FS-4x2</t>
  </si>
  <si>
    <t>/catalog/images/FS-4x2.JPG</t>
  </si>
  <si>
    <t>UPS-30</t>
  </si>
  <si>
    <t>USPS shipping  charge for 6 stage RO with tank to AK HI PR</t>
  </si>
  <si>
    <t>/catalog/images/usps-logo3.gif</t>
  </si>
  <si>
    <t>FS-3M100</t>
  </si>
  <si>
    <t>4pc Reverse Osmosis Replacement Filters 100 G FS-3M100</t>
  </si>
  <si>
    <t>/catalog/images/FS-3M100.JPG</t>
  </si>
  <si>
    <t>FS-3</t>
  </si>
  <si>
    <t>FS-3  1set 3 pcs Reverse Osmosis RO Replacement Filters</t>
  </si>
  <si>
    <t>/catalog/images/FS-3-2.jpg</t>
  </si>
  <si>
    <t>PT-FV-100</t>
  </si>
  <si>
    <t>100 x shut off Float valve For Reverse Osmosis System PT-FV-100</t>
  </si>
  <si>
    <t>/catalog/images/FV-100.JPG</t>
  </si>
  <si>
    <t>150GPD 5 stage Reverse Osmosis dual outlet RODI system 5BT2W-150</t>
  </si>
  <si>
    <t>/catalog/images/RQ-5BT2W-150.JPG</t>
  </si>
  <si>
    <t>FS-7BUVM150</t>
  </si>
  <si>
    <t>1 set 7 pcs RO DI UV Spare Replacement Filters 150 GPD membrane</t>
  </si>
  <si>
    <t>/catalog/images/FS-7UVBM150.JPG</t>
  </si>
  <si>
    <t>FT-CTO25</t>
  </si>
  <si>
    <t>25 x 10" 5 Micron Carbon Block RO Replacement Filter FT-CTO25</t>
  </si>
  <si>
    <t>/catalog/images/FT-CTO25.JPG</t>
  </si>
  <si>
    <t>FT-DIB25</t>
  </si>
  <si>
    <t>wholesale 25 pcs 0PPM RO DI Filter refillable Clear FT-DIB25</t>
  </si>
  <si>
    <t>/catalog/images/DIB-25.jpg</t>
  </si>
  <si>
    <t>FS-5BBM50</t>
  </si>
  <si>
    <t>6pcs 0PPM RO DI Replacement Filter &amp; 50GPD membrane FS-5BBM50</t>
  </si>
  <si>
    <t>/catalog/images/FS-5BBM50.JPG</t>
  </si>
  <si>
    <t>FS-5BBx4</t>
  </si>
  <si>
    <t>4 set 20 pcs double 0 PPM DI RO Replacement filter FS-5BBx4</t>
  </si>
  <si>
    <t>/catalog/images/FS-5BBx4.jpg</t>
  </si>
  <si>
    <t>FS-7UVbM100</t>
  </si>
  <si>
    <t>1set 7pcs RO UV DI Replacement Filters 100 GPD membrane</t>
  </si>
  <si>
    <t>/catalog/images/FS-7UVbM100.jpg</t>
  </si>
  <si>
    <t>FS-PO3BM150</t>
  </si>
  <si>
    <t>4 pcs 0PPM Portable RO DI Replacement+100GPD #FS-PO3BM150</t>
  </si>
  <si>
    <t>/catalog/images/FS-PO3BM150.jpg</t>
  </si>
  <si>
    <t>FS-12M100</t>
  </si>
  <si>
    <t>/catalog/images/FS-12M100.jpg</t>
  </si>
  <si>
    <t>FS-4x4M100-2</t>
  </si>
  <si>
    <t>RO replacement filter combo FS-4x4M100-2</t>
  </si>
  <si>
    <t>/catalog/images/FS-4x4M100-2.jpg</t>
  </si>
  <si>
    <t>FT-QDI-3</t>
  </si>
  <si>
    <t>3x 0PPM Ion RO DI replacement Filter with quick connecting QDI-3</t>
  </si>
  <si>
    <t>/catalog/images/QDI-3.jpg</t>
  </si>
  <si>
    <t>RQ-6B-50+5B</t>
  </si>
  <si>
    <t>50 GPD 6 stage RO DI system/extra 5 PC replacements FS-6B-50+5B</t>
  </si>
  <si>
    <t>/catalog/images/RQ-6B-50-pl-5B.jpg</t>
  </si>
  <si>
    <t>RQ-5T-50+4</t>
  </si>
  <si>
    <t>50GPD 5stage Home drinking RO +tank+extra 4 filters RQ-5T-50+4</t>
  </si>
  <si>
    <t>/catalog/images/RQ-5T-50-pl-4.jpg</t>
  </si>
  <si>
    <t>RQ-6B-150+5B</t>
  </si>
  <si>
    <t>RQ-6B-150+5B 150GPD 6 stage RO DI system/extra 5PC replacements</t>
  </si>
  <si>
    <t>/catalog/images/RQ-6B-150-pl-5B.jpg</t>
  </si>
  <si>
    <t>RQ-6B-100+5B</t>
  </si>
  <si>
    <t>100 GPD 6st Reverse Osmosis + extra 5 PC replacement RQ-6B-100+5</t>
  </si>
  <si>
    <t>/catalog/images/RQ-6B-100-pl-5B.jpg</t>
  </si>
  <si>
    <t>RQ-6B2W-150+</t>
  </si>
  <si>
    <t>150 GPD 6 stage 2 OUTPUT RO DI system +5PC filter RQ-6B2W-150+5B</t>
  </si>
  <si>
    <t>/catalog/images/RQ-6B2W-150-pl-5B.jpg</t>
  </si>
  <si>
    <t>POQ-5B2W-150</t>
  </si>
  <si>
    <t>Portable RO 150 GPD 2 OUTPUT DI filter  POQ-5B2W-150</t>
  </si>
  <si>
    <t>/catalog/images/POQ-5B2W-150.png</t>
  </si>
  <si>
    <t>POQ-5B-100</t>
  </si>
  <si>
    <t>Portable 5 stage Reverse Osmosis DI Radiation Removal POQ-5B-100</t>
  </si>
  <si>
    <t>/catalog/images/POQ-5B-100.jpg</t>
  </si>
  <si>
    <t>FS-20BM150x4</t>
  </si>
  <si>
    <t>24pcs 0ppm RO DI replacement 150G Membrane#FS-20BM150x4</t>
  </si>
  <si>
    <t>/catalog/images/FS-20BM150x4.jpg</t>
  </si>
  <si>
    <t>3/4 in.  PVC FPT x FPT  Connection Threaded Ball Valve</t>
  </si>
  <si>
    <t>/catalog/images/BV34-2.JPG</t>
  </si>
  <si>
    <t>WH-2+2</t>
  </si>
  <si>
    <t>10" Whole House 2 stage filtration water system</t>
  </si>
  <si>
    <t>/catalog/images/WH-2PC-pl-2.jpg</t>
  </si>
  <si>
    <t>100 GPD 5 stage portable RO system + extra 2 ssts replacements</t>
  </si>
  <si>
    <t>/catalog/images/POQ-5B-100-pl-2.jpg</t>
  </si>
  <si>
    <t>FS-PO4x2</t>
  </si>
  <si>
    <t>2 set 8 pcs 0PPM DI Replacement Filters FS-PO4x2</t>
  </si>
  <si>
    <t>/catalog/images/FS-PO4X2.jpg</t>
  </si>
  <si>
    <t>Portable 5 st 100 Gallons Reverse Osmosis RO DI Tank POQ-5BT-100</t>
  </si>
  <si>
    <t>/catalog/images/PO-5BT-100.jpg</t>
  </si>
  <si>
    <t>upgrade PT-FAU to PT-FAU-N</t>
  </si>
  <si>
    <t>/catalog/images/Fau-UG-N.jpg</t>
  </si>
  <si>
    <t>PT-FVx10</t>
  </si>
  <si>
    <t>PT-FVx10 10 pcs of shut off Float valve For RO System PT</t>
  </si>
  <si>
    <t>/catalog/images/FVx10.jpg</t>
  </si>
  <si>
    <t>Reverse Osmosis RO Housing Replacement #PT-MQ</t>
  </si>
  <si>
    <t>/catalog/images/PT-HOU-MQ.jpg</t>
  </si>
  <si>
    <t>FS-22BM100</t>
  </si>
  <si>
    <t>4set 20pcs 0ppm RO replacement filters +2 100G Membrane</t>
  </si>
  <si>
    <t>/catalog/images/FS-22BM100.jpg</t>
  </si>
  <si>
    <t>Y Fitting 1/4 Union Quick Connecter PT-Y</t>
  </si>
  <si>
    <t>/catalog/images/SP-Y.jpg</t>
  </si>
  <si>
    <t>RQ-6B2W-100+</t>
  </si>
  <si>
    <t>100 GPD 6 stage 2 OUTPUT RO DI system +5PC filter RQ-6B2W-100+5B</t>
  </si>
  <si>
    <t>/catalog/images/RQ-6B2W-100-pl-5B.jpg</t>
  </si>
  <si>
    <t>10" Whole House 3 stage filtration water system extra 3pc WH-3+3</t>
  </si>
  <si>
    <t>/catalog/images/DSC09055.JPG</t>
  </si>
  <si>
    <t>PT-TUB2WT100</t>
  </si>
  <si>
    <t>100 meters (328Ft) 1/4" RO tube pipe hose PT-TUB2WT100</t>
  </si>
  <si>
    <t>/catalog/images/PT-tube100.jpg</t>
  </si>
  <si>
    <t>FT-QDI-50</t>
  </si>
  <si>
    <t>50 PC 0PPM Non-transparent Ion DI replacement Filter</t>
  </si>
  <si>
    <t>/catalog/images/QDI-50.jpg</t>
  </si>
  <si>
    <t>POQ-6BUV-100 GPD 6 stage portable RO DI UV Reverse Osmosis syste</t>
  </si>
  <si>
    <t>/catalog/images/POQ-6BUV.JPG</t>
  </si>
  <si>
    <t>FS-6UVb</t>
  </si>
  <si>
    <t>6 pcs RO Replacement Filters +DI +UV Bulb #FS-6UVb</t>
  </si>
  <si>
    <t>/catalog/images/FS-6UVb.jpg</t>
  </si>
  <si>
    <t>RQ-6BB-150+5</t>
  </si>
  <si>
    <t>150 GPD 6st Reverse Osmosis + extra 5 PC replacement RQ-6BB-150+</t>
  </si>
  <si>
    <t>/catalog/images/RQ-6BB-150-pl-5.jpg</t>
  </si>
  <si>
    <t>RQ-6BB-100+5</t>
  </si>
  <si>
    <t>100 GPD 6st Reverse Osmosis + extra 5 PC replacement RQ-6BB-100+</t>
  </si>
  <si>
    <t>/catalog/images/RQ-6BB-100-pl-5.jpg</t>
  </si>
  <si>
    <t>FS-3M150</t>
  </si>
  <si>
    <t>4pc Reverse Osmosis Replacement Filters 150 G membrane  FS-3M150</t>
  </si>
  <si>
    <t>/catalog/images/FS-3M150.jpg</t>
  </si>
  <si>
    <t>RQ-6BT-100+5</t>
  </si>
  <si>
    <t>RQ-6BT-100+5 100G 6stage Reverse Osmosis with Tank +5pc Filters</t>
  </si>
  <si>
    <t>/catalog/images/RQ-6BT-100-pl-5.jpg</t>
  </si>
  <si>
    <t>RQ-6BT-150+5</t>
  </si>
  <si>
    <t>RQ-6BT-150+5 150G 6stage Reverse Osmosis with Tank +5pc Filters</t>
  </si>
  <si>
    <t>/catalog/images/RQ-6BT-150-pl-5.jpg</t>
  </si>
  <si>
    <t>PT-FVB-S Stainless adjustable Float valve bracket kit</t>
  </si>
  <si>
    <t>/catalog/images/FVB.JPG</t>
  </si>
  <si>
    <t>RQ-7BB2W-100</t>
  </si>
  <si>
    <t>RQ-7BB2W-100 100 GPD 0ppm 7st  RO 2xDI dual 2 output</t>
  </si>
  <si>
    <t>/catalog/images/RQ-7BB2W-100.jpg</t>
  </si>
  <si>
    <t>FS-4BK</t>
  </si>
  <si>
    <t>FS-4BK 1set 4pcs RO large DI filter Replacement</t>
  </si>
  <si>
    <t>/catalog/images/FS-4BK.JPG</t>
  </si>
  <si>
    <t>PT-fts-1 5pcs of RO fittings</t>
  </si>
  <si>
    <t>/catalog/images/Fittings-1.jpg</t>
  </si>
  <si>
    <t>PT-fts-2</t>
  </si>
  <si>
    <t>PT-fts-2  5pcs of fittings</t>
  </si>
  <si>
    <t>/catalog/images/Fittings-2.jpg</t>
  </si>
  <si>
    <t>PT-FVx2</t>
  </si>
  <si>
    <t>2 units of shut off Float valve For  Reverse Osmosis RO System</t>
  </si>
  <si>
    <t>/catalog/images/FVx2.JPG</t>
  </si>
  <si>
    <t>FS-POQ14M100</t>
  </si>
  <si>
    <t>FS-POQ14M100 12pcs portable Filters+2x 100GPD Membrane</t>
  </si>
  <si>
    <t>/catalog/images/FS-POQ14M100.jpg</t>
  </si>
  <si>
    <t>FS-POQ3B</t>
  </si>
  <si>
    <t>FS-POQ3B 1set 3pcs 0PPM Portable RO Replacement Filters</t>
  </si>
  <si>
    <t>/catalog/images/POQ-3B.JPG</t>
  </si>
  <si>
    <t>UG-150-300</t>
  </si>
  <si>
    <t>Upgrade kits convert 150 to 300 GPD Reverse Osmosis System</t>
  </si>
  <si>
    <t>/catalog/images/150-300.jpg</t>
  </si>
  <si>
    <t>RC3-UV Home drinking 4 stage water filtration System with 8W UV</t>
  </si>
  <si>
    <t>/catalog/images/RC-UV-1.JPG</t>
  </si>
  <si>
    <t>RQ-7BB2W+6 100 GPD 0ppm 7st RO 2xDI dual 2 output +extra 6 filte</t>
  </si>
  <si>
    <t>/catalog/images/RQ-7BB2W-100-pl-6.jpg</t>
  </si>
  <si>
    <t>FS-PO4X2M100</t>
  </si>
  <si>
    <t>2 set 9 pcs Spare portable Replacement Filters 100GPD membrane</t>
  </si>
  <si>
    <t>/catalog/images/FS-PO4X2M100.jpg</t>
  </si>
  <si>
    <t>FS-T33-25</t>
  </si>
  <si>
    <t>WholeSale-25PC In-line Granular Activated Carbon filters T33-25</t>
  </si>
  <si>
    <t>/catalog/images/GAC-25_2.jpg</t>
  </si>
  <si>
    <t>POQ-5BB-50</t>
  </si>
  <si>
    <t>/catalog/images/POQ-5BB.JPG</t>
  </si>
  <si>
    <t>Household 4 stage Water Filtration drinking System WH-4T</t>
  </si>
  <si>
    <t>/catalog/images/WH-4T.JPG</t>
  </si>
  <si>
    <t>FS-5BM50</t>
  </si>
  <si>
    <t>6pcs Reverse Osmosis RO replacement filter and 50 GPD Membrane F</t>
  </si>
  <si>
    <t>/catalog/images/FS-5BM50.jpg</t>
  </si>
  <si>
    <t>POQ-5BB-150</t>
  </si>
  <si>
    <t>150 GPD Portable 5stage Reverse Osmosis DOUBLE DI  RO SYSTEM POQ</t>
  </si>
  <si>
    <t>In-line Granular Activated coconut shell Carbon Replacement Filt</t>
  </si>
  <si>
    <t>FT-QDI-10 10x 0PPM Non-transparent Ion RO DI replacement Filter</t>
  </si>
  <si>
    <t>/catalog/images/QDI-10.jpg</t>
  </si>
  <si>
    <t>SP-Y</t>
  </si>
  <si>
    <t>$1.00 1/4" Y quick connector/fitting SP-Y</t>
  </si>
  <si>
    <t>/catalog/images/SP-Y.JPG</t>
  </si>
  <si>
    <t>SP-0404Q</t>
  </si>
  <si>
    <t>$1.00 1/4" to 1/4" tube straight quick connector/fitting SP-0404</t>
  </si>
  <si>
    <t>/catalog/images/SP-0404Q.JPG</t>
  </si>
  <si>
    <t>PT-4044Qx4</t>
  </si>
  <si>
    <t>4 unit 1/4" tube 1/4" thread elbow quick fitting 4044Qx4</t>
  </si>
  <si>
    <t>/catalog/images/PT-4044Qx4.jpg</t>
  </si>
  <si>
    <t>PT-1044Qx4</t>
  </si>
  <si>
    <t>4 units of 1/4" tube 1/4" thread straight quick fitting 1044Qx4</t>
  </si>
  <si>
    <t>/catalog/images/PT-1044Qx4.jpg</t>
  </si>
  <si>
    <t>SP-CRT</t>
  </si>
  <si>
    <t>$1.00  double side 1/4 &amp; 3/8" Collet release tool</t>
  </si>
  <si>
    <t>/catalog/images/Collet-sp-release-sp-tool.JPG</t>
  </si>
  <si>
    <t>SP-1044</t>
  </si>
  <si>
    <t>1/4" tube 1/4"pipe SP-1044</t>
  </si>
  <si>
    <t>/catalog/images/SP-1044.jpg</t>
  </si>
  <si>
    <t>SP-702Q</t>
  </si>
  <si>
    <t>$1.00 1/4" union 3 way quick connector SP-702Q</t>
  </si>
  <si>
    <t>/catalog/images/SP-702Q.JPG</t>
  </si>
  <si>
    <t>FS-3x6</t>
  </si>
  <si>
    <t>18 pc RO Replacement Pre-Filters PP sediment and carbon FS-3x6</t>
  </si>
  <si>
    <t>/catalog/images/FS-3x6.jpg</t>
  </si>
  <si>
    <t>SP-6044Q</t>
  </si>
  <si>
    <t>$1.00 1/4 union 3 way quick connector SP-6044Q</t>
  </si>
  <si>
    <t>/catalog/images/66044Q.JPG</t>
  </si>
  <si>
    <t>SP-7044Q</t>
  </si>
  <si>
    <t>$1.00 1/4" union 3 way quick connector SP-7044Q</t>
  </si>
  <si>
    <t>/catalog/images/7044Q.JPG</t>
  </si>
  <si>
    <t>SP-132Q</t>
  </si>
  <si>
    <t>$2.00   1/4" Tube x 1/4 thread  Straight Ball Valve PT-132Q</t>
  </si>
  <si>
    <t>/catalog/images/132Q.JPG</t>
  </si>
  <si>
    <t>3/4" Garden / Laundry hose adapter connect to1/4 "tube SP-Q34A</t>
  </si>
  <si>
    <t>SP-FV</t>
  </si>
  <si>
    <t>Plastic Float Valve For Reverse Osmosis RO System#SP-FV</t>
  </si>
  <si>
    <t>/catalog/images/FV.jpg</t>
  </si>
  <si>
    <t>SP-131Q</t>
  </si>
  <si>
    <t>RO DI 1/4" Tube x 1/4 Tube Straight ball Valve SP-131Q</t>
  </si>
  <si>
    <t>/catalog/images/SP-131Q.JPG</t>
  </si>
  <si>
    <t>3-1/4" 2 Pcs of filter Bracket Clips#PT-CLP-SB</t>
  </si>
  <si>
    <t>/catalog/images/PT-CLP-B400_1.jpg</t>
  </si>
  <si>
    <t>PT-FAU-S1</t>
  </si>
  <si>
    <t>Countertop Portable RO faucet PT-FAU-S1</t>
  </si>
  <si>
    <t>/catalog/images/PT-FAU-S1.JPG</t>
  </si>
  <si>
    <t>FS-POQ4BB</t>
  </si>
  <si>
    <t>4 pcs 0PPM Portable RO DI Replacement filter FS-POQ4BB</t>
  </si>
  <si>
    <t>/catalog/images/FS-POQ4BB.jpg</t>
  </si>
  <si>
    <t>10" Whole House 2 stage filtration water system WH-2</t>
  </si>
  <si>
    <t>/catalog/images/WH-2PC.JPG</t>
  </si>
  <si>
    <t>Portable 100 G RO 2 DI dual output for drinking Hydroponic Aquar</t>
  </si>
  <si>
    <t>/catalog/images/POQ-6BB2W-1.JPG</t>
  </si>
  <si>
    <t>POQ-5BB-100</t>
  </si>
  <si>
    <t>PT-702Qx200</t>
  </si>
  <si>
    <t>200 pc of  1/4" union 3 way quick connectors</t>
  </si>
  <si>
    <t>/catalog/images/SP-702Qx200.jpg</t>
  </si>
  <si>
    <t>FS-PO4BUVb</t>
  </si>
  <si>
    <t>FS-PO4BUVb-5 pc of portable RO DI UV replacement filter UV bulb</t>
  </si>
  <si>
    <t>/catalog/images/FS-PO4BUVb.jpg</t>
  </si>
  <si>
    <t>RQ-5B-100+4B</t>
  </si>
  <si>
    <t>100 G Aquarium Reef RO DI 5stage RO System extra 4x filters</t>
  </si>
  <si>
    <t>/catalog/images/RQ-5B-100-pl-4B.jpg</t>
  </si>
  <si>
    <t>Upgrade kit for 50GPD RO system</t>
  </si>
  <si>
    <t>/catalog/images/</t>
  </si>
  <si>
    <t>FS-6BBC</t>
  </si>
  <si>
    <t>1set 0ppm 6pc Reverse Osmosis RO+2DI Replacement Filters#FS-6BBC</t>
  </si>
  <si>
    <t>/catalog/images/FS-6BBC.jpg</t>
  </si>
  <si>
    <t>HOU-A610T</t>
  </si>
  <si>
    <t>3/4" pipe thread 10" Housing with lid(A610T)</t>
  </si>
  <si>
    <t>/catalog/images/DSC08095.JPG</t>
  </si>
  <si>
    <t>FS-7BUVM100</t>
  </si>
  <si>
    <t>1 set 7 pcs RO DI UV Spare Replacement Filters 100 GPD membrane</t>
  </si>
  <si>
    <t>/catalog/images/FS-7UVBM100-1.jpg</t>
  </si>
  <si>
    <t>10" Coconut carbon KDF55 mixed chlorine remove inline Filter wit</t>
  </si>
  <si>
    <t>/catalog/images/FT-KDF55.jpg</t>
  </si>
  <si>
    <t>2.5" 0PPM Non-transparent Ion RO DI replacement Filter FT-LQDI</t>
  </si>
  <si>
    <t>/catalog/images/FT-LQDI.jpg</t>
  </si>
  <si>
    <t>FS-2</t>
  </si>
  <si>
    <t>2 pc RO Replacement Filters PP sediment &amp; carbon filter  FS-2</t>
  </si>
  <si>
    <t>/catalog/images/FS-2.jpg</t>
  </si>
  <si>
    <t>PT-FVBS Stainless adjustable Float valve bracket kit small</t>
  </si>
  <si>
    <t>/catalog/images/FVB-2.JPG</t>
  </si>
  <si>
    <t>300/400 GPD membrane Housing</t>
  </si>
  <si>
    <t>/catalog/images/PT-HOU-M400-2.jpg</t>
  </si>
  <si>
    <t>50GPD Home drinking RO System w/tank extra free 3 PC filters</t>
  </si>
  <si>
    <t>/catalog/images/RQ-5T-50-pl-3-1.jpg</t>
  </si>
  <si>
    <t>Single Plastic bracket for Reverse Osmosis System housing PT-SBP</t>
  </si>
  <si>
    <t>/catalog/images/PT-SBP-1.JPG</t>
  </si>
  <si>
    <t>PT-3W2</t>
  </si>
  <si>
    <t>Three Way Switch RO adapter /sink faucet work with areator PT-3W</t>
  </si>
  <si>
    <t>/catalog/images/22-171-2w.jpg</t>
  </si>
  <si>
    <t>Three Way Switch RO sink faucet work with areator PT-3W2</t>
  </si>
  <si>
    <t>WH-3A65T</t>
  </si>
  <si>
    <t>5" Whole House 3 clear stage filtration water system 3/4" thread</t>
  </si>
  <si>
    <t>/catalog/images/WH-3A65T_1.jpg</t>
  </si>
  <si>
    <t>WH-3A65W</t>
  </si>
  <si>
    <t>5" Whole House 3 stage filtration water system 3/4" ports (white</t>
  </si>
  <si>
    <t>/catalog/images/WH-3A65W.jpg</t>
  </si>
  <si>
    <t>HOU-A6V10W</t>
  </si>
  <si>
    <t>White 10" filter Housing whole House water System 3/4" thread pr</t>
  </si>
  <si>
    <t>/catalog/images/DSC08504.JPG</t>
  </si>
  <si>
    <t>FS20-3x2</t>
  </si>
  <si>
    <t>6 pc Replacement Filters 20"x2.5" sediment /carbon combo filters</t>
  </si>
  <si>
    <t>/catalog/images/FS20-3x2.jpg</t>
  </si>
  <si>
    <t>FS20-3</t>
  </si>
  <si>
    <t>3pc Replacement Filters 20"x2.5" sediment /carbon combo filters</t>
  </si>
  <si>
    <t>/catalog/images/FS20-3.JPG</t>
  </si>
  <si>
    <t>FT-CTO05</t>
  </si>
  <si>
    <t>5 Micron Carbon Block RO Replacement Filter FT-CTO05 (5" x 2.5")</t>
  </si>
  <si>
    <t>/catalog/images/FT-CTO05-1.JPG</t>
  </si>
  <si>
    <t>FT-PP05</t>
  </si>
  <si>
    <t>5 Micron 5" RO PP replacement Sediment Filter Remove Dirt Rust S</t>
  </si>
  <si>
    <t>/catalog/images/FT-PP05_2.JPG</t>
  </si>
  <si>
    <t>RQ-7BBB-150+</t>
  </si>
  <si>
    <t>0 ppm 7st 150 GPD RO 3xDI Water Filters plus extra 6 PC filters</t>
  </si>
  <si>
    <t>/catalog/images/RQ-7BBB-150-pl-6.jpg</t>
  </si>
  <si>
    <t>WH-3A610W+3</t>
  </si>
  <si>
    <t>10" Whole House 3 stage filtration water system extra 3 pc filte</t>
  </si>
  <si>
    <t>/catalog/images/WH-3A610W_1.jpg</t>
  </si>
  <si>
    <t>100 GPD Drinking RO Reverse Osmosis System plus extra 4 pc filte</t>
  </si>
  <si>
    <t>WH-2A610W+2</t>
  </si>
  <si>
    <t>10" Whole House 2 stage filtration water system 3/4" port + extr</t>
  </si>
  <si>
    <t>/catalog/images/WH-2A610W-pl-2.jpg</t>
  </si>
  <si>
    <t>WH-2A610W</t>
  </si>
  <si>
    <t>10" Whole House 2 stage filtration water system remove chlorine</t>
  </si>
  <si>
    <t>/catalog/images/WH-2A610W.JPG</t>
  </si>
  <si>
    <t>WH-3A610W</t>
  </si>
  <si>
    <t>10" Whole House 3 stage filtration water system white housing 3/</t>
  </si>
  <si>
    <t>/catalog/images/WH-3A610W.JPG</t>
  </si>
  <si>
    <t>RES-MB400-25</t>
  </si>
  <si>
    <t>25 Liter 0PPM refill media DI Resin mix bead Reverse Osmosis Sys</t>
  </si>
  <si>
    <t>/catalog/images/resin25L.jpg</t>
  </si>
  <si>
    <t>Clear 10" filter Housing whole House water System 3/4" thread pr</t>
  </si>
  <si>
    <t>/catalog/images/PT-HOUWHC1.JPG</t>
  </si>
  <si>
    <t>HOU-A65T</t>
  </si>
  <si>
    <t>Clear 5" filter Housing with lid whole House water System 3/4"</t>
  </si>
  <si>
    <t>/catalog/images/HOU-A65T.JPG</t>
  </si>
  <si>
    <t>HOU-A65W</t>
  </si>
  <si>
    <t>White 5" filter Housing with lid whole House water System 3/4"</t>
  </si>
  <si>
    <t>/catalog/images/HOU-A65W.JPG</t>
  </si>
  <si>
    <t>1/4" tube 1/4" inlet RO faucet quick fitting connector adapter</t>
  </si>
  <si>
    <t>/catalog/images/PT-Qfaucet-3.JPG</t>
  </si>
  <si>
    <t>HOU-A6V5W</t>
  </si>
  <si>
    <t>White 5" filter Housing water System 3/4" pressure release</t>
  </si>
  <si>
    <t>/catalog/images/HOU-A6V5W-1-.jpg</t>
  </si>
  <si>
    <t>HOU-A6V5T</t>
  </si>
  <si>
    <t>Clear 5" filter Housing System 3/4" pressure release</t>
  </si>
  <si>
    <t>/catalog/images/HOU-A6V5T.jpg</t>
  </si>
  <si>
    <t>HOU-A610W</t>
  </si>
  <si>
    <t>White 10" filter Housing with lid 3/4" thread ports (A610W)</t>
  </si>
  <si>
    <t>/catalog/images/HOU-A610W.jpg</t>
  </si>
  <si>
    <t>3/8" RO adapter for kitchen undersink 1/4 "tube PT-38BV</t>
  </si>
  <si>
    <t>/catalog/images/38BV-1.jpg</t>
  </si>
  <si>
    <t>FS-POQ2</t>
  </si>
  <si>
    <t>1set 2pcs Portable RO pre-filter Replacement Filters FS-POQ2</t>
  </si>
  <si>
    <t>/catalog/images/FS-POQ2.jpg</t>
  </si>
  <si>
    <t>SP-4041Q</t>
  </si>
  <si>
    <t>1/4" hard tube insert and 1/4" quick fitting</t>
  </si>
  <si>
    <t>/catalog/images/PT-4041Q.jpg</t>
  </si>
  <si>
    <t>HOU-A610Tx4</t>
  </si>
  <si>
    <t>4 units of 3/4" port clear 10" housing</t>
  </si>
  <si>
    <t>/catalog/images/610x4.jpg</t>
  </si>
  <si>
    <t>Upgrade kits convert 100 to 200 GPD Reverse Osmosis System</t>
  </si>
  <si>
    <t>RQ-5TW-150</t>
  </si>
  <si>
    <t>150 GPD Home drinking Reverse Osmosis Water system w/tank faucel</t>
  </si>
  <si>
    <t>/catalog/images/RQ-5TW-pl-3.jpg</t>
  </si>
  <si>
    <t>RQ-5TW-100+3</t>
  </si>
  <si>
    <t>100 GPD Home drinking Reverse Osmosis Water system w/tank faucel</t>
  </si>
  <si>
    <t>PT-4040Qx4</t>
  </si>
  <si>
    <t>4 units of RO DI 1/4" x 1/4" Tube elbow quick fitting 4040Qx4</t>
  </si>
  <si>
    <t>/catalog/images/4040Qx4.jpg</t>
  </si>
  <si>
    <t>FS5-3x6</t>
  </si>
  <si>
    <t>18 pc RO whole house 5" Replacement Filters 6x sediment 12x carb</t>
  </si>
  <si>
    <t>/catalog/images/FS5-3x6.jpg</t>
  </si>
  <si>
    <t>50 GPD membrane DI system POQ-RODI-50</t>
  </si>
  <si>
    <t>/catalog/images/RODI-50.jpg</t>
  </si>
  <si>
    <t>WH-2A65WT</t>
  </si>
  <si>
    <t xml:space="preserve">5" Whole House White &amp; Clear stage filtration water system 3/4" </t>
  </si>
  <si>
    <t>/catalog/images/WH-2A65WT.jpg</t>
  </si>
  <si>
    <t>WH-2A65W</t>
  </si>
  <si>
    <t>5" Whole House 2 white stage filtration water system 3/4" port</t>
  </si>
  <si>
    <t>/catalog/images/WH-2A65W.jpg</t>
  </si>
  <si>
    <t>Hybrid In/Outdoor Whole House /Reverse Osmosis System RO Water F</t>
  </si>
  <si>
    <t>/catalog/images/WR-4CT-4.JPG</t>
  </si>
  <si>
    <t>Convert whole house filter to 50 GPD ROsystem with water tank</t>
  </si>
  <si>
    <t>/catalog/images/WR-4CT-3.JPG</t>
  </si>
  <si>
    <t>FS-PO3Tx4</t>
  </si>
  <si>
    <t>12 pcs4 set  Portable Home drinking Reverse Osmosis RO Replaceme</t>
  </si>
  <si>
    <t>/catalog/images/FS-POQ3Tx4.jpg</t>
  </si>
  <si>
    <t>FS-PCPCBM50</t>
  </si>
  <si>
    <t>6pc RO DI Replacement Filters 50 G membrane PCPCBM50</t>
  </si>
  <si>
    <t>/catalog/images/FS-PCPCBM50.jpg</t>
  </si>
  <si>
    <t>10" Whole House White &amp; Clear stage filtration water system 3/4"</t>
  </si>
  <si>
    <t>/catalog/images/WH-2A610WT_2.jpg</t>
  </si>
  <si>
    <t>USPS-5</t>
  </si>
  <si>
    <t>USPS First Class mail charge $5.00</t>
  </si>
  <si>
    <t>/catalog/images/First-Class.png</t>
  </si>
  <si>
    <t>FS5-2</t>
  </si>
  <si>
    <t>5"  Reverse Osmosis Replacement Filters one PP sediment carbon f</t>
  </si>
  <si>
    <t>/catalog/images/FS5-2.jpg</t>
  </si>
  <si>
    <t>2 units of RO DI 4 way 1/4" Tube quick fitting 802Qx2</t>
  </si>
  <si>
    <t>/catalog/images/802Qx2.JPG</t>
  </si>
  <si>
    <t>32 OZ refill 0 PPM DI resin + refillable DI cartridge and fittin</t>
  </si>
  <si>
    <t>/catalog/images/RES-HOUDI.jpg</t>
  </si>
  <si>
    <t>1/2" port of Clear 5" filter Housing with lid For RO whole house</t>
  </si>
  <si>
    <t>/catalog/images/HOU-A45T.JPG</t>
  </si>
  <si>
    <t>HOU-A45W</t>
  </si>
  <si>
    <t>1/2" port of white 5" filter Housing with lid For RO whole house</t>
  </si>
  <si>
    <t>/catalog/images/HOU-A45W.JPG</t>
  </si>
  <si>
    <t>HOU-A410W</t>
  </si>
  <si>
    <t>1/2" port (white) 10" filter Housing with lid For RO whole house</t>
  </si>
  <si>
    <t>/catalog/images/HOU-A410W.JPG</t>
  </si>
  <si>
    <t>1/2" port (clear) 10" filter Housing with lid For RO whole house</t>
  </si>
  <si>
    <t>/catalog/images/HOU-A410T.JPG</t>
  </si>
  <si>
    <t>SP-4040Qx6</t>
  </si>
  <si>
    <t>6 units of RO DI 1/4" x 1/4" Tube elbow quick fitting 4040Qx6</t>
  </si>
  <si>
    <t>/catalog/images/4040Qx6.jpg</t>
  </si>
  <si>
    <t>New design quick push Clear pre-housing PT-HOU-W1</t>
  </si>
  <si>
    <t>/catalog/images/HOU-W1-2.JPG</t>
  </si>
  <si>
    <t>FS-22resM150</t>
  </si>
  <si>
    <t>RO replacement filters refill resin 150G membrane</t>
  </si>
  <si>
    <t>/catalog/images/FS-22resM150.jpg</t>
  </si>
  <si>
    <t>WH-3A410T+3</t>
  </si>
  <si>
    <t>10" Whole House all  Clear 3 stage filtration water system 1/2"</t>
  </si>
  <si>
    <t>POQ-4-150+3</t>
  </si>
  <si>
    <t>Portable 150GPD RO Drinking Water system POQ-4-150+3</t>
  </si>
  <si>
    <t>/catalog/images/POQ-43P-150.jpg</t>
  </si>
  <si>
    <t>300 GPD (dual 150) RO Water System faucet refill-able 0 ppm DI</t>
  </si>
  <si>
    <t>/catalog/images/RQ-3002W-1.JPG</t>
  </si>
  <si>
    <t>WH-2A410T</t>
  </si>
  <si>
    <t>2 stage Whole House filtration water system remove chlorine</t>
  </si>
  <si>
    <t>FS-4x4M150-2</t>
  </si>
  <si>
    <t>RO replacement filter combo FS-4x4M150-2</t>
  </si>
  <si>
    <t>/catalog/images/FS-4x4M150-2.jpg</t>
  </si>
  <si>
    <t>50 GPD 4 stage Reverse Osmosis RO DI Water Filters system RQ-4BM</t>
  </si>
  <si>
    <t>/catalog/images/RQ-4B_1.jpg</t>
  </si>
  <si>
    <t xml:space="preserve">2 units of RO DI 3/8" Tube x 1/4 thread elbow fitting/connector </t>
  </si>
  <si>
    <t>/catalog/images/PT-4038.JPG</t>
  </si>
  <si>
    <t>TUBE25-BL</t>
  </si>
  <si>
    <t>25Ft 1/4" RO polyethylene BLUE  tube pipe hose TUBE25-BL</t>
  </si>
  <si>
    <t>/catalog/images/bluetube.JPG</t>
  </si>
  <si>
    <t>20 pc of Nail-In 1/4" cable / RO tube Clips</t>
  </si>
  <si>
    <t>/catalog/images/cableclips-20.jpg</t>
  </si>
  <si>
    <t>100 pc of Nail-In 1/4" cable / RO tube Clips</t>
  </si>
  <si>
    <t>/catalog/images/cableclips-100.JPG</t>
  </si>
  <si>
    <t>5 Micron 10" String Wound Sediment RO Whole House PP filter</t>
  </si>
  <si>
    <t>/catalog/images/FT-SWPP5M.JPG</t>
  </si>
  <si>
    <t>1/4" tube faucet fitting connector with easy screw lock plate</t>
  </si>
  <si>
    <t>/catalog/images/DSC09211.JPG</t>
  </si>
  <si>
    <t>FS20-PP-25</t>
  </si>
  <si>
    <t>25 PC Sediment Water replacement Filter 20x2.5"</t>
  </si>
  <si>
    <t>/catalog/images/FS20-PPx25-2.JPG</t>
  </si>
  <si>
    <t>WH-A610TP</t>
  </si>
  <si>
    <t>clear 10" PP Sediment 3/4" port Whole House water system</t>
  </si>
  <si>
    <t>/catalog/images/WH-A610TP_1.jpg</t>
  </si>
  <si>
    <t>clear 10" carbon filter 3/4" port Whole House water system</t>
  </si>
  <si>
    <t>/catalog/images/WH-A610TC_1.jpg</t>
  </si>
  <si>
    <t>WH-A610WC</t>
  </si>
  <si>
    <t>White 10" carbon filter 3/4" port Whole House water system</t>
  </si>
  <si>
    <t>/catalog/images/WH-A610WC_1.jpg</t>
  </si>
  <si>
    <t>WH-A610WP</t>
  </si>
  <si>
    <t>White 10" PP Sediment 3/4" port Whole House water system</t>
  </si>
  <si>
    <t>/catalog/images/WH-A610WP_1.jpg</t>
  </si>
  <si>
    <t>Faucet Mount Water Filtration System Cleanable Ceramic Cartridge</t>
  </si>
  <si>
    <t>/catalog/images/CF-4.JPG</t>
  </si>
  <si>
    <t>FS-POQ3TM150</t>
  </si>
  <si>
    <t>4pcs Drinking  Portable RO Replacement filters 150 GPD membrane</t>
  </si>
  <si>
    <t>/catalog/images/FS-POQ3TM150.jpg</t>
  </si>
  <si>
    <t>1/2" port filter Housing lid replacement work for 5 &amp; 10 "/ clea</t>
  </si>
  <si>
    <t>/catalog/images/DSC09047.JPG</t>
  </si>
  <si>
    <t>RQ5-5B-150</t>
  </si>
  <si>
    <t>5 stage 150 GPD mini RO DI Aquarium System RQ5-5B-150</t>
  </si>
  <si>
    <t>/catalog/images/RQ5-5B-150.jpg</t>
  </si>
  <si>
    <t>5 stage 100 GPD mini RO DI Aquarium System RQ5-5B-100</t>
  </si>
  <si>
    <t>/catalog/images/RQ5-5B-100.jpg</t>
  </si>
  <si>
    <t>RQ5-5B-50</t>
  </si>
  <si>
    <t>5 stage 50 GPD mini RO DI Aquarium System RQ5-5B-50</t>
  </si>
  <si>
    <t>/catalog/images/RQ5-5B-50.jpg</t>
  </si>
  <si>
    <t>5 stage 100 GPD mini Drinking RO System RQ5-5-100</t>
  </si>
  <si>
    <t>/catalog/images/RQ5-5-100.jpg</t>
  </si>
  <si>
    <t>5 stage 50 GPD mini Drinking RO System RQ5-5-50</t>
  </si>
  <si>
    <t>/catalog/images/RQ5-5-50.jpg</t>
  </si>
  <si>
    <t>RQ5-5-150</t>
  </si>
  <si>
    <t>5 stage 150 GPD mini Drinking RO System RQ5-5-150</t>
  </si>
  <si>
    <t>/catalog/images/RQ5-5-150.jpg</t>
  </si>
  <si>
    <t>WH-2A410W+2</t>
  </si>
  <si>
    <t>10" Whole House 2 stage filtration water system 1/2" port + extr</t>
  </si>
  <si>
    <t>WH-2A410W</t>
  </si>
  <si>
    <t>10" Whole House 2 stage filtration water system 1/2" port</t>
  </si>
  <si>
    <t>FS5-4B</t>
  </si>
  <si>
    <t>5x PP inline filter &amp; 5x DI filters</t>
  </si>
  <si>
    <t>/catalog/images/SO-1.jpg</t>
  </si>
  <si>
    <t>special order for Sunny</t>
  </si>
  <si>
    <t>Metal aerator sink faucet adapter</t>
  </si>
  <si>
    <t>/catalog/images/IMG_2690.JPG</t>
  </si>
  <si>
    <t>FT-M200</t>
  </si>
  <si>
    <t>200 GPD Reverse Osmosis RO membrane Water Filter Reef#FT-M200</t>
  </si>
  <si>
    <t>/catalog/images/FT-M200.jpg</t>
  </si>
  <si>
    <t>POQ-4B-200</t>
  </si>
  <si>
    <t>0 PPM 200 GPD Reef 4 stage Reverse Osmosis Reef Water Filter Sys</t>
  </si>
  <si>
    <t>/catalog/images/POQ-4B-200.jpg</t>
  </si>
  <si>
    <t>Compact 5 stage 50 GPD mini Drinking RO Reverse Osmosis tank Sys</t>
  </si>
  <si>
    <t>/catalog/images/RQ5-5T-50.jpg</t>
  </si>
  <si>
    <t>NRO-5T+7</t>
  </si>
  <si>
    <t>5 Stage RO System Tank Drinking Water Free 1 year Extra 7 Filter</t>
  </si>
  <si>
    <t>/catalog/images/nro-main.jpg</t>
  </si>
  <si>
    <t>RO DI 1/4" Tube x 3/8" Tube Straight fitting connector PT-1438S*</t>
  </si>
  <si>
    <t>/catalog/images/1438S-2.JPG</t>
  </si>
  <si>
    <t>WH-3A610T</t>
  </si>
  <si>
    <t xml:space="preserve">10" Whole House all  Clear 3 stage filtration water system 3/4" </t>
  </si>
  <si>
    <t>/catalog/images/WH-3A410T.JPG</t>
  </si>
  <si>
    <t>copper tee adapter kitchen under-sink 3/8" shut off valve to 1/4</t>
  </si>
  <si>
    <t>/catalog/images/B38-2.JPG</t>
  </si>
  <si>
    <t>2 units of 3/4" - 3/4" thread housing fitting/connector male-mal</t>
  </si>
  <si>
    <t>/catalog/images/DSC08568.JPG</t>
  </si>
  <si>
    <t>3 units of clear or white 10" housing</t>
  </si>
  <si>
    <t>/catalog/images/3xhousing.jpg</t>
  </si>
  <si>
    <t>3 units of clear  10" housing</t>
  </si>
  <si>
    <t>/catalog/images/610Tx3.jpg</t>
  </si>
  <si>
    <t>CF-2W</t>
    <phoneticPr fontId="2" type="noConversion"/>
  </si>
  <si>
    <t>RO replacement filter combo FS-12M100</t>
    <phoneticPr fontId="2" type="noConversion"/>
  </si>
  <si>
    <t>水龍頭濾芯</t>
    <phoneticPr fontId="2" type="noConversion"/>
  </si>
  <si>
    <t>沖洗閥升級套件</t>
    <phoneticPr fontId="2" type="noConversion"/>
  </si>
  <si>
    <t>RQ-5-100+4</t>
    <phoneticPr fontId="2" type="noConversion"/>
  </si>
  <si>
    <t>2set 10pcs 0ppm Reverse Osmosis +DI +100G RO Membrane#FS-10BM100</t>
    <phoneticPr fontId="2" type="noConversion"/>
  </si>
  <si>
    <t>EX-clear2</t>
    <phoneticPr fontId="2" type="noConversion"/>
  </si>
  <si>
    <t>2白瓶升級2透明瓶</t>
    <phoneticPr fontId="2" type="noConversion"/>
  </si>
  <si>
    <t>EX-FAU-N</t>
    <phoneticPr fontId="2" type="noConversion"/>
  </si>
  <si>
    <t>扳手鵝頸升級旋轉</t>
    <phoneticPr fontId="2" type="noConversion"/>
  </si>
  <si>
    <t>20吋前3</t>
    <phoneticPr fontId="2" type="noConversion"/>
  </si>
  <si>
    <t>2套20吋前3</t>
    <phoneticPr fontId="2" type="noConversion"/>
  </si>
  <si>
    <t>25支20吋PP</t>
    <phoneticPr fontId="2" type="noConversion"/>
  </si>
  <si>
    <t>2套前3+DI+小T+100膜</t>
  </si>
  <si>
    <t>2套前3+DI+小T+150膜</t>
  </si>
  <si>
    <t>2套前3+DI+小T+50膜</t>
  </si>
  <si>
    <t>4套前3+DI+小T</t>
  </si>
  <si>
    <t>4套前3+DI+小T+4支150膜</t>
  </si>
  <si>
    <t>2套前3+DI+小T</t>
    <phoneticPr fontId="2" type="noConversion"/>
  </si>
  <si>
    <t>6套前3+3支小T</t>
    <phoneticPr fontId="2" type="noConversion"/>
  </si>
  <si>
    <t>4套前3+DI+小T+2支100膜</t>
    <phoneticPr fontId="2" type="noConversion"/>
  </si>
  <si>
    <t>4套前3+DI+小T+2支150膜</t>
    <phoneticPr fontId="2" type="noConversion"/>
  </si>
  <si>
    <t>4套前3+2支DI+2支100膜</t>
    <phoneticPr fontId="2" type="noConversion"/>
  </si>
  <si>
    <t>4套前3+2支DI+2支150膜</t>
    <phoneticPr fontId="2" type="noConversion"/>
  </si>
  <si>
    <t>4套前3+64OzDI+2支150膜</t>
    <phoneticPr fontId="2" type="noConversion"/>
  </si>
  <si>
    <t>前3</t>
    <phoneticPr fontId="2" type="noConversion"/>
  </si>
  <si>
    <t>4套前3+100膜</t>
    <phoneticPr fontId="2" type="noConversion"/>
  </si>
  <si>
    <t>前3+100膜</t>
  </si>
  <si>
    <t>前3+150膜</t>
    <phoneticPr fontId="2" type="noConversion"/>
  </si>
  <si>
    <t>6套5吋前3</t>
    <phoneticPr fontId="2" type="noConversion"/>
  </si>
  <si>
    <t>前3+小T</t>
    <phoneticPr fontId="2" type="noConversion"/>
  </si>
  <si>
    <t>前3+DI</t>
    <phoneticPr fontId="2" type="noConversion"/>
  </si>
  <si>
    <t>前3+DI+100膜</t>
    <phoneticPr fontId="2" type="noConversion"/>
  </si>
  <si>
    <t>前3+DI+50膜</t>
    <phoneticPr fontId="2" type="noConversion"/>
  </si>
  <si>
    <t>前3+小T+100膜</t>
    <phoneticPr fontId="2" type="noConversion"/>
  </si>
  <si>
    <t>前3+小T+50膜</t>
    <phoneticPr fontId="2" type="noConversion"/>
  </si>
  <si>
    <t>2套前3+小T</t>
    <phoneticPr fontId="2" type="noConversion"/>
  </si>
  <si>
    <t>4套前3+小T</t>
    <phoneticPr fontId="2" type="noConversion"/>
  </si>
  <si>
    <t>4套前3+小T+2支100膜</t>
    <phoneticPr fontId="2" type="noConversion"/>
  </si>
  <si>
    <t>4套前3+小T+2支150膜</t>
    <phoneticPr fontId="2" type="noConversion"/>
  </si>
  <si>
    <t>6套前3</t>
    <phoneticPr fontId="2" type="noConversion"/>
  </si>
  <si>
    <t>5吋前3+4支DI</t>
    <phoneticPr fontId="2" type="noConversion"/>
  </si>
  <si>
    <t>前3+DI+小T</t>
    <phoneticPr fontId="2" type="noConversion"/>
  </si>
  <si>
    <t>前3+2支DI</t>
    <phoneticPr fontId="2" type="noConversion"/>
  </si>
  <si>
    <t>前3+2支DI+100膜</t>
    <phoneticPr fontId="2" type="noConversion"/>
  </si>
  <si>
    <t>前3+2支DI+150膜</t>
    <phoneticPr fontId="2" type="noConversion"/>
  </si>
  <si>
    <t>前3+2支DI+50膜</t>
    <phoneticPr fontId="2" type="noConversion"/>
  </si>
  <si>
    <t>2套前3+2支DI</t>
    <phoneticPr fontId="2" type="noConversion"/>
  </si>
  <si>
    <t>4套前3+2支DI</t>
    <phoneticPr fontId="2" type="noConversion"/>
  </si>
  <si>
    <t>前3+DI+小T+100膜</t>
    <phoneticPr fontId="2" type="noConversion"/>
  </si>
  <si>
    <t>前3+DI+小T+150膜</t>
    <phoneticPr fontId="2" type="noConversion"/>
  </si>
  <si>
    <t>前3+DI+小T+50膜</t>
    <phoneticPr fontId="2" type="noConversion"/>
  </si>
  <si>
    <t>前3+DI+小T+8wUV</t>
    <phoneticPr fontId="2" type="noConversion"/>
  </si>
  <si>
    <t>前3+小T+鹹性</t>
    <phoneticPr fontId="2" type="noConversion"/>
  </si>
  <si>
    <t>前3+小T+鹹性+100膜</t>
    <phoneticPr fontId="2" type="noConversion"/>
  </si>
  <si>
    <t>前3+3支DI</t>
    <phoneticPr fontId="2" type="noConversion"/>
  </si>
  <si>
    <t>前3+2支DI+小T</t>
    <phoneticPr fontId="2" type="noConversion"/>
  </si>
  <si>
    <t>2套前3+100膜</t>
    <phoneticPr fontId="2" type="noConversion"/>
  </si>
  <si>
    <t>前3+DI+小T+UV燈管</t>
    <phoneticPr fontId="2" type="noConversion"/>
  </si>
  <si>
    <t>前3+DI+小T+UV燈管+100膜</t>
    <phoneticPr fontId="2" type="noConversion"/>
  </si>
  <si>
    <t>前3+DI+小T+UV+100膜</t>
    <phoneticPr fontId="2" type="noConversion"/>
  </si>
  <si>
    <t>前3+DI+小T+UV+150膜</t>
    <phoneticPr fontId="2" type="noConversion"/>
  </si>
  <si>
    <t>前2</t>
    <phoneticPr fontId="2" type="noConversion"/>
  </si>
  <si>
    <t>前2+DI</t>
    <phoneticPr fontId="2" type="noConversion"/>
  </si>
  <si>
    <t>前2+10吋DI+DI</t>
    <phoneticPr fontId="2" type="noConversion"/>
  </si>
  <si>
    <t>5吋前2</t>
    <phoneticPr fontId="2" type="noConversion"/>
  </si>
  <si>
    <t>2套前2+DI+50膜</t>
    <phoneticPr fontId="2" type="noConversion"/>
  </si>
  <si>
    <t>行2+小T+50膜</t>
    <phoneticPr fontId="2" type="noConversion"/>
  </si>
  <si>
    <t>4套行2+DI+2支50膜</t>
    <phoneticPr fontId="2" type="noConversion"/>
  </si>
  <si>
    <t>行2+DI+100膜</t>
    <phoneticPr fontId="2" type="noConversion"/>
  </si>
  <si>
    <t>行2+DI+150膜</t>
    <phoneticPr fontId="2" type="noConversion"/>
  </si>
  <si>
    <t>行2+DI+50膜</t>
    <phoneticPr fontId="2" type="noConversion"/>
  </si>
  <si>
    <t>行2+小T+100膜</t>
    <phoneticPr fontId="2" type="noConversion"/>
  </si>
  <si>
    <t>4套行2+小T</t>
    <phoneticPr fontId="2" type="noConversion"/>
  </si>
  <si>
    <t>行2+小T+DI</t>
    <phoneticPr fontId="2" type="noConversion"/>
  </si>
  <si>
    <t>行2+小T+DI+UV燈管</t>
    <phoneticPr fontId="2" type="noConversion"/>
  </si>
  <si>
    <t>2套行2+小T+DI</t>
    <phoneticPr fontId="2" type="noConversion"/>
  </si>
  <si>
    <t>2套行2+小T+DI+100膜</t>
    <phoneticPr fontId="2" type="noConversion"/>
  </si>
  <si>
    <t>4套行2+DI+2支100膜</t>
    <phoneticPr fontId="2" type="noConversion"/>
  </si>
  <si>
    <t>行2</t>
    <phoneticPr fontId="2" type="noConversion"/>
  </si>
  <si>
    <t>行2+DI</t>
    <phoneticPr fontId="2" type="noConversion"/>
  </si>
  <si>
    <t>行2+小T</t>
    <phoneticPr fontId="2" type="noConversion"/>
  </si>
  <si>
    <t>行2+小T+150膜</t>
    <phoneticPr fontId="2" type="noConversion"/>
  </si>
  <si>
    <t>行2+2支DI</t>
    <phoneticPr fontId="2" type="noConversion"/>
  </si>
  <si>
    <t>行2+小T+DI+100膜</t>
    <phoneticPr fontId="2" type="noConversion"/>
  </si>
  <si>
    <t>行2+小T+DI+150膜</t>
    <phoneticPr fontId="2" type="noConversion"/>
  </si>
  <si>
    <t>行2+小T+DI+50膜</t>
    <phoneticPr fontId="2" type="noConversion"/>
  </si>
  <si>
    <t>25支小T</t>
    <phoneticPr fontId="2" type="noConversion"/>
  </si>
  <si>
    <t>10吋DI</t>
    <phoneticPr fontId="2" type="noConversion"/>
  </si>
  <si>
    <t>FT-BV1414</t>
    <phoneticPr fontId="2" type="noConversion"/>
  </si>
  <si>
    <t>2分銅球閥</t>
    <phoneticPr fontId="2" type="noConversion"/>
  </si>
  <si>
    <t>10吋CTO</t>
    <phoneticPr fontId="2" type="noConversion"/>
  </si>
  <si>
    <t>5吋CTO</t>
    <phoneticPr fontId="2" type="noConversion"/>
  </si>
  <si>
    <t>25支10吋CTO</t>
    <phoneticPr fontId="2" type="noConversion"/>
  </si>
  <si>
    <t>藍蓋DI</t>
    <phoneticPr fontId="2" type="noConversion"/>
  </si>
  <si>
    <t>25支藍蓋DI</t>
    <phoneticPr fontId="2" type="noConversion"/>
  </si>
  <si>
    <t>FT-KDF55</t>
    <phoneticPr fontId="2" type="noConversion"/>
  </si>
  <si>
    <t>KDF</t>
    <phoneticPr fontId="2" type="noConversion"/>
  </si>
  <si>
    <t>FT-LQDI</t>
    <phoneticPr fontId="2" type="noConversion"/>
  </si>
  <si>
    <t>100膜</t>
    <phoneticPr fontId="2" type="noConversion"/>
  </si>
  <si>
    <t>150膜</t>
    <phoneticPr fontId="2" type="noConversion"/>
  </si>
  <si>
    <t>200膜</t>
    <phoneticPr fontId="2" type="noConversion"/>
  </si>
  <si>
    <t>50膜</t>
    <phoneticPr fontId="2" type="noConversion"/>
  </si>
  <si>
    <t>FT-PH</t>
    <phoneticPr fontId="2" type="noConversion"/>
  </si>
  <si>
    <t>鹹性小T</t>
    <phoneticPr fontId="2" type="noConversion"/>
  </si>
  <si>
    <t>10吋PP</t>
    <phoneticPr fontId="2" type="noConversion"/>
  </si>
  <si>
    <t>5吋PP</t>
    <phoneticPr fontId="2" type="noConversion"/>
  </si>
  <si>
    <t>FT-QDI</t>
    <phoneticPr fontId="2" type="noConversion"/>
  </si>
  <si>
    <t>大TDI</t>
    <phoneticPr fontId="2" type="noConversion"/>
  </si>
  <si>
    <t>小TDI</t>
    <phoneticPr fontId="2" type="noConversion"/>
  </si>
  <si>
    <t>小TPP</t>
    <phoneticPr fontId="2" type="noConversion"/>
  </si>
  <si>
    <t>FT-QDI-10</t>
    <phoneticPr fontId="2" type="noConversion"/>
  </si>
  <si>
    <t>10支小TDI</t>
    <phoneticPr fontId="2" type="noConversion"/>
  </si>
  <si>
    <t>3支小TDI</t>
    <phoneticPr fontId="2" type="noConversion"/>
  </si>
  <si>
    <t>50支小TDI</t>
    <phoneticPr fontId="2" type="noConversion"/>
  </si>
  <si>
    <t>FT-QDI-TC</t>
    <phoneticPr fontId="2" type="noConversion"/>
  </si>
  <si>
    <t>FT-SWPP5M</t>
    <phoneticPr fontId="2" type="noConversion"/>
  </si>
  <si>
    <t>10吋線捲濾材</t>
    <phoneticPr fontId="2" type="noConversion"/>
  </si>
  <si>
    <t>小T</t>
    <phoneticPr fontId="2" type="noConversion"/>
  </si>
  <si>
    <t>FT-T33T</t>
    <phoneticPr fontId="2" type="noConversion"/>
  </si>
  <si>
    <t>椰殼小T</t>
    <phoneticPr fontId="2" type="noConversion"/>
  </si>
  <si>
    <t>FT-UDF</t>
    <phoneticPr fontId="2" type="noConversion"/>
  </si>
  <si>
    <t>FT-UV8W</t>
    <phoneticPr fontId="2" type="noConversion"/>
  </si>
  <si>
    <t>8wUV</t>
    <phoneticPr fontId="2" type="noConversion"/>
  </si>
  <si>
    <t>8wUV燈管</t>
    <phoneticPr fontId="2" type="noConversion"/>
  </si>
  <si>
    <t>HOU-A410T</t>
    <phoneticPr fontId="2" type="noConversion"/>
  </si>
  <si>
    <t>4分透瓶</t>
    <phoneticPr fontId="2" type="noConversion"/>
  </si>
  <si>
    <t>4分白瓶</t>
    <phoneticPr fontId="2" type="noConversion"/>
  </si>
  <si>
    <t>HOU-A45T</t>
    <phoneticPr fontId="2" type="noConversion"/>
  </si>
  <si>
    <t>5吋4分透瓶</t>
    <phoneticPr fontId="2" type="noConversion"/>
  </si>
  <si>
    <t>5吋4分白瓶</t>
    <phoneticPr fontId="2" type="noConversion"/>
  </si>
  <si>
    <t>6分透瓶</t>
    <phoneticPr fontId="2" type="noConversion"/>
  </si>
  <si>
    <t>4支6分透瓶</t>
    <phoneticPr fontId="2" type="noConversion"/>
  </si>
  <si>
    <t>6分白瓶</t>
    <phoneticPr fontId="2" type="noConversion"/>
  </si>
  <si>
    <t>5吋6分透瓶</t>
    <phoneticPr fontId="2" type="noConversion"/>
  </si>
  <si>
    <t>5吋6分白瓶</t>
    <phoneticPr fontId="2" type="noConversion"/>
  </si>
  <si>
    <t>6分氣閥透瓶</t>
    <phoneticPr fontId="2" type="noConversion"/>
  </si>
  <si>
    <t>HOU-A6V10T</t>
    <phoneticPr fontId="2" type="noConversion"/>
  </si>
  <si>
    <t>6分氣閥白瓶</t>
    <phoneticPr fontId="2" type="noConversion"/>
  </si>
  <si>
    <t>5吋6分氣閥透瓶</t>
    <phoneticPr fontId="2" type="noConversion"/>
  </si>
  <si>
    <t>5吋6分氣閥白瓶</t>
    <phoneticPr fontId="2" type="noConversion"/>
  </si>
  <si>
    <t>新RO+7濾材</t>
    <phoneticPr fontId="2" type="noConversion"/>
  </si>
  <si>
    <t>OT-RES-HOUDI</t>
    <phoneticPr fontId="2" type="noConversion"/>
  </si>
  <si>
    <t>PO-4-3P100</t>
    <phoneticPr fontId="2" type="noConversion"/>
  </si>
  <si>
    <t>PO-5BT</t>
    <phoneticPr fontId="2" type="noConversion"/>
  </si>
  <si>
    <t>PO-D4-100</t>
    <phoneticPr fontId="2" type="noConversion"/>
  </si>
  <si>
    <t>100行RO+行2+小T</t>
    <phoneticPr fontId="2" type="noConversion"/>
  </si>
  <si>
    <t>100行RO</t>
    <phoneticPr fontId="2" type="noConversion"/>
  </si>
  <si>
    <t>POQ-4-100</t>
    <phoneticPr fontId="2" type="noConversion"/>
  </si>
  <si>
    <t>100行RO(鐵板?)</t>
    <phoneticPr fontId="2" type="noConversion"/>
  </si>
  <si>
    <t>150行RO</t>
    <phoneticPr fontId="2" type="noConversion"/>
  </si>
  <si>
    <t>150行RO+行2+DI</t>
    <phoneticPr fontId="2" type="noConversion"/>
  </si>
  <si>
    <t>50行RO</t>
    <phoneticPr fontId="2" type="noConversion"/>
  </si>
  <si>
    <t>150行RO+行2+小T</t>
    <phoneticPr fontId="2" type="noConversion"/>
  </si>
  <si>
    <t>100行RODI</t>
    <phoneticPr fontId="2" type="noConversion"/>
  </si>
  <si>
    <t>150行RODI</t>
    <phoneticPr fontId="2" type="noConversion"/>
  </si>
  <si>
    <t>200行RODI</t>
    <phoneticPr fontId="2" type="noConversion"/>
  </si>
  <si>
    <t>50行RODI</t>
    <phoneticPr fontId="2" type="noConversion"/>
  </si>
  <si>
    <t>50行5RO+桶</t>
    <phoneticPr fontId="2" type="noConversion"/>
  </si>
  <si>
    <t>100行5RO</t>
    <phoneticPr fontId="2" type="noConversion"/>
  </si>
  <si>
    <t>POQ-5B-100+2</t>
    <phoneticPr fontId="2" type="noConversion"/>
  </si>
  <si>
    <t>100行5RO+2套行2+2</t>
    <phoneticPr fontId="2" type="noConversion"/>
  </si>
  <si>
    <t>150行5RO</t>
    <phoneticPr fontId="2" type="noConversion"/>
  </si>
  <si>
    <t>50行5RO</t>
    <phoneticPr fontId="2" type="noConversion"/>
  </si>
  <si>
    <t>POQ-5B2W-100</t>
    <phoneticPr fontId="2" type="noConversion"/>
  </si>
  <si>
    <t>100行5RO雙出口</t>
    <phoneticPr fontId="2" type="noConversion"/>
  </si>
  <si>
    <t>150行5RO雙出口</t>
    <phoneticPr fontId="2" type="noConversion"/>
  </si>
  <si>
    <t>50行5RO雙出口</t>
    <phoneticPr fontId="2" type="noConversion"/>
  </si>
  <si>
    <t>POQ-5BB-100</t>
    <phoneticPr fontId="2" type="noConversion"/>
  </si>
  <si>
    <t>100行RO2DI</t>
    <phoneticPr fontId="2" type="noConversion"/>
  </si>
  <si>
    <t>150行RO2DI</t>
    <phoneticPr fontId="2" type="noConversion"/>
  </si>
  <si>
    <t>50行RO2DI</t>
    <phoneticPr fontId="2" type="noConversion"/>
  </si>
  <si>
    <t>POQ-5BT-100</t>
    <phoneticPr fontId="2" type="noConversion"/>
  </si>
  <si>
    <t>100行5RO+桶</t>
    <phoneticPr fontId="2" type="noConversion"/>
  </si>
  <si>
    <t>POQ-RODI-50</t>
    <phoneticPr fontId="2" type="noConversion"/>
  </si>
  <si>
    <t>50行二道RO</t>
    <phoneticPr fontId="2" type="noConversion"/>
  </si>
  <si>
    <t>POQ-6BB2W-10</t>
    <phoneticPr fontId="2" type="noConversion"/>
  </si>
  <si>
    <t>150行5RO+DI</t>
    <phoneticPr fontId="2" type="noConversion"/>
  </si>
  <si>
    <t>POQ-6BUV</t>
    <phoneticPr fontId="2" type="noConversion"/>
  </si>
  <si>
    <t>100行5RO+UV</t>
    <phoneticPr fontId="2" type="noConversion"/>
  </si>
  <si>
    <t>4040接頭</t>
    <phoneticPr fontId="2" type="noConversion"/>
  </si>
  <si>
    <t>1042接頭</t>
    <phoneticPr fontId="2" type="noConversion"/>
  </si>
  <si>
    <t>6pcs1044接頭</t>
    <phoneticPr fontId="2" type="noConversion"/>
  </si>
  <si>
    <t>1044Q接頭</t>
    <phoneticPr fontId="2" type="noConversion"/>
  </si>
  <si>
    <t>4pcs1044接頭</t>
    <phoneticPr fontId="2" type="noConversion"/>
  </si>
  <si>
    <t>PT-12</t>
    <phoneticPr fontId="2" type="noConversion"/>
  </si>
  <si>
    <t>直通球閥</t>
    <phoneticPr fontId="2" type="noConversion"/>
  </si>
  <si>
    <t>PT-1414</t>
    <phoneticPr fontId="2" type="noConversion"/>
  </si>
  <si>
    <t>1414接頭</t>
    <phoneticPr fontId="2" type="noConversion"/>
  </si>
  <si>
    <t>PT-1438S*2</t>
    <phoneticPr fontId="2" type="noConversion"/>
  </si>
  <si>
    <t>2pcs1438接頭</t>
    <phoneticPr fontId="2" type="noConversion"/>
  </si>
  <si>
    <t>PT-310</t>
    <phoneticPr fontId="2" type="noConversion"/>
  </si>
  <si>
    <t>塑膠進水三通+塑膠2分球閥</t>
    <phoneticPr fontId="2" type="noConversion"/>
  </si>
  <si>
    <t>PT-34</t>
    <phoneticPr fontId="2" type="noConversion"/>
  </si>
  <si>
    <t>6分進水三通1對</t>
    <phoneticPr fontId="2" type="noConversion"/>
  </si>
  <si>
    <t>6分進水三通1對+球閥</t>
    <phoneticPr fontId="2" type="noConversion"/>
  </si>
  <si>
    <t>PT-38BV</t>
    <phoneticPr fontId="2" type="noConversion"/>
  </si>
  <si>
    <t>4分銅進水三通</t>
    <phoneticPr fontId="2" type="noConversion"/>
  </si>
  <si>
    <t>4分塑膠進水三通+銅2分球閥</t>
    <phoneticPr fontId="2" type="noConversion"/>
  </si>
  <si>
    <t>3分進水三通球閥</t>
    <phoneticPr fontId="2" type="noConversion"/>
  </si>
  <si>
    <t>PT-3W2</t>
    <phoneticPr fontId="2" type="noConversion"/>
  </si>
  <si>
    <t>雙切</t>
    <phoneticPr fontId="2" type="noConversion"/>
  </si>
  <si>
    <t>PT-4038x2</t>
    <phoneticPr fontId="2" type="noConversion"/>
  </si>
  <si>
    <t>2pcs4038接頭</t>
    <phoneticPr fontId="2" type="noConversion"/>
  </si>
  <si>
    <t>4pcs4040Q接頭</t>
    <phoneticPr fontId="2" type="noConversion"/>
  </si>
  <si>
    <t>4042Q接頭</t>
    <phoneticPr fontId="2" type="noConversion"/>
  </si>
  <si>
    <t>6pcs4044接頭</t>
    <phoneticPr fontId="2" type="noConversion"/>
  </si>
  <si>
    <t>4pcs4044Q接頭</t>
    <phoneticPr fontId="2" type="noConversion"/>
  </si>
  <si>
    <t>6044Q接頭</t>
    <phoneticPr fontId="2" type="noConversion"/>
  </si>
  <si>
    <t>6064接頭</t>
    <phoneticPr fontId="2" type="noConversion"/>
  </si>
  <si>
    <t>PT-410L</t>
    <phoneticPr fontId="2" type="noConversion"/>
  </si>
  <si>
    <t>4分瓶蓋</t>
    <phoneticPr fontId="2" type="noConversion"/>
  </si>
  <si>
    <t>PT-450FVA</t>
    <phoneticPr fontId="2" type="noConversion"/>
  </si>
  <si>
    <t>450可沖逆止閥</t>
    <phoneticPr fontId="2" type="noConversion"/>
  </si>
  <si>
    <t>PT-610Tx3</t>
    <phoneticPr fontId="2" type="noConversion"/>
  </si>
  <si>
    <t>3支透明瓶身</t>
    <phoneticPr fontId="2" type="noConversion"/>
  </si>
  <si>
    <t>PT-610X3</t>
    <phoneticPr fontId="2" type="noConversion"/>
  </si>
  <si>
    <t>3支透明/白瓶身</t>
    <phoneticPr fontId="2" type="noConversion"/>
  </si>
  <si>
    <t>PT-702Q</t>
    <phoneticPr fontId="2" type="noConversion"/>
  </si>
  <si>
    <t>702Q接頭</t>
    <phoneticPr fontId="2" type="noConversion"/>
  </si>
  <si>
    <t>200pcs702Q接頭</t>
    <phoneticPr fontId="2" type="noConversion"/>
  </si>
  <si>
    <t>PT-802Qx2</t>
    <phoneticPr fontId="2" type="noConversion"/>
  </si>
  <si>
    <t>2pcs802Q接頭</t>
    <phoneticPr fontId="2" type="noConversion"/>
  </si>
  <si>
    <t>PT-aerator-M</t>
    <phoneticPr fontId="2" type="noConversion"/>
  </si>
  <si>
    <t>PT-aerator-Q</t>
    <phoneticPr fontId="2" type="noConversion"/>
  </si>
  <si>
    <t>水口轉接頭</t>
    <phoneticPr fontId="2" type="noConversion"/>
  </si>
  <si>
    <t>水口快接轉接頭</t>
    <phoneticPr fontId="2" type="noConversion"/>
  </si>
  <si>
    <t>PT-ASOVQ</t>
    <phoneticPr fontId="2" type="noConversion"/>
  </si>
  <si>
    <t>四面閥</t>
    <phoneticPr fontId="2" type="noConversion"/>
  </si>
  <si>
    <t>PT-BL34x2</t>
    <phoneticPr fontId="2" type="noConversion"/>
  </si>
  <si>
    <t>PT-BRK-M3</t>
    <phoneticPr fontId="2" type="noConversion"/>
  </si>
  <si>
    <t>3道鐵板</t>
    <phoneticPr fontId="2" type="noConversion"/>
  </si>
  <si>
    <t>PT-BUL</t>
    <phoneticPr fontId="2" type="noConversion"/>
  </si>
  <si>
    <t>2pcs6分布立</t>
    <phoneticPr fontId="2" type="noConversion"/>
  </si>
  <si>
    <t>2pcs4分布立</t>
    <phoneticPr fontId="2" type="noConversion"/>
  </si>
  <si>
    <t>PT-BV34</t>
    <phoneticPr fontId="2" type="noConversion"/>
  </si>
  <si>
    <t>6分球閥</t>
    <phoneticPr fontId="2" type="noConversion"/>
  </si>
  <si>
    <t>PT-BVT</t>
    <phoneticPr fontId="2" type="noConversion"/>
  </si>
  <si>
    <t>水桶球閥</t>
    <phoneticPr fontId="2" type="noConversion"/>
  </si>
  <si>
    <t>水桶快接球閥</t>
    <phoneticPr fontId="2" type="noConversion"/>
  </si>
  <si>
    <t>C形扣</t>
    <phoneticPr fontId="2" type="noConversion"/>
  </si>
  <si>
    <t>PT-C38BV</t>
    <phoneticPr fontId="2" type="noConversion"/>
  </si>
  <si>
    <t>3分銅進水三通+一字球閥</t>
    <phoneticPr fontId="2" type="noConversion"/>
  </si>
  <si>
    <t>PT-CLP-B</t>
    <phoneticPr fontId="2" type="noConversion"/>
  </si>
  <si>
    <t>大單夾</t>
    <phoneticPr fontId="2" type="noConversion"/>
  </si>
  <si>
    <t>小TDI+2小小夾</t>
    <phoneticPr fontId="2" type="noConversion"/>
  </si>
  <si>
    <t>大大夾</t>
    <phoneticPr fontId="2" type="noConversion"/>
  </si>
  <si>
    <t>大小夾</t>
    <phoneticPr fontId="2" type="noConversion"/>
  </si>
  <si>
    <t>PT-CLP-SB</t>
    <phoneticPr fontId="2" type="noConversion"/>
  </si>
  <si>
    <t>大胖單夾</t>
    <phoneticPr fontId="2" type="noConversion"/>
  </si>
  <si>
    <t>小小夾</t>
    <phoneticPr fontId="2" type="noConversion"/>
  </si>
  <si>
    <t>PT-CUT</t>
    <phoneticPr fontId="2" type="noConversion"/>
  </si>
  <si>
    <t>藍色平形剪管刀</t>
    <phoneticPr fontId="2" type="noConversion"/>
  </si>
  <si>
    <t>黑色斜口剪管刀</t>
    <phoneticPr fontId="2" type="noConversion"/>
  </si>
  <si>
    <t>PT-CV</t>
    <phoneticPr fontId="2" type="noConversion"/>
  </si>
  <si>
    <t>螺紋逆止閥</t>
    <phoneticPr fontId="2" type="noConversion"/>
  </si>
  <si>
    <t>PT-FAU</t>
    <phoneticPr fontId="2" type="noConversion"/>
  </si>
  <si>
    <t>扳手鵝頸</t>
    <phoneticPr fontId="2" type="noConversion"/>
  </si>
  <si>
    <t>旋轉鵝頸</t>
    <phoneticPr fontId="2" type="noConversion"/>
  </si>
  <si>
    <t>單旋轉鵝頸</t>
    <phoneticPr fontId="2" type="noConversion"/>
  </si>
  <si>
    <t>鵝頸單水管</t>
    <phoneticPr fontId="2" type="noConversion"/>
  </si>
  <si>
    <t>PT-FlushKit</t>
    <phoneticPr fontId="2" type="noConversion"/>
  </si>
  <si>
    <t>沖洗閥套件</t>
    <phoneticPr fontId="2" type="noConversion"/>
  </si>
  <si>
    <t>PT-fts-1</t>
    <phoneticPr fontId="2" type="noConversion"/>
  </si>
  <si>
    <t>5pcs快接頭</t>
    <phoneticPr fontId="2" type="noConversion"/>
  </si>
  <si>
    <t>PT-FV</t>
    <phoneticPr fontId="2" type="noConversion"/>
  </si>
  <si>
    <t>浮球閥</t>
    <phoneticPr fontId="2" type="noConversion"/>
  </si>
  <si>
    <t>100pcs浮球閥</t>
    <phoneticPr fontId="2" type="noConversion"/>
  </si>
  <si>
    <t>50pcs浮球閥</t>
    <phoneticPr fontId="2" type="noConversion"/>
  </si>
  <si>
    <t>PT-FVBS</t>
    <phoneticPr fontId="2" type="noConversion"/>
  </si>
  <si>
    <t>2pcs浮球閥</t>
    <phoneticPr fontId="2" type="noConversion"/>
  </si>
  <si>
    <t>10pcs浮球閥</t>
    <phoneticPr fontId="2" type="noConversion"/>
  </si>
  <si>
    <t>PT-FVB-S</t>
    <phoneticPr fontId="2" type="noConversion"/>
  </si>
  <si>
    <t>浮球架</t>
    <phoneticPr fontId="2" type="noConversion"/>
  </si>
  <si>
    <t>小浮球架</t>
    <phoneticPr fontId="2" type="noConversion"/>
  </si>
  <si>
    <t>PT-HOU400</t>
    <phoneticPr fontId="2" type="noConversion"/>
  </si>
  <si>
    <t>400膜殼升級套件</t>
    <phoneticPr fontId="2" type="noConversion"/>
  </si>
  <si>
    <t>400膜殼</t>
    <phoneticPr fontId="2" type="noConversion"/>
  </si>
  <si>
    <t>PT-HOU-BG</t>
    <phoneticPr fontId="2" type="noConversion"/>
  </si>
  <si>
    <t>10吋DI空殼</t>
    <phoneticPr fontId="2" type="noConversion"/>
  </si>
  <si>
    <t>PT-HOU-C1</t>
    <phoneticPr fontId="2" type="noConversion"/>
  </si>
  <si>
    <t>2分快接透瓶</t>
    <phoneticPr fontId="2" type="noConversion"/>
  </si>
  <si>
    <t>PT-HOU-DI</t>
    <phoneticPr fontId="2" type="noConversion"/>
  </si>
  <si>
    <t>藍蓋空殼</t>
    <phoneticPr fontId="2" type="noConversion"/>
  </si>
  <si>
    <t>藍蓋空殼+32OzDI</t>
    <phoneticPr fontId="2" type="noConversion"/>
  </si>
  <si>
    <t>PT-HOU-W1</t>
    <phoneticPr fontId="2" type="noConversion"/>
  </si>
  <si>
    <t>2分快接白瓶</t>
    <phoneticPr fontId="2" type="noConversion"/>
  </si>
  <si>
    <t>PT-LQfaucet</t>
    <phoneticPr fontId="2" type="noConversion"/>
  </si>
  <si>
    <t>制冰快接頭</t>
    <phoneticPr fontId="2" type="noConversion"/>
  </si>
  <si>
    <t>鵝頸快接頭</t>
    <phoneticPr fontId="2" type="noConversion"/>
  </si>
  <si>
    <t>PT-M1</t>
    <phoneticPr fontId="2" type="noConversion"/>
  </si>
  <si>
    <t>螺紋RO膜殼</t>
    <phoneticPr fontId="2" type="noConversion"/>
  </si>
  <si>
    <t>針閥</t>
    <phoneticPr fontId="2" type="noConversion"/>
  </si>
  <si>
    <t>PT-MQ</t>
    <phoneticPr fontId="2" type="noConversion"/>
  </si>
  <si>
    <t>快接RO膜殼</t>
    <phoneticPr fontId="2" type="noConversion"/>
  </si>
  <si>
    <t>PT-PSI-180</t>
    <phoneticPr fontId="2" type="noConversion"/>
  </si>
  <si>
    <t>壓力表</t>
    <phoneticPr fontId="2" type="noConversion"/>
  </si>
  <si>
    <t>PT-Q12A</t>
    <phoneticPr fontId="2" type="noConversion"/>
  </si>
  <si>
    <t>4分內牙快接頭</t>
    <phoneticPr fontId="2" type="noConversion"/>
  </si>
  <si>
    <t>PT-Q34A</t>
    <phoneticPr fontId="2" type="noConversion"/>
  </si>
  <si>
    <t>6分內牙快接頭</t>
    <phoneticPr fontId="2" type="noConversion"/>
  </si>
  <si>
    <t>PT-Qfaucet</t>
    <phoneticPr fontId="2" type="noConversion"/>
  </si>
  <si>
    <t>鵝頸大螺帽+快接頭</t>
    <phoneticPr fontId="2" type="noConversion"/>
  </si>
  <si>
    <t>PT-regulator</t>
    <phoneticPr fontId="2" type="noConversion"/>
  </si>
  <si>
    <t>減壓閥</t>
    <phoneticPr fontId="2" type="noConversion"/>
  </si>
  <si>
    <t>PT-RINP-BK</t>
    <phoneticPr fontId="2" type="noConversion"/>
  </si>
  <si>
    <t>3pcs瓶黑O環</t>
    <phoneticPr fontId="2" type="noConversion"/>
  </si>
  <si>
    <t>3pcs瓶透O環</t>
    <phoneticPr fontId="2" type="noConversion"/>
  </si>
  <si>
    <t>PT-SAD</t>
    <phoneticPr fontId="2" type="noConversion"/>
  </si>
  <si>
    <t>PT-SBP</t>
    <phoneticPr fontId="2" type="noConversion"/>
  </si>
  <si>
    <t>廢水夾</t>
    <phoneticPr fontId="2" type="noConversion"/>
  </si>
  <si>
    <t>單道塑膠掛板</t>
    <phoneticPr fontId="2" type="noConversion"/>
  </si>
  <si>
    <t>PT-TANK02UG</t>
    <phoneticPr fontId="2" type="noConversion"/>
  </si>
  <si>
    <t>3G桶+鵝頸</t>
    <phoneticPr fontId="2" type="noConversion"/>
  </si>
  <si>
    <t>PT-tape</t>
    <phoneticPr fontId="2" type="noConversion"/>
  </si>
  <si>
    <t>止水膠布</t>
    <phoneticPr fontId="2" type="noConversion"/>
  </si>
  <si>
    <t>PT-TC-100</t>
    <phoneticPr fontId="2" type="noConversion"/>
  </si>
  <si>
    <t>100pcs2分釘管夾</t>
    <phoneticPr fontId="2" type="noConversion"/>
  </si>
  <si>
    <t>PT-TC-20</t>
    <phoneticPr fontId="2" type="noConversion"/>
  </si>
  <si>
    <t>20pcs2分釘管夾</t>
    <phoneticPr fontId="2" type="noConversion"/>
  </si>
  <si>
    <t>PT-TDS1</t>
    <phoneticPr fontId="2" type="noConversion"/>
  </si>
  <si>
    <t>藍TDS</t>
    <phoneticPr fontId="2" type="noConversion"/>
  </si>
  <si>
    <t>PT-TUB2-50</t>
    <phoneticPr fontId="2" type="noConversion"/>
  </si>
  <si>
    <t>50呎2分白管</t>
    <phoneticPr fontId="2" type="noConversion"/>
  </si>
  <si>
    <t>100米2分白管</t>
    <phoneticPr fontId="2" type="noConversion"/>
  </si>
  <si>
    <t>25呎3分白管</t>
    <phoneticPr fontId="2" type="noConversion"/>
  </si>
  <si>
    <t>25呎2分紅管</t>
    <phoneticPr fontId="2" type="noConversion"/>
  </si>
  <si>
    <t>PT-WASH</t>
    <phoneticPr fontId="2" type="noConversion"/>
  </si>
  <si>
    <t>450廢水比</t>
    <phoneticPr fontId="2" type="noConversion"/>
  </si>
  <si>
    <t>PT-WCH-M1</t>
    <phoneticPr fontId="2" type="noConversion"/>
  </si>
  <si>
    <t>10吋扳手</t>
    <phoneticPr fontId="2" type="noConversion"/>
  </si>
  <si>
    <t>勺形膜殼扳手</t>
    <phoneticPr fontId="2" type="noConversion"/>
  </si>
  <si>
    <t>膜殼扳手</t>
    <phoneticPr fontId="2" type="noConversion"/>
  </si>
  <si>
    <t>PT-Y</t>
    <phoneticPr fontId="2" type="noConversion"/>
  </si>
  <si>
    <t>Y接頭</t>
    <phoneticPr fontId="2" type="noConversion"/>
  </si>
  <si>
    <t>PW</t>
    <phoneticPr fontId="2" type="noConversion"/>
  </si>
  <si>
    <t>New Reef 6st Reverse Osmosis RO Water Filters(60 Sets)</t>
    <phoneticPr fontId="2" type="noConversion"/>
  </si>
  <si>
    <t>60套小RO</t>
    <phoneticPr fontId="2" type="noConversion"/>
  </si>
  <si>
    <t>36套小RO</t>
    <phoneticPr fontId="2" type="noConversion"/>
  </si>
  <si>
    <t>RC3-UV</t>
    <phoneticPr fontId="2" type="noConversion"/>
  </si>
  <si>
    <t>3道+UV</t>
    <phoneticPr fontId="2" type="noConversion"/>
  </si>
  <si>
    <t>RES-MB400</t>
    <phoneticPr fontId="2" type="noConversion"/>
  </si>
  <si>
    <t>1份DI</t>
    <phoneticPr fontId="2" type="noConversion"/>
  </si>
  <si>
    <t>25升DI</t>
    <phoneticPr fontId="2" type="noConversion"/>
  </si>
  <si>
    <t>32OzDI</t>
    <phoneticPr fontId="2" type="noConversion"/>
  </si>
  <si>
    <t>ROH-300BT-2W</t>
    <phoneticPr fontId="2" type="noConversion"/>
  </si>
  <si>
    <t>ROH-6BBT</t>
    <phoneticPr fontId="2" type="noConversion"/>
  </si>
  <si>
    <t>雙150大RODI</t>
    <phoneticPr fontId="2" type="noConversion"/>
  </si>
  <si>
    <t>100雙DI大RO</t>
    <phoneticPr fontId="2" type="noConversion"/>
  </si>
  <si>
    <t>ROH-6PH</t>
    <phoneticPr fontId="2" type="noConversion"/>
  </si>
  <si>
    <t>RQ-3002W</t>
    <phoneticPr fontId="2" type="noConversion"/>
  </si>
  <si>
    <t>100小RO鹹性</t>
    <phoneticPr fontId="2" type="noConversion"/>
  </si>
  <si>
    <t>100大RO鹹性</t>
    <phoneticPr fontId="2" type="noConversion"/>
  </si>
  <si>
    <t>雙出口雙150小RO+10吋DI</t>
    <phoneticPr fontId="2" type="noConversion"/>
  </si>
  <si>
    <t>RQ-4BM50</t>
    <phoneticPr fontId="2" type="noConversion"/>
  </si>
  <si>
    <t>4道50RODI</t>
    <phoneticPr fontId="2" type="noConversion"/>
  </si>
  <si>
    <t>RQ-5-100</t>
    <phoneticPr fontId="2" type="noConversion"/>
  </si>
  <si>
    <t>100小RO</t>
    <phoneticPr fontId="2" type="noConversion"/>
  </si>
  <si>
    <t>100小RO+前3+小T</t>
    <phoneticPr fontId="2" type="noConversion"/>
  </si>
  <si>
    <t>150小RO</t>
    <phoneticPr fontId="2" type="noConversion"/>
  </si>
  <si>
    <t>50小RO</t>
    <phoneticPr fontId="2" type="noConversion"/>
  </si>
  <si>
    <t>RQ5-5-100</t>
    <phoneticPr fontId="2" type="noConversion"/>
  </si>
  <si>
    <t>5吋100小RO</t>
    <phoneticPr fontId="2" type="noConversion"/>
  </si>
  <si>
    <t>5吋150小RO</t>
    <phoneticPr fontId="2" type="noConversion"/>
  </si>
  <si>
    <t>5吋50小RO</t>
    <phoneticPr fontId="2" type="noConversion"/>
  </si>
  <si>
    <t>RQ5-5B-100</t>
    <phoneticPr fontId="2" type="noConversion"/>
  </si>
  <si>
    <t>5吋100小RODI</t>
    <phoneticPr fontId="2" type="noConversion"/>
  </si>
  <si>
    <t>5吋150小RODI</t>
    <phoneticPr fontId="2" type="noConversion"/>
  </si>
  <si>
    <t>5吋50小RODI</t>
    <phoneticPr fontId="2" type="noConversion"/>
  </si>
  <si>
    <t>RQ5-5T-50</t>
    <phoneticPr fontId="2" type="noConversion"/>
  </si>
  <si>
    <t>RQ5-5-50</t>
    <phoneticPr fontId="2" type="noConversion"/>
  </si>
  <si>
    <t>5吋50大RO</t>
    <phoneticPr fontId="2" type="noConversion"/>
  </si>
  <si>
    <t>RQ-5B-100</t>
    <phoneticPr fontId="2" type="noConversion"/>
  </si>
  <si>
    <t>100小RODI</t>
    <phoneticPr fontId="2" type="noConversion"/>
  </si>
  <si>
    <t>100小RODI+前3+DI</t>
    <phoneticPr fontId="2" type="noConversion"/>
  </si>
  <si>
    <t>150小RODI</t>
    <phoneticPr fontId="2" type="noConversion"/>
  </si>
  <si>
    <t>50小RODI</t>
    <phoneticPr fontId="2" type="noConversion"/>
  </si>
  <si>
    <t>RQ-5BT2W-100</t>
    <phoneticPr fontId="2" type="noConversion"/>
  </si>
  <si>
    <t>雙出口100大RO+10吋DI</t>
    <phoneticPr fontId="2" type="noConversion"/>
  </si>
  <si>
    <t>雙出口150大RO+10吋DI</t>
    <phoneticPr fontId="2" type="noConversion"/>
  </si>
  <si>
    <t>RQ-5BT2W-150</t>
    <phoneticPr fontId="2" type="noConversion"/>
  </si>
  <si>
    <t>RQ-5T-100</t>
    <phoneticPr fontId="2" type="noConversion"/>
  </si>
  <si>
    <t>100大RO</t>
    <phoneticPr fontId="2" type="noConversion"/>
  </si>
  <si>
    <t>150大RO</t>
    <phoneticPr fontId="2" type="noConversion"/>
  </si>
  <si>
    <t>50大RO</t>
    <phoneticPr fontId="2" type="noConversion"/>
  </si>
  <si>
    <t>RQ-5T-50+3</t>
    <phoneticPr fontId="2" type="noConversion"/>
  </si>
  <si>
    <t>50大RO+前3</t>
    <phoneticPr fontId="2" type="noConversion"/>
  </si>
  <si>
    <t>50大RO+前3+小T</t>
    <phoneticPr fontId="2" type="noConversion"/>
  </si>
  <si>
    <t>全白100大RO+前3</t>
    <phoneticPr fontId="2" type="noConversion"/>
  </si>
  <si>
    <t>全白150大RO</t>
    <phoneticPr fontId="2" type="noConversion"/>
  </si>
  <si>
    <t>RQ-6B-100</t>
    <phoneticPr fontId="2" type="noConversion"/>
  </si>
  <si>
    <t>6道100小RODI</t>
    <phoneticPr fontId="2" type="noConversion"/>
  </si>
  <si>
    <t>6道100小RODI+前3+DI+小T</t>
    <phoneticPr fontId="2" type="noConversion"/>
  </si>
  <si>
    <t>6道150小RODI</t>
    <phoneticPr fontId="2" type="noConversion"/>
  </si>
  <si>
    <t>6道150小RODI+前3+DI+小T</t>
    <phoneticPr fontId="2" type="noConversion"/>
  </si>
  <si>
    <t>RQ-6B2W-100</t>
    <phoneticPr fontId="2" type="noConversion"/>
  </si>
  <si>
    <t>全白雙出6道100小RODI</t>
    <phoneticPr fontId="2" type="noConversion"/>
  </si>
  <si>
    <t>全白雙出6道100小RODI+前3+DI+小T</t>
    <phoneticPr fontId="2" type="noConversion"/>
  </si>
  <si>
    <t>全白雙出6道150小RODI</t>
    <phoneticPr fontId="2" type="noConversion"/>
  </si>
  <si>
    <t>全白雙出6道150小RODI+前3+DI+小T</t>
    <phoneticPr fontId="2" type="noConversion"/>
  </si>
  <si>
    <t>全白雙出6道50小RODI</t>
    <phoneticPr fontId="2" type="noConversion"/>
  </si>
  <si>
    <t>RQ-6B-50</t>
    <phoneticPr fontId="2" type="noConversion"/>
  </si>
  <si>
    <t>6道50小RODI</t>
    <phoneticPr fontId="2" type="noConversion"/>
  </si>
  <si>
    <t>6道50小RODI+前3+DI+小T</t>
    <phoneticPr fontId="2" type="noConversion"/>
  </si>
  <si>
    <t>RQ-6BB-100</t>
    <phoneticPr fontId="2" type="noConversion"/>
  </si>
  <si>
    <t>100小RO雙DI</t>
    <phoneticPr fontId="2" type="noConversion"/>
  </si>
  <si>
    <t>100小RO雙DI+前3+DI+小T</t>
    <phoneticPr fontId="2" type="noConversion"/>
  </si>
  <si>
    <t>150小RO雙DI</t>
    <phoneticPr fontId="2" type="noConversion"/>
  </si>
  <si>
    <t>150小RO雙DI+前3+DI+小T</t>
    <phoneticPr fontId="2" type="noConversion"/>
  </si>
  <si>
    <t>50小RO雙DI</t>
    <phoneticPr fontId="2" type="noConversion"/>
  </si>
  <si>
    <t>RQ-6BT-100</t>
    <phoneticPr fontId="2" type="noConversion"/>
  </si>
  <si>
    <t>6道100大RODI</t>
    <phoneticPr fontId="2" type="noConversion"/>
  </si>
  <si>
    <t>6道100大RODI+前3+DI+小T</t>
    <phoneticPr fontId="2" type="noConversion"/>
  </si>
  <si>
    <t>6道150大RODI</t>
    <phoneticPr fontId="2" type="noConversion"/>
  </si>
  <si>
    <t>6道150大RODI+前3+DI+小T</t>
    <phoneticPr fontId="2" type="noConversion"/>
  </si>
  <si>
    <t>6道50大RODI</t>
    <phoneticPr fontId="2" type="noConversion"/>
  </si>
  <si>
    <t>RQ-6BT2W-100</t>
    <phoneticPr fontId="2" type="noConversion"/>
  </si>
  <si>
    <t>雙出6道100大RODI</t>
    <phoneticPr fontId="2" type="noConversion"/>
  </si>
  <si>
    <t>RQ-7BB2W+6</t>
    <phoneticPr fontId="2" type="noConversion"/>
  </si>
  <si>
    <t>100小RO3DI</t>
    <phoneticPr fontId="2" type="noConversion"/>
  </si>
  <si>
    <t>150小RO3DI</t>
    <phoneticPr fontId="2" type="noConversion"/>
  </si>
  <si>
    <t>150小RO3DI+前3+3DI</t>
    <phoneticPr fontId="2" type="noConversion"/>
  </si>
  <si>
    <t>雙出7道100小RO2DI</t>
    <phoneticPr fontId="2" type="noConversion"/>
  </si>
  <si>
    <t>雙出7道100小RO2DI+前3+2DI+小T</t>
    <phoneticPr fontId="2" type="noConversion"/>
  </si>
  <si>
    <t>7道大RODI+UV</t>
    <phoneticPr fontId="2" type="noConversion"/>
  </si>
  <si>
    <t>RW-4CT-50</t>
    <phoneticPr fontId="2" type="noConversion"/>
  </si>
  <si>
    <t>WH3+50行RO+桶</t>
    <phoneticPr fontId="2" type="noConversion"/>
  </si>
  <si>
    <t>SO-001</t>
    <phoneticPr fontId="2" type="noConversion"/>
  </si>
  <si>
    <t>5套行2</t>
    <phoneticPr fontId="2" type="noConversion"/>
  </si>
  <si>
    <t>SO-002</t>
    <phoneticPr fontId="2" type="noConversion"/>
  </si>
  <si>
    <t>2套前2+5DI+150膜</t>
    <phoneticPr fontId="2" type="noConversion"/>
  </si>
  <si>
    <t>0404Q接頭</t>
    <phoneticPr fontId="2" type="noConversion"/>
  </si>
  <si>
    <t>1044接頭</t>
    <phoneticPr fontId="2" type="noConversion"/>
  </si>
  <si>
    <t>131Q接頭</t>
    <phoneticPr fontId="2" type="noConversion"/>
  </si>
  <si>
    <t>132Q接頭</t>
    <phoneticPr fontId="2" type="noConversion"/>
  </si>
  <si>
    <t>6pcs4040Q接頭</t>
    <phoneticPr fontId="2" type="noConversion"/>
  </si>
  <si>
    <t>4041Q接頭</t>
    <phoneticPr fontId="2" type="noConversion"/>
  </si>
  <si>
    <t>6044Q接頭</t>
    <phoneticPr fontId="2" type="noConversion"/>
  </si>
  <si>
    <t>702Q接頭</t>
    <phoneticPr fontId="2" type="noConversion"/>
  </si>
  <si>
    <t>7044Q接頭</t>
    <phoneticPr fontId="2" type="noConversion"/>
  </si>
  <si>
    <t>SP-aerator-M</t>
    <phoneticPr fontId="2" type="noConversion"/>
  </si>
  <si>
    <t>SP-aerator-p</t>
    <phoneticPr fontId="2" type="noConversion"/>
  </si>
  <si>
    <t>塑膠水口轉接頭</t>
    <phoneticPr fontId="2" type="noConversion"/>
  </si>
  <si>
    <t>SP-CRT</t>
    <phoneticPr fontId="2" type="noConversion"/>
  </si>
  <si>
    <t>SP-Q34A</t>
    <phoneticPr fontId="2" type="noConversion"/>
  </si>
  <si>
    <t>25呎2分藍管</t>
    <phoneticPr fontId="2" type="noConversion"/>
  </si>
  <si>
    <t>UG-100-200</t>
    <phoneticPr fontId="2" type="noConversion"/>
  </si>
  <si>
    <t>100RO升級200套件</t>
    <phoneticPr fontId="2" type="noConversion"/>
  </si>
  <si>
    <t>150RO升級300套件</t>
    <phoneticPr fontId="2" type="noConversion"/>
  </si>
  <si>
    <t>UG-50G</t>
    <phoneticPr fontId="2" type="noConversion"/>
  </si>
  <si>
    <t>50RO升級套件</t>
    <phoneticPr fontId="2" type="noConversion"/>
  </si>
  <si>
    <t>UG-RWTC-50</t>
    <phoneticPr fontId="2" type="noConversion"/>
  </si>
  <si>
    <t>WH升級50RO套件</t>
    <phoneticPr fontId="2" type="noConversion"/>
  </si>
  <si>
    <t>USPS郵資</t>
    <phoneticPr fontId="2" type="noConversion"/>
  </si>
  <si>
    <t>USPS-16</t>
    <phoneticPr fontId="2" type="noConversion"/>
  </si>
  <si>
    <t>WH-2</t>
    <phoneticPr fontId="2" type="noConversion"/>
  </si>
  <si>
    <t>全透WH2</t>
    <phoneticPr fontId="2" type="noConversion"/>
  </si>
  <si>
    <t>全透WH2+前2</t>
    <phoneticPr fontId="2" type="noConversion"/>
  </si>
  <si>
    <t>全透4分WH2</t>
    <phoneticPr fontId="2" type="noConversion"/>
  </si>
  <si>
    <t>全白4分WH2</t>
    <phoneticPr fontId="2" type="noConversion"/>
  </si>
  <si>
    <t>全白4分WH2+前2</t>
    <phoneticPr fontId="2" type="noConversion"/>
  </si>
  <si>
    <t>全白WH2</t>
    <phoneticPr fontId="2" type="noConversion"/>
  </si>
  <si>
    <t>全白WH2+前2</t>
    <phoneticPr fontId="2" type="noConversion"/>
  </si>
  <si>
    <t>透白WH2</t>
    <phoneticPr fontId="2" type="noConversion"/>
  </si>
  <si>
    <t>WH-2A610WT</t>
    <phoneticPr fontId="2" type="noConversion"/>
  </si>
  <si>
    <t>全白5吋WH2</t>
    <phoneticPr fontId="2" type="noConversion"/>
  </si>
  <si>
    <t>透白5吋WH2</t>
    <phoneticPr fontId="2" type="noConversion"/>
  </si>
  <si>
    <t>WH-3+3</t>
    <phoneticPr fontId="2" type="noConversion"/>
  </si>
  <si>
    <t>全透WH3+前3</t>
    <phoneticPr fontId="2" type="noConversion"/>
  </si>
  <si>
    <t>全透4分WH3+前3</t>
    <phoneticPr fontId="2" type="noConversion"/>
  </si>
  <si>
    <t>全透WH3</t>
    <phoneticPr fontId="2" type="noConversion"/>
  </si>
  <si>
    <t>全白WH3</t>
    <phoneticPr fontId="2" type="noConversion"/>
  </si>
  <si>
    <t>全白WH3+前3</t>
    <phoneticPr fontId="2" type="noConversion"/>
  </si>
  <si>
    <t>全透5吋WH3</t>
    <phoneticPr fontId="2" type="noConversion"/>
  </si>
  <si>
    <t>全白5吋WH3</t>
    <phoneticPr fontId="2" type="noConversion"/>
  </si>
  <si>
    <t>WH-4T</t>
    <phoneticPr fontId="2" type="noConversion"/>
  </si>
  <si>
    <t>透白WH3+小T</t>
    <phoneticPr fontId="2" type="noConversion"/>
  </si>
  <si>
    <t>WH-A610TC</t>
    <phoneticPr fontId="2" type="noConversion"/>
  </si>
  <si>
    <t>透WHCTO</t>
    <phoneticPr fontId="2" type="noConversion"/>
  </si>
  <si>
    <t>透WHPP</t>
    <phoneticPr fontId="2" type="noConversion"/>
  </si>
  <si>
    <t>白WHCTO</t>
    <phoneticPr fontId="2" type="noConversion"/>
  </si>
  <si>
    <t>白WHPP</t>
    <phoneticPr fontId="2" type="noConversion"/>
  </si>
  <si>
    <t>50-Filtration System</t>
    <phoneticPr fontId="2" type="noConversion"/>
  </si>
  <si>
    <t>68-Replacement</t>
    <phoneticPr fontId="2" type="noConversion"/>
  </si>
  <si>
    <t>65-Parts &amp; Tools</t>
    <phoneticPr fontId="2" type="noConversion"/>
  </si>
  <si>
    <t>FT-BKFB</t>
    <phoneticPr fontId="2" type="noConversion"/>
  </si>
  <si>
    <t>接頭扳手</t>
    <phoneticPr fontId="2" type="noConversion"/>
  </si>
  <si>
    <t>Shipping</t>
    <phoneticPr fontId="2" type="noConversion"/>
  </si>
  <si>
    <t>66-Housing</t>
    <phoneticPr fontId="2" type="noConversion"/>
  </si>
  <si>
    <t>FT-400UG</t>
    <phoneticPr fontId="2" type="noConversion"/>
  </si>
  <si>
    <t>84-Shipping</t>
    <phoneticPr fontId="2" type="noConversion"/>
  </si>
  <si>
    <t>79-Fittings</t>
    <phoneticPr fontId="2" type="noConversion"/>
  </si>
  <si>
    <t>80-Valves</t>
    <phoneticPr fontId="2" type="noConversion"/>
  </si>
  <si>
    <t>67-Feeders</t>
    <phoneticPr fontId="2" type="noConversion"/>
  </si>
  <si>
    <t>81-Faucet,Tank,Tubes</t>
    <phoneticPr fontId="2" type="noConversion"/>
  </si>
  <si>
    <t>82-Utilityes</t>
    <phoneticPr fontId="2" type="noConversion"/>
  </si>
  <si>
    <t>75-1/4~3/8 inch</t>
    <phoneticPr fontId="2" type="noConversion"/>
  </si>
  <si>
    <t>76-3/4 inch</t>
    <phoneticPr fontId="2" type="noConversion"/>
  </si>
  <si>
    <t>77-1/2 inch</t>
    <phoneticPr fontId="2" type="noConversion"/>
  </si>
  <si>
    <t>64-Ultra Violet</t>
    <phoneticPr fontId="2" type="noConversion"/>
  </si>
  <si>
    <t>74-Ultra Violet</t>
    <phoneticPr fontId="2" type="noConversion"/>
  </si>
  <si>
    <t>59-Whole House</t>
    <phoneticPr fontId="2" type="noConversion"/>
  </si>
  <si>
    <t>60-Standard</t>
    <phoneticPr fontId="2" type="noConversion"/>
  </si>
  <si>
    <t>61-0Ecnomical</t>
    <phoneticPr fontId="2" type="noConversion"/>
  </si>
  <si>
    <t>72-Menbranes</t>
    <phoneticPr fontId="2" type="noConversion"/>
  </si>
  <si>
    <t>73-Resin</t>
    <phoneticPr fontId="2" type="noConversion"/>
  </si>
  <si>
    <t>70-Combo Set</t>
    <phoneticPr fontId="2" type="noConversion"/>
  </si>
  <si>
    <t>71-Filters</t>
    <phoneticPr fontId="2" type="noConversion"/>
  </si>
  <si>
    <t>51-Revese Osmosis</t>
    <phoneticPr fontId="2" type="noConversion"/>
  </si>
  <si>
    <t>55-Portable RO</t>
    <phoneticPr fontId="2" type="noConversion"/>
  </si>
  <si>
    <t>52-Standard Flow 100 GPD</t>
    <phoneticPr fontId="2" type="noConversion"/>
  </si>
  <si>
    <t>53-High Flow 150+ GPD</t>
    <phoneticPr fontId="2" type="noConversion"/>
  </si>
  <si>
    <t>54-Low Flow 50 GPD</t>
    <phoneticPr fontId="2" type="noConversion"/>
  </si>
  <si>
    <t>NRO-5T+7</t>
    <phoneticPr fontId="2" type="noConversion"/>
  </si>
  <si>
    <t>56-Standard Flow 100 GPD</t>
    <phoneticPr fontId="2" type="noConversion"/>
  </si>
  <si>
    <t>57-High Flow 150+ GPD</t>
    <phoneticPr fontId="2" type="noConversion"/>
  </si>
  <si>
    <t>58-Low Flow 50 GPD</t>
    <phoneticPr fontId="2" type="noConversion"/>
  </si>
  <si>
    <t>RQ-7BUVT</t>
    <phoneticPr fontId="2" type="noConversion"/>
  </si>
  <si>
    <t>7道100大RODI+UV</t>
    <phoneticPr fontId="2" type="noConversion"/>
  </si>
  <si>
    <t>62-Drinking Water</t>
    <phoneticPr fontId="2" type="noConversion"/>
  </si>
  <si>
    <t>63-Aquarium</t>
    <phoneticPr fontId="2" type="noConversion"/>
  </si>
  <si>
    <t>POQ-RODI-50</t>
    <phoneticPr fontId="2" type="noConversion"/>
  </si>
  <si>
    <t>2道50行RODI</t>
    <phoneticPr fontId="2" type="noConversion"/>
  </si>
  <si>
    <t>Filtration System</t>
    <phoneticPr fontId="2" type="noConversion"/>
  </si>
  <si>
    <t>Default Category/Gear,Default Category/Gear/Fitness Equipment</t>
  </si>
  <si>
    <t>Filtration System/Revese Osmosis</t>
  </si>
  <si>
    <t>Filtration System/Revese Osmosis/Standard Flow 100 GPD</t>
  </si>
  <si>
    <t>Filtration System/Revese Osmosis/High Flow 150+ GPD</t>
  </si>
  <si>
    <t>Filtration System/Revese Osmosis/Low Flow 50 GPD</t>
  </si>
  <si>
    <t>Filtration System/Portable RO</t>
  </si>
  <si>
    <t>Filtration System/Portable RO/Standard Flow 100 GPD</t>
  </si>
  <si>
    <t>Filtration System/Portable RO/High Flow 150+ GPD</t>
  </si>
  <si>
    <t>Filtration System/Portable RO/Low Flow 50 GPD</t>
  </si>
  <si>
    <t>Filtration System/Whole House</t>
  </si>
  <si>
    <t>Filtration System/Whole House/Standard</t>
  </si>
  <si>
    <t>Filtration System/Whole House/Ecnomical</t>
  </si>
  <si>
    <t>Filtration System/Drinking Water</t>
  </si>
  <si>
    <t>Filtration System/Aquarium</t>
  </si>
  <si>
    <t>Filtration System/Ultra Violet</t>
  </si>
  <si>
    <t>Replacement</t>
  </si>
  <si>
    <t>Replacement/Combo Set</t>
  </si>
  <si>
    <t>Replacement/Filters</t>
  </si>
  <si>
    <t>Replacement/Menbranes</t>
  </si>
  <si>
    <t>Replacement/Resin</t>
  </si>
  <si>
    <t>Replacement/Ultra Violet</t>
  </si>
  <si>
    <t>Parts &amp; Tools/Housing</t>
  </si>
  <si>
    <t>Parts &amp; Tools/Feeders</t>
  </si>
  <si>
    <t>Parts &amp; Tools/Fittings</t>
  </si>
  <si>
    <t>Parts &amp; Tools/Valves</t>
  </si>
  <si>
    <t>Parts &amp; Tools/Utilityes</t>
  </si>
  <si>
    <t>Parts &amp; Tools/Shipping</t>
  </si>
  <si>
    <t>Default Category</t>
    <phoneticPr fontId="2" type="noConversion"/>
  </si>
  <si>
    <t>Parts &amp; Tools</t>
    <phoneticPr fontId="2" type="noConversion"/>
  </si>
  <si>
    <t>Faucet-Tank-Tubes</t>
  </si>
  <si>
    <t>0.75 inch</t>
  </si>
  <si>
    <t>0.5 inch</t>
  </si>
  <si>
    <t>0.25~0.375 inch</t>
  </si>
  <si>
    <t>Parts &amp; Tools/Housing/0.25~0.375 inch</t>
  </si>
  <si>
    <t>Parts &amp; Tools/Housing/0.75 inch</t>
  </si>
  <si>
    <t>Parts &amp; Tools/Housing/0.5 inch</t>
  </si>
  <si>
    <t>Parts &amp; Tools/Faucet-Tank-Tubes</t>
  </si>
  <si>
    <t>PWC</t>
    <phoneticPr fontId="2" type="noConversion"/>
  </si>
  <si>
    <t>Filtration System</t>
    <phoneticPr fontId="2" type="noConversion"/>
  </si>
  <si>
    <t>Replacement</t>
    <phoneticPr fontId="2" type="noConversion"/>
  </si>
  <si>
    <t>Drinking Water</t>
    <phoneticPr fontId="2" type="noConversion"/>
  </si>
  <si>
    <t>Ultra Violet</t>
    <phoneticPr fontId="2" type="noConversion"/>
  </si>
  <si>
    <t>Revese Osmosis</t>
    <phoneticPr fontId="2" type="noConversion"/>
  </si>
  <si>
    <t>Portable RO</t>
    <phoneticPr fontId="2" type="noConversion"/>
  </si>
  <si>
    <t>Whole House</t>
    <phoneticPr fontId="2" type="noConversion"/>
  </si>
  <si>
    <t>Aquarium</t>
    <phoneticPr fontId="2" type="noConversion"/>
  </si>
  <si>
    <t>FS-4BK</t>
    <phoneticPr fontId="2" type="noConversion"/>
  </si>
  <si>
    <t>Housing</t>
    <phoneticPr fontId="2" type="noConversion"/>
  </si>
  <si>
    <t>Parts &amp; Tools</t>
    <phoneticPr fontId="2" type="noConversion"/>
  </si>
  <si>
    <t>Feeders</t>
    <phoneticPr fontId="2" type="noConversion"/>
  </si>
  <si>
    <t>Fittings</t>
    <phoneticPr fontId="2" type="noConversion"/>
  </si>
  <si>
    <t>Valves</t>
    <phoneticPr fontId="2" type="noConversion"/>
  </si>
  <si>
    <t>Faucet-Tank-Tubes</t>
    <phoneticPr fontId="2" type="noConversion"/>
  </si>
  <si>
    <t>Utilityes</t>
    <phoneticPr fontId="2" type="noConversion"/>
  </si>
  <si>
    <t>Combo Set</t>
    <phoneticPr fontId="2" type="noConversion"/>
  </si>
  <si>
    <t>Filters</t>
    <phoneticPr fontId="2" type="noConversion"/>
  </si>
  <si>
    <t>Menbranes</t>
    <phoneticPr fontId="2" type="noConversion"/>
  </si>
  <si>
    <t>Resin</t>
    <phoneticPr fontId="2" type="noConversion"/>
  </si>
  <si>
    <t>Ultra Violet</t>
    <phoneticPr fontId="2" type="noConversion"/>
  </si>
  <si>
    <t>1/4~3/8 inch</t>
    <phoneticPr fontId="2" type="noConversion"/>
  </si>
  <si>
    <t>3/4 inch</t>
    <phoneticPr fontId="2" type="noConversion"/>
  </si>
  <si>
    <t>1/2 inch</t>
    <phoneticPr fontId="2" type="noConversion"/>
  </si>
  <si>
    <t>美紋紙手撕膠帶6mm*12m-紅</t>
    <phoneticPr fontId="58" type="noConversion"/>
  </si>
  <si>
    <t>美紋紙手撕膠帶6mm*12m-深綠</t>
    <phoneticPr fontId="58" type="noConversion"/>
  </si>
  <si>
    <t>美紋紙手撕膠帶6mm*12m-藍</t>
    <phoneticPr fontId="58" type="noConversion"/>
  </si>
  <si>
    <t>美紋紙手撕膠帶6mm*12m-淺藍</t>
    <phoneticPr fontId="58" type="noConversion"/>
  </si>
  <si>
    <t>美紋紙手撕膠帶6mm*12m-綠</t>
    <phoneticPr fontId="58" type="noConversion"/>
  </si>
  <si>
    <t>美紋紙手撕膠帶10mm*12m-紅</t>
    <phoneticPr fontId="2" type="noConversion"/>
  </si>
  <si>
    <t>美紋紙手撕膠帶10mm*12m-綠</t>
    <phoneticPr fontId="2" type="noConversion"/>
  </si>
  <si>
    <t>美紋紙手撕膠帶10mm*12m-藍</t>
    <phoneticPr fontId="2" type="noConversion"/>
  </si>
  <si>
    <t>美紋紙手撕膠帶10mm*12m-淺藍</t>
    <phoneticPr fontId="2" type="noConversion"/>
  </si>
  <si>
    <t>美紋紙手撕膠帶10mm*12m-深綠</t>
    <phoneticPr fontId="2" type="noConversion"/>
  </si>
  <si>
    <t>美紋紙手撕膠帶12mm*12m-紅</t>
    <phoneticPr fontId="2" type="noConversion"/>
  </si>
  <si>
    <t>美紋紙手撕膠帶12mm*12m-綠</t>
    <phoneticPr fontId="2" type="noConversion"/>
  </si>
  <si>
    <t>美紋紙手撕膠帶12mm*12m-藍</t>
    <phoneticPr fontId="2" type="noConversion"/>
  </si>
  <si>
    <t>美紋紙手撕膠帶12mm*12m-深綠</t>
    <phoneticPr fontId="2" type="noConversion"/>
  </si>
  <si>
    <t>美紋紙手撕膠帶20mm*12m-紅</t>
    <phoneticPr fontId="2" type="noConversion"/>
  </si>
  <si>
    <t>美紋紙手撕膠帶20mm*12m-綠</t>
    <phoneticPr fontId="2" type="noConversion"/>
  </si>
  <si>
    <t>美紋紙手撕膠帶20mm*12m-藍</t>
    <phoneticPr fontId="2" type="noConversion"/>
  </si>
  <si>
    <t>美紋紙手撕膠帶20mm*12m-淺藍</t>
    <phoneticPr fontId="2" type="noConversion"/>
  </si>
  <si>
    <t>美紋紙手撕膠帶20mm*12m-深綠</t>
    <phoneticPr fontId="2" type="noConversion"/>
  </si>
  <si>
    <t>美紋紙手撕膠帶24mm*12m-紅</t>
    <phoneticPr fontId="2" type="noConversion"/>
  </si>
  <si>
    <t>美紋紙手撕膠帶24mm*12m-綠</t>
    <phoneticPr fontId="2" type="noConversion"/>
  </si>
  <si>
    <t>美紋紙手撕膠帶24mm*12m-藍</t>
    <phoneticPr fontId="2" type="noConversion"/>
  </si>
  <si>
    <t>美紋紙手撕膠帶24mm*12m-淺藍</t>
    <phoneticPr fontId="2" type="noConversion"/>
  </si>
  <si>
    <t>美紋紙手撕膠帶24mm*12m-深綠</t>
    <phoneticPr fontId="2" type="noConversion"/>
  </si>
  <si>
    <t>美紋紙手撕膠帶50mm*12m-紅</t>
    <phoneticPr fontId="2" type="noConversion"/>
  </si>
  <si>
    <t>美紋紙手撕膠帶50mm*12m-綠</t>
    <phoneticPr fontId="2" type="noConversion"/>
  </si>
  <si>
    <t>美紋紙手撕膠帶50mm*12m-藍</t>
    <phoneticPr fontId="2" type="noConversion"/>
  </si>
  <si>
    <t>美紋紙手撕膠帶50mm*12m-淺藍</t>
    <phoneticPr fontId="2" type="noConversion"/>
  </si>
  <si>
    <t>美紋紙手撕膠帶50mm*12m-深綠</t>
    <phoneticPr fontId="2" type="noConversion"/>
  </si>
  <si>
    <t>Infeelme和紙膠帶1.5cm*7m隔壁花園-赤狐</t>
    <phoneticPr fontId="2" type="noConversion"/>
  </si>
  <si>
    <t>Infeelme和紙膠帶1.5cm*7m隔壁花園-多肉</t>
    <phoneticPr fontId="2" type="noConversion"/>
  </si>
  <si>
    <t>Infeelme和紙膠帶1.5cm*7m隔壁花園-黑貓</t>
    <phoneticPr fontId="2" type="noConversion"/>
  </si>
  <si>
    <t>Infeelme和紙膠帶1.5cm*7m隔壁花園-花匠</t>
    <phoneticPr fontId="2" type="noConversion"/>
  </si>
  <si>
    <t>Infeelme和紙膠帶1.5cm*7m隔壁花園-夏瓜</t>
    <phoneticPr fontId="2" type="noConversion"/>
  </si>
  <si>
    <t>Infeelme和紙膠帶1.5cm*7m歲花紀-椿</t>
    <phoneticPr fontId="2" type="noConversion"/>
  </si>
  <si>
    <t>Infeelme和紙膠帶1.5cm*7m歲花紀-丁香</t>
    <phoneticPr fontId="2" type="noConversion"/>
  </si>
  <si>
    <t>Infeelme和紙膠帶1.5cm*7m歲花紀-粉團</t>
    <phoneticPr fontId="2" type="noConversion"/>
  </si>
  <si>
    <t>Infeelme和紙膠帶1.5cm*7m歲花紀-黃梅</t>
    <phoneticPr fontId="2" type="noConversion"/>
  </si>
  <si>
    <t>Infeelme和紙膠帶1.5cm*7m歲花紀-琉璃</t>
    <phoneticPr fontId="2" type="noConversion"/>
  </si>
  <si>
    <t>Infeelme和紙膠帶1.5cm*7m歲花紀-山茶</t>
    <phoneticPr fontId="2" type="noConversion"/>
  </si>
  <si>
    <t>Infeelme和紙膠帶1.5cm*7m歲花紀-辛夷</t>
    <phoneticPr fontId="2" type="noConversion"/>
  </si>
  <si>
    <t>Infeelme和紙膠帶1.5cm*7m歲花紀-杏花</t>
    <phoneticPr fontId="2" type="noConversion"/>
  </si>
  <si>
    <t>Infeelme和紙膠帶1.5cm*7m歲花紀-櫻</t>
    <phoneticPr fontId="2" type="noConversion"/>
  </si>
  <si>
    <t>Infeelme和紙膠帶1.5cm*7m歲花紀-紺藍</t>
    <phoneticPr fontId="2" type="noConversion"/>
  </si>
  <si>
    <t>Infeelme和紙膠帶1.5cm*7m歲花紀-黛紫</t>
    <phoneticPr fontId="2" type="noConversion"/>
  </si>
  <si>
    <t>Infeelme和紙膠帶1.5cm*7m植覺-茶染</t>
    <phoneticPr fontId="2" type="noConversion"/>
  </si>
  <si>
    <t>Infeelme和紙膠帶1.5cm*7m植覺-朝露</t>
    <phoneticPr fontId="2" type="noConversion"/>
  </si>
  <si>
    <t>Infeelme和紙膠帶1.5cm*7m植覺-木槿</t>
    <phoneticPr fontId="2" type="noConversion"/>
  </si>
  <si>
    <t>Infeelme和紙膠帶1.5cm*7m植覺-新綠</t>
    <phoneticPr fontId="2" type="noConversion"/>
  </si>
  <si>
    <t>Infeelme和紙膠帶1.5cm*7m植覺-銀杏</t>
    <phoneticPr fontId="2" type="noConversion"/>
  </si>
  <si>
    <t>Infeelme和紙膠帶1.5cm*7m植覺-月玲子</t>
    <phoneticPr fontId="2" type="noConversion"/>
  </si>
  <si>
    <t>夜光膠帶10mm*1m-N橙黃</t>
    <phoneticPr fontId="58" type="noConversion"/>
  </si>
  <si>
    <t>夜光膠帶20mm*1m-N橙黃</t>
    <phoneticPr fontId="2" type="noConversion"/>
  </si>
  <si>
    <t>尼龍紮帶3*100mm*101pcs-黑</t>
    <phoneticPr fontId="2" type="noConversion"/>
  </si>
  <si>
    <t>尼龍紮帶3*100mm*102pcs-藍</t>
    <phoneticPr fontId="2" type="noConversion"/>
  </si>
  <si>
    <t>尼龍紮帶3*100mm*103pcs-紅</t>
    <phoneticPr fontId="2" type="noConversion"/>
  </si>
  <si>
    <t>尼龍紮帶3*100mm*104pcs-黃</t>
    <phoneticPr fontId="2" type="noConversion"/>
  </si>
  <si>
    <t>尼龍紮帶3*100mm*105pcs-綠</t>
    <phoneticPr fontId="2" type="noConversion"/>
  </si>
  <si>
    <t>尼龍紮帶3*150mm*100pcs-白</t>
    <phoneticPr fontId="2" type="noConversion"/>
  </si>
  <si>
    <t>尼龍紮帶3*150mm*100pcs-黑</t>
    <phoneticPr fontId="2" type="noConversion"/>
  </si>
  <si>
    <t>尼龍紮帶3*150mm*100pcs-藍</t>
    <phoneticPr fontId="2" type="noConversion"/>
  </si>
  <si>
    <t>尼龍紮帶3*150mm*100pcs-紅</t>
    <phoneticPr fontId="2" type="noConversion"/>
  </si>
  <si>
    <t>尼龍紮帶3*150mm*100pcs-黃</t>
    <phoneticPr fontId="2" type="noConversion"/>
  </si>
  <si>
    <t>尼龍紮帶3*150mm*100pcs-綠</t>
    <phoneticPr fontId="2" type="noConversion"/>
  </si>
  <si>
    <t>尼龍紮帶3*150mm*100pcs-粉</t>
    <phoneticPr fontId="2" type="noConversion"/>
  </si>
  <si>
    <t>尼龍紮帶3*150mm*100pcs-草綠</t>
    <phoneticPr fontId="2" type="noConversion"/>
  </si>
  <si>
    <t>尼龍紮帶3*200mm*100pcs-白</t>
    <phoneticPr fontId="2" type="noConversion"/>
  </si>
  <si>
    <t>尼龍紮帶3*200mm*100pcs-黑</t>
    <phoneticPr fontId="2" type="noConversion"/>
  </si>
  <si>
    <t>尼龍紮帶3*200mm*100pcs-藍</t>
    <phoneticPr fontId="2" type="noConversion"/>
  </si>
  <si>
    <t>尼龍紮帶3*200mm*100pcs-紅</t>
    <phoneticPr fontId="2" type="noConversion"/>
  </si>
  <si>
    <t>尼龍紮帶3*200mm*100pcs-黃</t>
    <phoneticPr fontId="2" type="noConversion"/>
  </si>
  <si>
    <t>尼龍紮帶3*200mm*100pcs-綠</t>
    <phoneticPr fontId="2" type="noConversion"/>
  </si>
  <si>
    <t>汽車輪胎防滑紮帶</t>
    <phoneticPr fontId="58" type="noConversion"/>
  </si>
  <si>
    <t>不鏽鋼紮帶4.6mm*150mm</t>
    <phoneticPr fontId="58" type="noConversion"/>
  </si>
  <si>
    <t>不鏽鋼紮帶4.6mm*200mm</t>
    <phoneticPr fontId="58" type="noConversion"/>
  </si>
  <si>
    <t>不鏽鋼紮帶4.6mm*300mm</t>
    <phoneticPr fontId="58" type="noConversion"/>
  </si>
  <si>
    <t>不鏽鋼紮帶4.6mm*400mm</t>
    <phoneticPr fontId="58" type="noConversion"/>
  </si>
  <si>
    <t>不鏽鋼紮帶4.6mm*450mm</t>
    <phoneticPr fontId="58" type="noConversion"/>
  </si>
  <si>
    <t>不鏽鋼紮帶4.6mm*500mm</t>
    <phoneticPr fontId="58" type="noConversion"/>
  </si>
  <si>
    <t>不鏽鋼紮帶4.6mm*700mm</t>
    <phoneticPr fontId="58" type="noConversion"/>
  </si>
  <si>
    <t>金屬紮絲4mm*10cm*400pcs-銀</t>
    <phoneticPr fontId="58" type="noConversion"/>
  </si>
  <si>
    <t>金屬紮絲4mm*10cm*400pcs-綠</t>
    <phoneticPr fontId="58" type="noConversion"/>
  </si>
  <si>
    <t>金屬紮絲4mm*10cm*400pcs-黑</t>
    <phoneticPr fontId="58" type="noConversion"/>
  </si>
  <si>
    <t>金屬紮絲4mm*10cm*400pcs-紫</t>
    <phoneticPr fontId="58" type="noConversion"/>
  </si>
  <si>
    <t>金屬紮絲4mm*10cm*400pcs-紅</t>
    <phoneticPr fontId="58" type="noConversion"/>
  </si>
  <si>
    <t>金屬紮絲4mm*10cm*400pcs-藍</t>
    <phoneticPr fontId="58" type="noConversion"/>
  </si>
  <si>
    <t>金屬紮絲4mm*10cm*400pcs-玫紅</t>
    <phoneticPr fontId="58" type="noConversion"/>
  </si>
  <si>
    <t>紙紮絲4mm*9cm*100pcs-白英文愛心</t>
    <phoneticPr fontId="58" type="noConversion"/>
  </si>
  <si>
    <t>紙紮絲4mm*9cm*100pcs-紅英文愛心</t>
    <phoneticPr fontId="58" type="noConversion"/>
  </si>
  <si>
    <t>紙紮絲4mm*9cm*100pcs-藍英文愛心</t>
    <phoneticPr fontId="58" type="noConversion"/>
  </si>
  <si>
    <t>紙紮絲4mm*9cm*100pcs-紫英文愛心</t>
    <phoneticPr fontId="58" type="noConversion"/>
  </si>
  <si>
    <t>紙紮絲4mm*9cm*100pcs-綠英文愛心</t>
    <phoneticPr fontId="58" type="noConversion"/>
  </si>
  <si>
    <t>紙紮絲4mm*9cm*100pcs-卡其英文愛心</t>
    <phoneticPr fontId="58" type="noConversion"/>
  </si>
  <si>
    <t>包塑紮絲4mm*9cm*100pcs-淺綠</t>
    <phoneticPr fontId="58" type="noConversion"/>
  </si>
  <si>
    <t>包塑紮絲4mm*9cm*100pcs-紅</t>
    <phoneticPr fontId="58" type="noConversion"/>
  </si>
  <si>
    <t>包塑紮絲4mm*9cm*100pcs-藍</t>
    <phoneticPr fontId="58" type="noConversion"/>
  </si>
  <si>
    <t>包塑紮絲4mm*9cm*100pcs-紫</t>
    <phoneticPr fontId="58" type="noConversion"/>
  </si>
  <si>
    <t>包塑紮絲4mm*9cm*100pcs-黃</t>
    <phoneticPr fontId="58" type="noConversion"/>
  </si>
  <si>
    <t>包塑紮絲4mm*9cm*100pcs-粉</t>
    <phoneticPr fontId="58" type="noConversion"/>
  </si>
  <si>
    <t>蝴蝶結紮絲4mm*8cm*20pcs-紅</t>
    <phoneticPr fontId="58" type="noConversion"/>
  </si>
  <si>
    <t>蝴蝶結紮絲4mm*8cm*20pcs-粉</t>
    <phoneticPr fontId="58" type="noConversion"/>
  </si>
  <si>
    <t>蝴蝶結紮絲4mm*8cm*20pcs-紫</t>
    <phoneticPr fontId="58" type="noConversion"/>
  </si>
  <si>
    <t>蝴蝶結紮絲4mm*8cm*20pcs-咖啡</t>
    <phoneticPr fontId="58" type="noConversion"/>
  </si>
  <si>
    <t>汽車保險絲盒取電器-迷你藍色端子</t>
    <phoneticPr fontId="58" type="noConversion"/>
  </si>
  <si>
    <t>汽車保險絲盒取電器-小藍色端子</t>
    <phoneticPr fontId="2" type="noConversion"/>
  </si>
  <si>
    <t>汽車保險絲盒取電器-中藍色端子</t>
    <phoneticPr fontId="2" type="noConversion"/>
  </si>
  <si>
    <t>汽車保險絲拔取器</t>
    <phoneticPr fontId="58" type="noConversion"/>
  </si>
  <si>
    <t>DC5.5*2.1mm-公轉螺絲綠接線端子</t>
    <phoneticPr fontId="2" type="noConversion"/>
  </si>
  <si>
    <t>DC5.5*2.1mm-母轉螺絲綠接線端子</t>
    <phoneticPr fontId="2" type="noConversion"/>
  </si>
  <si>
    <t>DC5.5*2.1mm-公轉按鈕紅接線端子</t>
    <phoneticPr fontId="2" type="noConversion"/>
  </si>
  <si>
    <t>DC5.5*2.1mm-母轉按鈕紅接線端子</t>
    <phoneticPr fontId="2" type="noConversion"/>
  </si>
  <si>
    <t>DC5.5*2.1mm-公轉帶黑紅線</t>
    <phoneticPr fontId="2" type="noConversion"/>
  </si>
  <si>
    <t>DC5.5*2.1mm-母轉帶黑紅線</t>
    <phoneticPr fontId="2" type="noConversion"/>
  </si>
  <si>
    <t>多孔位元轉換插座-2位元3孔轉扁2插帶開關K5</t>
    <phoneticPr fontId="2" type="noConversion"/>
  </si>
  <si>
    <t>多孔位元轉換插座-3位元3孔轉扁2插帶按鈕開關K2</t>
    <phoneticPr fontId="2" type="noConversion"/>
  </si>
  <si>
    <t>多孔位元轉換插座-3位元3孔轉扁2插帶船形開關K3</t>
    <phoneticPr fontId="2" type="noConversion"/>
  </si>
  <si>
    <t>多孔位元轉換插座-4位元3孔轉扁2插K8</t>
    <phoneticPr fontId="2" type="noConversion"/>
  </si>
  <si>
    <t>多孔位元轉換插座-可旋轉4位3孔轉扁2插K4</t>
    <phoneticPr fontId="2" type="noConversion"/>
  </si>
  <si>
    <t>HDMI線1米鍍金銅包鋼 hdmi高清線 機上盒電腦連接線 3D 1080P</t>
    <phoneticPr fontId="2" type="noConversion"/>
  </si>
  <si>
    <t>1.4版HDMI線1.8米 A/A鍍金 hdmi高清線機上盒連接線 1080P4K定做</t>
    <phoneticPr fontId="2" type="noConversion"/>
  </si>
  <si>
    <t>0.5米豬尾巴HDMI 三進一出切換器線hdmi一拖帶三分配器線4K定制顏色:黑色</t>
    <phoneticPr fontId="2" type="noConversion"/>
  </si>
  <si>
    <t>音頻線3.5mm-1分2白色公並2母175mm</t>
    <phoneticPr fontId="2" type="noConversion"/>
  </si>
  <si>
    <t>水龍頭掛袋-藍色#C05BJ</t>
    <phoneticPr fontId="58" type="noConversion"/>
  </si>
  <si>
    <t>水龍頭掛袋-綠色#C05BK</t>
    <phoneticPr fontId="58" type="noConversion"/>
  </si>
  <si>
    <t>水龍頭掛袋-北歐黃#C072H</t>
    <phoneticPr fontId="58" type="noConversion"/>
  </si>
  <si>
    <t>水龍頭掛袋-北歐藍#C072J</t>
    <phoneticPr fontId="58" type="noConversion"/>
  </si>
  <si>
    <t>水龍頭掛袋-北歐綠#C072K</t>
    <phoneticPr fontId="58" type="noConversion"/>
  </si>
  <si>
    <t>水龍頭置物架掛桿套-藍色#C09K7</t>
    <phoneticPr fontId="58" type="noConversion"/>
  </si>
  <si>
    <t>水龍頭濾芯-藍蓋活性炭濾水器#C06SC</t>
    <phoneticPr fontId="58" type="noConversion"/>
  </si>
  <si>
    <t>水龍頭濾芯-圓活性炭濾水器#C06SE</t>
    <phoneticPr fontId="58" type="noConversion"/>
  </si>
  <si>
    <t>水龍頭濾芯-麥飯石款粉色#YPHI-462-89-139</t>
    <phoneticPr fontId="58" type="noConversion"/>
  </si>
  <si>
    <t>水龍頭濾芯-麥飯石款藍色#YPHI-462-1-139</t>
    <phoneticPr fontId="58" type="noConversion"/>
  </si>
  <si>
    <t>水龍頭濾芯-麥飯石款白色#YPHI-462-3-139</t>
    <phoneticPr fontId="58" type="noConversion"/>
  </si>
  <si>
    <t>水龍頭水口-小風扇綠色#C07NR</t>
    <phoneticPr fontId="58" type="noConversion"/>
  </si>
  <si>
    <t>水龍頭水口-小風扇藍色#C07NQ</t>
    <phoneticPr fontId="58" type="noConversion"/>
  </si>
  <si>
    <t>水龍頭水口-短喇叭藍色#C08S3</t>
    <phoneticPr fontId="58" type="noConversion"/>
  </si>
  <si>
    <t>水龍頭水口-長喇叭藍色#C08S0</t>
    <phoneticPr fontId="58" type="noConversion"/>
  </si>
  <si>
    <t>306.09</t>
    <phoneticPr fontId="2" type="noConversion"/>
  </si>
  <si>
    <t>5mm*20mm*0.5mm厚黃銅鍍鎳保險管夾子</t>
    <phoneticPr fontId="2" type="noConversion"/>
  </si>
  <si>
    <t>六类透明爪子护套 水晶头护套 超六类水晶头保护套</t>
    <phoneticPr fontId="58" type="noConversion"/>
  </si>
  <si>
    <r>
      <t>水晶头保护套 六类护套 异形网线护套</t>
    </r>
    <r>
      <rPr>
        <sz val="10"/>
        <rFont val="宋体"/>
        <charset val="134"/>
      </rPr>
      <t>-紅</t>
    </r>
    <phoneticPr fontId="58" type="noConversion"/>
  </si>
  <si>
    <t>RJ45工程用网络接头 全铜镀金网线接头 金片0.35网络水晶头 301</t>
    <phoneticPr fontId="58" type="noConversion"/>
  </si>
  <si>
    <t>工厂直营超六类RJ45穿孔通孔网络 8P8C穿孔非屏蔽镀金水晶头 3210</t>
    <phoneticPr fontId="58" type="noConversion"/>
  </si>
  <si>
    <t>RJ45-Cat5e水晶頭-普通級</t>
    <phoneticPr fontId="2" type="noConversion"/>
  </si>
  <si>
    <t>RJ45-Cat5e水晶頭-全銅鍍金工程級</t>
    <phoneticPr fontId="2" type="noConversion"/>
  </si>
  <si>
    <t>RJ45-Cat5e穿孔水晶頭</t>
    <phoneticPr fontId="2" type="noConversion"/>
  </si>
  <si>
    <t>RJ45-Cat6e穿孔水晶頭</t>
    <phoneticPr fontId="2" type="noConversion"/>
  </si>
  <si>
    <t>RJ45-Cat6e水晶頭</t>
    <phoneticPr fontId="2" type="noConversion"/>
  </si>
  <si>
    <t>RJ45-Cat6爪子護套-透明</t>
  </si>
  <si>
    <t>RJ45-Cat6爪子護套-紅</t>
  </si>
  <si>
    <t>RJ45-Cat6爪子護套-黃</t>
  </si>
  <si>
    <t>RJ45-Cat6爪子護套-藍</t>
  </si>
  <si>
    <t>RJ45-Cat6爪子護套-白</t>
  </si>
  <si>
    <t>RJ45-Cat6爪子護套-橙</t>
  </si>
  <si>
    <t>RJ45-Cat6爪子護套-灰</t>
  </si>
  <si>
    <t>RJ45-Cat7護套-紅</t>
  </si>
  <si>
    <t>RJ45-Cat7護套-藍</t>
  </si>
  <si>
    <t>RJ45-Cat7護套-淺灰</t>
  </si>
  <si>
    <t>RJ45-Cat7護套-黃</t>
  </si>
  <si>
    <t>RJ45-Cat7護套-白</t>
  </si>
  <si>
    <t>RJ45-Cat7護套-綠</t>
  </si>
  <si>
    <t>RJ45-Cat5e爪子護套-透明</t>
  </si>
  <si>
    <t>RJ45-Cat5e爪子護套-灰</t>
  </si>
  <si>
    <t>RJ45-Cat5e爪子護套-黑</t>
  </si>
  <si>
    <t>RJ45-Cat5e爪子護套-藍</t>
  </si>
  <si>
    <t>RJ45-Cat5e爪子護套-紫</t>
  </si>
  <si>
    <t>RJ45-Cat5e爪子護套-淺灰</t>
  </si>
  <si>
    <t>RJ45-Cat5e護套-灰</t>
  </si>
  <si>
    <t>RJ45-Cat5e護套-藍</t>
  </si>
  <si>
    <r>
      <t>RJ45</t>
    </r>
    <r>
      <rPr>
        <sz val="10"/>
        <rFont val="宋体"/>
        <family val="3"/>
        <charset val="134"/>
      </rPr>
      <t>線</t>
    </r>
    <r>
      <rPr>
        <sz val="10"/>
        <rFont val="宋体"/>
        <charset val="134"/>
      </rPr>
      <t>-Cat5e跳線1m</t>
    </r>
    <phoneticPr fontId="58" type="noConversion"/>
  </si>
  <si>
    <t>RJ45接頭-公轉2母</t>
    <phoneticPr fontId="58" type="noConversion"/>
  </si>
  <si>
    <t>RJ45接頭-母轉2母</t>
    <phoneticPr fontId="58" type="noConversion"/>
  </si>
  <si>
    <t>RJ45接頭-母轉2母帶晶片</t>
    <phoneticPr fontId="2" type="noConversion"/>
  </si>
  <si>
    <t>地毯膠帶50mm*10m-黑</t>
    <phoneticPr fontId="58" type="noConversion"/>
  </si>
  <si>
    <r>
      <t>尼龍曬衣繩1</t>
    </r>
    <r>
      <rPr>
        <sz val="10"/>
        <rFont val="宋体"/>
        <charset val="134"/>
      </rPr>
      <t>0m</t>
    </r>
    <phoneticPr fontId="58" type="noConversion"/>
  </si>
  <si>
    <r>
      <t>R</t>
    </r>
    <r>
      <rPr>
        <sz val="10"/>
        <rFont val="宋体"/>
        <family val="3"/>
        <charset val="134"/>
      </rPr>
      <t>J11-水</t>
    </r>
    <r>
      <rPr>
        <sz val="10"/>
        <rFont val="宋体"/>
        <charset val="134"/>
      </rPr>
      <t>晶頭</t>
    </r>
    <phoneticPr fontId="2" type="noConversion"/>
  </si>
  <si>
    <r>
      <t>R</t>
    </r>
    <r>
      <rPr>
        <sz val="10"/>
        <rFont val="宋体"/>
        <family val="3"/>
        <charset val="134"/>
      </rPr>
      <t>J11接頭-公轉2母</t>
    </r>
    <phoneticPr fontId="2" type="noConversion"/>
  </si>
  <si>
    <t>RJ11接頭-公帶線轉2母</t>
    <phoneticPr fontId="2" type="noConversion"/>
  </si>
  <si>
    <t>RJ11接頭-母轉2母</t>
    <phoneticPr fontId="2" type="noConversion"/>
  </si>
  <si>
    <t>RJ11接頭-母轉3母</t>
    <phoneticPr fontId="2" type="noConversion"/>
  </si>
  <si>
    <t>RJ11接頭-公帶線轉4母</t>
    <phoneticPr fontId="2" type="noConversion"/>
  </si>
  <si>
    <t>RJ11接頭-母轉4母</t>
    <phoneticPr fontId="2" type="noConversion"/>
  </si>
  <si>
    <t>RJ11接頭-公帶線轉5母</t>
    <phoneticPr fontId="2" type="noConversion"/>
  </si>
  <si>
    <t>RJ45接頭-母母Cat6直通帶晶片</t>
    <phoneticPr fontId="2" type="noConversion"/>
  </si>
  <si>
    <t>RJ11接頭-母母直通</t>
    <phoneticPr fontId="2" type="noConversion"/>
  </si>
  <si>
    <t>電話閃光鈴聲擴大器</t>
    <phoneticPr fontId="2" type="noConversion"/>
  </si>
  <si>
    <t>廢水比-400</t>
    <phoneticPr fontId="70" type="noConversion"/>
  </si>
  <si>
    <r>
      <rPr>
        <sz val="10"/>
        <rFont val="宋体"/>
        <family val="3"/>
        <charset val="134"/>
      </rPr>
      <t>15</t>
    </r>
    <r>
      <rPr>
        <sz val="10"/>
        <rFont val="宋体"/>
        <charset val="134"/>
      </rPr>
      <t>支紙吸管</t>
    </r>
    <r>
      <rPr>
        <sz val="10"/>
        <rFont val="宋体"/>
        <family val="3"/>
        <charset val="134"/>
      </rPr>
      <t>-</t>
    </r>
    <r>
      <rPr>
        <sz val="10"/>
        <rFont val="宋体"/>
        <charset val="134"/>
      </rPr>
      <t>純黑</t>
    </r>
    <phoneticPr fontId="58" type="noConversion"/>
  </si>
  <si>
    <r>
      <t>15</t>
    </r>
    <r>
      <rPr>
        <sz val="10"/>
        <rFont val="宋体"/>
        <charset val="134"/>
      </rPr>
      <t>支紙吸管</t>
    </r>
    <r>
      <rPr>
        <sz val="10"/>
        <rFont val="宋体"/>
        <family val="3"/>
        <charset val="134"/>
      </rPr>
      <t>-綠星</t>
    </r>
    <phoneticPr fontId="58" type="noConversion"/>
  </si>
  <si>
    <r>
      <t>15</t>
    </r>
    <r>
      <rPr>
        <sz val="10"/>
        <rFont val="宋体"/>
        <charset val="134"/>
      </rPr>
      <t>支紙吸管</t>
    </r>
    <r>
      <rPr>
        <sz val="10"/>
        <rFont val="宋体"/>
        <family val="3"/>
        <charset val="134"/>
      </rPr>
      <t>-粉紅星</t>
    </r>
    <phoneticPr fontId="58" type="noConversion"/>
  </si>
  <si>
    <r>
      <t>15</t>
    </r>
    <r>
      <rPr>
        <sz val="10"/>
        <rFont val="宋体"/>
        <charset val="134"/>
      </rPr>
      <t>支紙吸管</t>
    </r>
    <r>
      <rPr>
        <sz val="10"/>
        <rFont val="宋体"/>
        <family val="3"/>
        <charset val="134"/>
      </rPr>
      <t>-紅白波浪紋</t>
    </r>
    <phoneticPr fontId="58" type="noConversion"/>
  </si>
  <si>
    <r>
      <t>15</t>
    </r>
    <r>
      <rPr>
        <sz val="10"/>
        <rFont val="宋体"/>
        <charset val="134"/>
      </rPr>
      <t>支紙吸管</t>
    </r>
    <r>
      <rPr>
        <sz val="10"/>
        <rFont val="宋体"/>
        <family val="3"/>
        <charset val="134"/>
      </rPr>
      <t>-</t>
    </r>
    <r>
      <rPr>
        <sz val="10"/>
        <rFont val="宋体"/>
        <charset val="134"/>
      </rPr>
      <t>黑白斜紋</t>
    </r>
    <phoneticPr fontId="58" type="noConversion"/>
  </si>
  <si>
    <r>
      <t>15</t>
    </r>
    <r>
      <rPr>
        <sz val="10"/>
        <rFont val="宋体"/>
        <charset val="134"/>
      </rPr>
      <t>支紙吸管</t>
    </r>
    <r>
      <rPr>
        <sz val="10"/>
        <rFont val="宋体"/>
        <family val="3"/>
        <charset val="134"/>
      </rPr>
      <t>-</t>
    </r>
    <r>
      <rPr>
        <sz val="10"/>
        <rFont val="宋体"/>
        <charset val="134"/>
      </rPr>
      <t>藍圓點</t>
    </r>
    <phoneticPr fontId="58" type="noConversion"/>
  </si>
  <si>
    <r>
      <t>25cm</t>
    </r>
    <r>
      <rPr>
        <sz val="10"/>
        <rFont val="宋体"/>
        <charset val="134"/>
      </rPr>
      <t>*25</t>
    </r>
    <r>
      <rPr>
        <sz val="10"/>
        <rFont val="宋体"/>
        <family val="3"/>
        <charset val="134"/>
      </rPr>
      <t>cm白色</t>
    </r>
    <r>
      <rPr>
        <sz val="10"/>
        <rFont val="宋体"/>
        <charset val="134"/>
      </rPr>
      <t>棉織無漿洗碗布</t>
    </r>
    <phoneticPr fontId="2" type="noConversion"/>
  </si>
  <si>
    <r>
      <t>26cm</t>
    </r>
    <r>
      <rPr>
        <sz val="10"/>
        <rFont val="宋体"/>
        <charset val="134"/>
      </rPr>
      <t>*2</t>
    </r>
    <r>
      <rPr>
        <sz val="10"/>
        <rFont val="宋体"/>
        <family val="3"/>
        <charset val="134"/>
      </rPr>
      <t>6cm白色</t>
    </r>
    <r>
      <rPr>
        <sz val="10"/>
        <rFont val="宋体"/>
        <charset val="134"/>
      </rPr>
      <t>不織布洗碗布</t>
    </r>
    <phoneticPr fontId="2" type="noConversion"/>
  </si>
  <si>
    <t>噴霧塑膠空瓶-透明100ml</t>
    <phoneticPr fontId="2" type="noConversion"/>
  </si>
  <si>
    <t>噴霧塑膠空瓶-透明50ml</t>
    <phoneticPr fontId="2" type="noConversion"/>
  </si>
  <si>
    <t>洗衣機漂浮濾毛器-粉紅</t>
    <phoneticPr fontId="58" type="noConversion"/>
  </si>
  <si>
    <t>洗衣機漂浮濾毛器-藍</t>
    <phoneticPr fontId="58" type="noConversion"/>
  </si>
  <si>
    <t>不銹鋼美工刀-小號平頭</t>
    <phoneticPr fontId="2" type="noConversion"/>
  </si>
  <si>
    <t>透明信用卡塑膠套</t>
    <phoneticPr fontId="2" type="noConversion"/>
  </si>
  <si>
    <t>厂家直销RCA公莲花头AV头视频头 绿色RCA端子公头接头 AV监控配件</t>
    <phoneticPr fontId="2" type="noConversion"/>
  </si>
  <si>
    <r>
      <t>106.0</t>
    </r>
    <r>
      <rPr>
        <sz val="10"/>
        <rFont val="宋体"/>
        <family val="3"/>
        <charset val="134"/>
      </rPr>
      <t>9</t>
    </r>
    <phoneticPr fontId="58" type="noConversion"/>
  </si>
  <si>
    <r>
      <t>106.0</t>
    </r>
    <r>
      <rPr>
        <sz val="10"/>
        <rFont val="宋体"/>
        <family val="3"/>
        <charset val="134"/>
      </rPr>
      <t>9</t>
    </r>
    <phoneticPr fontId="2" type="noConversion"/>
  </si>
  <si>
    <t>10絲白邊PE自封袋5cm*8cm+1.5cm</t>
    <phoneticPr fontId="58" type="noConversion"/>
  </si>
  <si>
    <t>20絲白邊PE自封袋1.8cm*2.5cm</t>
  </si>
  <si>
    <t>20絲白邊PE自封袋2cm*3cm</t>
  </si>
  <si>
    <t>20絲白邊PE自封袋2.5cm*3.5cm</t>
  </si>
  <si>
    <t>20絲白邊PE自封袋3cm*3cm</t>
  </si>
  <si>
    <t>20絲白邊PE自封袋3cm*4cm</t>
  </si>
  <si>
    <t>20絲白邊PE自封袋3.5cm*5cm</t>
  </si>
  <si>
    <t>10絲白邊PE自封袋30mm*30mm</t>
    <phoneticPr fontId="58" type="noConversion"/>
  </si>
  <si>
    <r>
      <t>10絲白邊PE</t>
    </r>
    <r>
      <rPr>
        <sz val="10"/>
        <rFont val="宋体"/>
        <charset val="134"/>
      </rPr>
      <t>自封袋3</t>
    </r>
    <r>
      <rPr>
        <sz val="10"/>
        <rFont val="宋体"/>
        <family val="3"/>
        <charset val="134"/>
      </rPr>
      <t>c</t>
    </r>
    <r>
      <rPr>
        <sz val="10"/>
        <rFont val="宋体"/>
        <charset val="134"/>
      </rPr>
      <t>m*</t>
    </r>
    <r>
      <rPr>
        <sz val="10"/>
        <rFont val="宋体"/>
        <family val="3"/>
        <charset val="134"/>
      </rPr>
      <t>4c</t>
    </r>
    <r>
      <rPr>
        <sz val="10"/>
        <rFont val="宋体"/>
        <charset val="134"/>
      </rPr>
      <t>m</t>
    </r>
    <phoneticPr fontId="58" type="noConversion"/>
  </si>
  <si>
    <t>107.20</t>
    <phoneticPr fontId="2" type="noConversion"/>
  </si>
  <si>
    <t>10絲白邊PE自封袋13cm*18cm</t>
    <phoneticPr fontId="58" type="noConversion"/>
  </si>
  <si>
    <t>10絲白邊PE自封袋15cm*22cm</t>
    <phoneticPr fontId="58" type="noConversion"/>
  </si>
  <si>
    <t>107.19</t>
    <phoneticPr fontId="2" type="noConversion"/>
  </si>
  <si>
    <r>
      <t>雙絞線傳輸器300m</t>
    </r>
    <r>
      <rPr>
        <sz val="10"/>
        <rFont val="宋体"/>
        <family val="3"/>
        <charset val="134"/>
      </rPr>
      <t>-</t>
    </r>
    <r>
      <rPr>
        <sz val="10"/>
        <rFont val="宋体"/>
        <charset val="134"/>
      </rPr>
      <t>1對-BNC公頭帶線</t>
    </r>
    <phoneticPr fontId="2" type="noConversion"/>
  </si>
  <si>
    <t>POE分離器1對-12V</t>
    <phoneticPr fontId="58" type="noConversion"/>
  </si>
  <si>
    <r>
      <t>香蕉頭插座4mm-鐵鍍鎳長圓柱型</t>
    </r>
    <r>
      <rPr>
        <sz val="10"/>
        <rFont val="宋体"/>
        <charset val="134"/>
      </rPr>
      <t>-黑紅1對</t>
    </r>
    <phoneticPr fontId="2" type="noConversion"/>
  </si>
  <si>
    <t>不銹鋼U型剪刀</t>
    <phoneticPr fontId="2" type="noConversion"/>
  </si>
  <si>
    <t>彩色長柄洗杯刷</t>
    <phoneticPr fontId="58" type="noConversion"/>
  </si>
  <si>
    <t>彩色帶透明蓋彈簧U型剪刀</t>
    <phoneticPr fontId="2" type="noConversion"/>
  </si>
  <si>
    <t>多孔位元轉換插座-3位元扁2插迷你彩色</t>
    <phoneticPr fontId="2" type="noConversion"/>
  </si>
  <si>
    <r>
      <t>RJ45接頭-母母</t>
    </r>
    <r>
      <rPr>
        <sz val="10"/>
        <rFont val="宋体"/>
        <charset val="134"/>
      </rPr>
      <t>彩色直通</t>
    </r>
    <phoneticPr fontId="2" type="noConversion"/>
  </si>
  <si>
    <t>音頻線3.5mm-公公金屬彩色殼鍍金頭編織線1m</t>
    <phoneticPr fontId="2" type="noConversion"/>
  </si>
  <si>
    <t>珠光膜氣泡信封11cm*11cm+4cm</t>
    <phoneticPr fontId="2" type="noConversion"/>
  </si>
  <si>
    <t>101.01</t>
    <phoneticPr fontId="2" type="noConversion"/>
  </si>
  <si>
    <t>101.10</t>
    <phoneticPr fontId="58" type="noConversion"/>
  </si>
  <si>
    <t>101.09</t>
    <phoneticPr fontId="2" type="noConversion"/>
  </si>
  <si>
    <t>珠光膜氣泡信封20cm*25cm+4cm</t>
    <phoneticPr fontId="2" type="noConversion"/>
  </si>
  <si>
    <t>美紋紙手撕膠帶6mm*12m-黑</t>
    <phoneticPr fontId="58" type="noConversion"/>
  </si>
  <si>
    <t>美紋紙手撕膠帶12mm*12m-淺藍</t>
    <phoneticPr fontId="2" type="noConversion"/>
  </si>
  <si>
    <t>鰐魚夾-測試線小48cm-5色套</t>
    <phoneticPr fontId="2" type="noConversion"/>
  </si>
  <si>
    <r>
      <t>香蕉頭2mm-純銅鍍金直針型</t>
    </r>
    <r>
      <rPr>
        <sz val="10"/>
        <rFont val="宋体"/>
        <charset val="134"/>
      </rPr>
      <t>-黑</t>
    </r>
    <phoneticPr fontId="2" type="noConversion"/>
  </si>
  <si>
    <t>金屬紮絲4mm*10cm*400pcs-金</t>
    <phoneticPr fontId="58" type="noConversion"/>
  </si>
  <si>
    <t>紙紮絲4mm*9cm*100pcs-白愛心</t>
    <phoneticPr fontId="58" type="noConversion"/>
  </si>
  <si>
    <t>蝴蝶結紮絲4mm*8cm*20pcs-藍</t>
    <phoneticPr fontId="58" type="noConversion"/>
  </si>
  <si>
    <t>尼龍紮帶3*100mm*100pcs-白</t>
    <phoneticPr fontId="2" type="noConversion"/>
  </si>
  <si>
    <t>抗UV尼龍紮帶3*100mm</t>
    <phoneticPr fontId="2" type="noConversion"/>
  </si>
  <si>
    <t>抗UV尼龍紮帶3*200mm</t>
    <phoneticPr fontId="2" type="noConversion"/>
  </si>
  <si>
    <t>抗UV尼龍紮帶4*250mm</t>
    <phoneticPr fontId="5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</si>
</sst>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26" formatCode="\$#,##0.00_);[Red]\(\$#,##0.00\)"/>
    <numFmt numFmtId="176" formatCode="_ * #,##0.00_ ;_ * \-#,##0.00_ ;_ * &quot;-&quot;??_ ;_ @_ "/>
    <numFmt numFmtId="177" formatCode="0.000"/>
    <numFmt numFmtId="178" formatCode="0.00000"/>
    <numFmt numFmtId="179" formatCode="0.0000"/>
    <numFmt numFmtId="180" formatCode="0.0"/>
    <numFmt numFmtId="181" formatCode="\$#,##0.000_);[Red]\(\$#,##0.000\)"/>
  </numFmts>
  <fonts count="82">
    <font>
      <sz val="12"/>
      <name val="宋体"/>
      <charset val="134"/>
    </font>
    <font>
      <sz val="12"/>
      <name val="宋体"/>
      <charset val="134"/>
    </font>
    <font>
      <sz val="9"/>
      <name val="宋体"/>
      <charset val="134"/>
    </font>
    <font>
      <sz val="10"/>
      <name val="宋体"/>
      <charset val="134"/>
    </font>
    <font>
      <b/>
      <sz val="10"/>
      <name val="宋体"/>
      <charset val="134"/>
    </font>
    <font>
      <sz val="12"/>
      <name val="新細明體"/>
      <family val="1"/>
      <charset val="136"/>
    </font>
    <font>
      <b/>
      <sz val="9"/>
      <color indexed="81"/>
      <name val="新細明體"/>
      <family val="1"/>
      <charset val="136"/>
    </font>
    <font>
      <sz val="10"/>
      <name val="新宋体"/>
      <family val="3"/>
      <charset val="134"/>
    </font>
    <font>
      <sz val="11"/>
      <color indexed="8"/>
      <name val="宋体"/>
      <charset val="134"/>
    </font>
    <font>
      <sz val="10"/>
      <color indexed="8"/>
      <name val="Arial"/>
      <family val="2"/>
    </font>
    <font>
      <sz val="11"/>
      <color indexed="9"/>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b/>
      <sz val="18"/>
      <color indexed="62"/>
      <name val="宋体"/>
      <charset val="134"/>
    </font>
    <font>
      <sz val="10"/>
      <color indexed="8"/>
      <name val="微软雅黑"/>
      <family val="2"/>
      <charset val="134"/>
    </font>
    <font>
      <sz val="14"/>
      <color indexed="8"/>
      <name val="微软雅黑"/>
      <family val="2"/>
      <charset val="134"/>
    </font>
    <font>
      <sz val="10"/>
      <name val="Arial"/>
      <family val="2"/>
    </font>
    <font>
      <sz val="12"/>
      <name val="宋体"/>
      <charset val="134"/>
    </font>
    <font>
      <sz val="9"/>
      <name val="細明體"/>
      <family val="3"/>
      <charset val="136"/>
    </font>
    <font>
      <b/>
      <sz val="9"/>
      <color indexed="81"/>
      <name val="Tahoma"/>
      <family val="2"/>
    </font>
    <font>
      <b/>
      <sz val="9"/>
      <color indexed="81"/>
      <name val="MingLiU"/>
      <family val="3"/>
      <charset val="136"/>
    </font>
    <font>
      <sz val="10"/>
      <name val="宋体"/>
      <charset val="134"/>
    </font>
    <font>
      <sz val="10"/>
      <name val="宋体"/>
      <charset val="134"/>
    </font>
    <font>
      <b/>
      <sz val="9"/>
      <color indexed="81"/>
      <name val="宋体"/>
      <charset val="134"/>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9"/>
      <name val="宋体"/>
      <charset val="134"/>
    </font>
    <font>
      <sz val="10"/>
      <name val="宋体"/>
      <charset val="134"/>
    </font>
    <font>
      <sz val="10"/>
      <name val="宋体"/>
      <charset val="134"/>
    </font>
    <font>
      <sz val="9"/>
      <name val="宋体"/>
      <charset val="134"/>
    </font>
    <font>
      <sz val="10"/>
      <name val="宋体"/>
      <charset val="134"/>
    </font>
    <font>
      <sz val="9"/>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2"/>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name val="宋体"/>
      <charset val="134"/>
    </font>
    <font>
      <sz val="12"/>
      <name val="宋体"/>
      <charset val="134"/>
    </font>
    <font>
      <sz val="10"/>
      <name val="宋体"/>
      <charset val="134"/>
    </font>
    <font>
      <sz val="9"/>
      <color indexed="81"/>
      <name val="Tahoma"/>
      <family val="2"/>
    </font>
    <font>
      <sz val="10"/>
      <name val="宋体"/>
      <charset val="134"/>
    </font>
    <font>
      <sz val="10"/>
      <name val="宋体"/>
      <charset val="134"/>
    </font>
    <font>
      <sz val="11"/>
      <color theme="1"/>
      <name val="宋体"/>
      <charset val="134"/>
      <scheme val="minor"/>
    </font>
    <font>
      <sz val="10"/>
      <color rgb="FFFF0000"/>
      <name val="宋体"/>
      <charset val="134"/>
    </font>
    <font>
      <sz val="10"/>
      <name val="宋体"/>
      <charset val="134"/>
      <scheme val="major"/>
    </font>
    <font>
      <b/>
      <sz val="9"/>
      <color indexed="81"/>
      <name val="宋体"/>
      <family val="3"/>
      <charset val="134"/>
    </font>
    <font>
      <sz val="10"/>
      <name val="宋体"/>
      <family val="3"/>
      <charset val="134"/>
    </font>
    <font>
      <sz val="10"/>
      <name val="宋体"/>
      <family val="3"/>
      <charset val="134"/>
      <scheme val="maj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45"/>
        <bgColor indexed="64"/>
      </patternFill>
    </fill>
    <fill>
      <patternFill patternType="solid">
        <fgColor indexed="14"/>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00FF"/>
        <bgColor indexed="64"/>
      </patternFill>
    </fill>
    <fill>
      <patternFill patternType="solid">
        <fgColor theme="8" tint="0.39997558519241921"/>
        <bgColor indexed="64"/>
      </patternFill>
    </fill>
    <fill>
      <patternFill patternType="solid">
        <fgColor rgb="FFFF33CC"/>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98BF4"/>
        <bgColor indexed="64"/>
      </patternFill>
    </fill>
    <fill>
      <patternFill patternType="solid">
        <fgColor rgb="FF00B0F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0">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0" fontId="44" fillId="21" borderId="2" applyNumberFormat="0" applyAlignment="0" applyProtection="0"/>
    <xf numFmtId="0" fontId="45" fillId="0" borderId="0" applyNumberFormat="0" applyFill="0" applyBorder="0" applyAlignment="0" applyProtection="0"/>
    <xf numFmtId="0" fontId="46" fillId="4" borderId="0" applyNumberFormat="0" applyBorder="0" applyAlignment="0" applyProtection="0"/>
    <xf numFmtId="0" fontId="37" fillId="0" borderId="3"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47" fillId="7" borderId="1" applyNumberFormat="0" applyAlignment="0" applyProtection="0"/>
    <xf numFmtId="0" fontId="48" fillId="0" borderId="6" applyNumberFormat="0" applyFill="0" applyAlignment="0" applyProtection="0"/>
    <xf numFmtId="0" fontId="49" fillId="22" borderId="0" applyNumberFormat="0" applyBorder="0" applyAlignment="0" applyProtection="0"/>
    <xf numFmtId="0" fontId="40" fillId="23" borderId="7" applyNumberFormat="0" applyFont="0" applyAlignment="0" applyProtection="0"/>
    <xf numFmtId="0" fontId="50" fillId="20" borderId="8" applyNumberFormat="0" applyAlignment="0" applyProtection="0"/>
    <xf numFmtId="0" fontId="36" fillId="0" borderId="0" applyNumberFormat="0" applyFill="0" applyBorder="0" applyAlignment="0" applyProtection="0"/>
    <xf numFmtId="0" fontId="51" fillId="0" borderId="9" applyNumberFormat="0" applyFill="0" applyAlignment="0" applyProtection="0"/>
    <xf numFmtId="0" fontId="52" fillId="0" borderId="0" applyNumberFormat="0" applyFill="0" applyBorder="0" applyAlignment="0" applyProtection="0"/>
    <xf numFmtId="0" fontId="5" fillId="0" borderId="0">
      <alignment vertical="center"/>
    </xf>
    <xf numFmtId="0" fontId="5" fillId="0" borderId="0">
      <alignment vertical="center"/>
    </xf>
    <xf numFmtId="176" fontId="29" fillId="0" borderId="0" applyFont="0" applyFill="0" applyBorder="0" applyAlignment="0" applyProtection="0"/>
    <xf numFmtId="43" fontId="5" fillId="0" borderId="0" applyFont="0" applyFill="0" applyBorder="0" applyAlignment="0" applyProtection="0">
      <alignment vertical="center"/>
    </xf>
    <xf numFmtId="0" fontId="20" fillId="20" borderId="1" applyNumberFormat="0" applyAlignment="0" applyProtection="0">
      <alignment vertical="center"/>
    </xf>
    <xf numFmtId="0" fontId="17" fillId="0" borderId="9" applyNumberFormat="0" applyFill="0" applyAlignment="0" applyProtection="0">
      <alignment vertical="center"/>
    </xf>
    <xf numFmtId="9" fontId="29" fillId="0" borderId="0" applyFont="0" applyFill="0" applyBorder="0" applyAlignment="0" applyProtection="0"/>
    <xf numFmtId="0" fontId="1" fillId="2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3" borderId="0" applyNumberFormat="0" applyBorder="0" applyAlignment="0" applyProtection="0">
      <alignment vertical="center"/>
    </xf>
    <xf numFmtId="0" fontId="23" fillId="22" borderId="0" applyNumberFormat="0" applyBorder="0" applyAlignment="0" applyProtection="0">
      <alignment vertical="center"/>
    </xf>
    <xf numFmtId="0" fontId="76" fillId="0" borderId="0">
      <alignment vertical="center"/>
    </xf>
    <xf numFmtId="0" fontId="9" fillId="0" borderId="0"/>
    <xf numFmtId="0" fontId="16" fillId="21" borderId="2" applyNumberFormat="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24" fillId="0" borderId="6" applyNumberFormat="0" applyFill="0" applyAlignment="0" applyProtection="0">
      <alignment vertical="center"/>
    </xf>
    <xf numFmtId="0" fontId="18" fillId="0" borderId="0" applyNumberFormat="0" applyFill="0" applyBorder="0" applyAlignment="0" applyProtection="0">
      <alignment vertical="center"/>
    </xf>
    <xf numFmtId="0" fontId="21" fillId="7" borderId="1" applyNumberFormat="0" applyAlignment="0" applyProtection="0">
      <alignment vertical="center"/>
    </xf>
    <xf numFmtId="0" fontId="22" fillId="20" borderId="8" applyNumberFormat="0" applyAlignment="0" applyProtection="0">
      <alignment vertical="center"/>
    </xf>
    <xf numFmtId="0" fontId="19" fillId="0" borderId="0" applyNumberFormat="0" applyFill="0" applyBorder="0" applyAlignment="0" applyProtection="0">
      <alignment vertical="center"/>
    </xf>
  </cellStyleXfs>
  <cellXfs count="212">
    <xf numFmtId="0" fontId="0" fillId="0" borderId="0" xfId="0"/>
    <xf numFmtId="0" fontId="3" fillId="0" borderId="0" xfId="0" applyFont="1" applyFill="1"/>
    <xf numFmtId="1" fontId="3" fillId="0" borderId="0" xfId="0" applyNumberFormat="1" applyFont="1" applyFill="1"/>
    <xf numFmtId="0" fontId="3" fillId="0" borderId="0" xfId="0" applyFont="1" applyFill="1" applyAlignment="1">
      <alignment horizontal="center"/>
    </xf>
    <xf numFmtId="0" fontId="3" fillId="24" borderId="0" xfId="0" applyFont="1" applyFill="1"/>
    <xf numFmtId="0" fontId="3" fillId="24" borderId="0" xfId="0" applyFont="1" applyFill="1" applyAlignment="1">
      <alignment horizontal="center"/>
    </xf>
    <xf numFmtId="2" fontId="3" fillId="0" borderId="0" xfId="0" applyNumberFormat="1" applyFont="1" applyFill="1"/>
    <xf numFmtId="0" fontId="3" fillId="0" borderId="0" xfId="0" applyFont="1"/>
    <xf numFmtId="0" fontId="4" fillId="0" borderId="0" xfId="0" applyFont="1" applyAlignment="1">
      <alignment horizontal="center"/>
    </xf>
    <xf numFmtId="0" fontId="3" fillId="0" borderId="0" xfId="0" applyFont="1" applyAlignment="1">
      <alignment horizontal="center"/>
    </xf>
    <xf numFmtId="14" fontId="3" fillId="0" borderId="0" xfId="0" applyNumberFormat="1" applyFont="1"/>
    <xf numFmtId="0" fontId="3" fillId="0" borderId="0" xfId="0" applyFont="1" applyAlignment="1"/>
    <xf numFmtId="14" fontId="3" fillId="24" borderId="0" xfId="0" applyNumberFormat="1" applyFont="1" applyFill="1"/>
    <xf numFmtId="0" fontId="3" fillId="24" borderId="0" xfId="0" applyFont="1" applyFill="1" applyAlignment="1"/>
    <xf numFmtId="0" fontId="3" fillId="0" borderId="0" xfId="0" applyFont="1" applyFill="1" applyBorder="1"/>
    <xf numFmtId="0" fontId="3" fillId="25" borderId="0" xfId="0" applyFont="1" applyFill="1"/>
    <xf numFmtId="0" fontId="7" fillId="0" borderId="0" xfId="0" applyFont="1" applyFill="1" applyAlignment="1">
      <alignment horizontal="left" vertical="center"/>
    </xf>
    <xf numFmtId="1" fontId="7" fillId="0" borderId="0" xfId="0" applyNumberFormat="1" applyFont="1" applyFill="1" applyAlignment="1">
      <alignment vertical="center"/>
    </xf>
    <xf numFmtId="0" fontId="7" fillId="0" borderId="0" xfId="61" applyFont="1" applyFill="1" applyBorder="1" applyAlignment="1">
      <alignment vertical="center"/>
    </xf>
    <xf numFmtId="1" fontId="3" fillId="0" borderId="0" xfId="0" applyNumberFormat="1" applyFont="1" applyFill="1" applyAlignment="1">
      <alignment horizontal="center"/>
    </xf>
    <xf numFmtId="0" fontId="0" fillId="0" borderId="0" xfId="0" applyAlignment="1">
      <alignment horizontal="center"/>
    </xf>
    <xf numFmtId="0" fontId="0" fillId="0" borderId="0" xfId="0" applyFill="1"/>
    <xf numFmtId="0" fontId="0" fillId="0" borderId="0" xfId="0" applyAlignment="1">
      <alignment horizontal="center" vertical="center"/>
    </xf>
    <xf numFmtId="0" fontId="0" fillId="0" borderId="0" xfId="0" applyAlignment="1">
      <alignment vertical="center"/>
    </xf>
    <xf numFmtId="0" fontId="0" fillId="0" borderId="0" xfId="0" applyAlignment="1"/>
    <xf numFmtId="177" fontId="3" fillId="0" borderId="0" xfId="0" applyNumberFormat="1" applyFont="1" applyFill="1"/>
    <xf numFmtId="2" fontId="3" fillId="24" borderId="0" xfId="0" applyNumberFormat="1" applyFont="1" applyFill="1"/>
    <xf numFmtId="0" fontId="7" fillId="0" borderId="0" xfId="0" applyFont="1" applyAlignment="1">
      <alignment horizontal="right"/>
    </xf>
    <xf numFmtId="14" fontId="3" fillId="0" borderId="0" xfId="0" applyNumberFormat="1" applyFont="1" applyFill="1"/>
    <xf numFmtId="0" fontId="3" fillId="26" borderId="0" xfId="0" applyFont="1" applyFill="1"/>
    <xf numFmtId="14" fontId="7" fillId="0" borderId="0" xfId="0" applyNumberFormat="1" applyFont="1"/>
    <xf numFmtId="0" fontId="3" fillId="0" borderId="0" xfId="0" applyFont="1" applyAlignment="1">
      <alignment horizontal="left"/>
    </xf>
    <xf numFmtId="14" fontId="3" fillId="25" borderId="0" xfId="0" applyNumberFormat="1" applyFont="1" applyFill="1"/>
    <xf numFmtId="0" fontId="3" fillId="0" borderId="0" xfId="0" quotePrefix="1" applyFont="1" applyFill="1"/>
    <xf numFmtId="0" fontId="3" fillId="0" borderId="0" xfId="0" quotePrefix="1" applyFont="1" applyFill="1" applyAlignment="1">
      <alignment horizontal="center"/>
    </xf>
    <xf numFmtId="0" fontId="3" fillId="0" borderId="0" xfId="0" applyFont="1" applyFill="1" applyAlignment="1"/>
    <xf numFmtId="0" fontId="26" fillId="0" borderId="0" xfId="0" applyFont="1" applyAlignment="1">
      <alignment wrapText="1"/>
    </xf>
    <xf numFmtId="0" fontId="0" fillId="0" borderId="0" xfId="0" applyFill="1" applyBorder="1" applyAlignment="1">
      <alignment vertical="center"/>
    </xf>
    <xf numFmtId="0" fontId="27" fillId="25" borderId="0" xfId="0" applyFont="1" applyFill="1"/>
    <xf numFmtId="0" fontId="3" fillId="0" borderId="0" xfId="0" applyFont="1" applyFill="1" applyBorder="1" applyAlignment="1"/>
    <xf numFmtId="0" fontId="3" fillId="0" borderId="0" xfId="0" applyFont="1" applyBorder="1" applyAlignment="1"/>
    <xf numFmtId="0" fontId="77" fillId="0" borderId="0" xfId="0" applyFont="1" applyFill="1"/>
    <xf numFmtId="0" fontId="7" fillId="0" borderId="0" xfId="0" applyFont="1" applyAlignment="1" applyProtection="1">
      <alignment horizontal="left" vertical="center"/>
    </xf>
    <xf numFmtId="0" fontId="34" fillId="0" borderId="0" xfId="0" applyFont="1"/>
    <xf numFmtId="0" fontId="33" fillId="0" borderId="0" xfId="0" applyFont="1" applyFill="1"/>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3" fillId="0" borderId="0" xfId="0" applyFont="1" applyBorder="1" applyAlignment="1">
      <alignment horizontal="left"/>
    </xf>
    <xf numFmtId="0" fontId="3" fillId="0" borderId="0" xfId="0" applyFont="1" applyFill="1" applyBorder="1" applyAlignment="1">
      <alignment horizontal="left"/>
    </xf>
    <xf numFmtId="0" fontId="28" fillId="0" borderId="12" xfId="0" applyFont="1" applyBorder="1" applyAlignment="1">
      <alignment horizontal="center" vertical="center" wrapText="1"/>
    </xf>
    <xf numFmtId="0" fontId="77" fillId="0" borderId="0" xfId="0" applyFont="1" applyBorder="1" applyAlignment="1"/>
    <xf numFmtId="0" fontId="3" fillId="28" borderId="0" xfId="0" applyFont="1" applyFill="1"/>
    <xf numFmtId="0" fontId="3" fillId="29" borderId="0" xfId="0" applyFont="1" applyFill="1"/>
    <xf numFmtId="0" fontId="3" fillId="27" borderId="0" xfId="0" applyFont="1" applyFill="1"/>
    <xf numFmtId="2" fontId="3" fillId="24" borderId="0" xfId="0" applyNumberFormat="1" applyFont="1" applyFill="1" applyAlignment="1">
      <alignment horizontal="center"/>
    </xf>
    <xf numFmtId="0" fontId="3" fillId="30" borderId="0" xfId="0" applyFont="1" applyFill="1"/>
    <xf numFmtId="2" fontId="3" fillId="0" borderId="0" xfId="0" applyNumberFormat="1" applyFont="1"/>
    <xf numFmtId="0" fontId="3" fillId="27" borderId="0" xfId="0" applyFont="1" applyFill="1" applyAlignment="1">
      <alignment horizontal="right"/>
    </xf>
    <xf numFmtId="0" fontId="77" fillId="0" borderId="0" xfId="0" applyFont="1"/>
    <xf numFmtId="0" fontId="28" fillId="0" borderId="11" xfId="0" applyFont="1" applyBorder="1" applyAlignment="1">
      <alignment horizontal="center" vertical="center"/>
    </xf>
    <xf numFmtId="0" fontId="3" fillId="24" borderId="0" xfId="0" applyFont="1" applyFill="1" applyAlignment="1">
      <alignment horizontal="center" vertical="center"/>
    </xf>
    <xf numFmtId="0" fontId="3" fillId="27" borderId="0" xfId="0" quotePrefix="1" applyFont="1" applyFill="1" applyAlignment="1">
      <alignment horizontal="center"/>
    </xf>
    <xf numFmtId="0" fontId="54" fillId="0" borderId="0" xfId="0" applyFont="1" applyFill="1"/>
    <xf numFmtId="0" fontId="3" fillId="0" borderId="0" xfId="0" quotePrefix="1" applyFont="1" applyFill="1" applyAlignment="1">
      <alignment horizontal="left"/>
    </xf>
    <xf numFmtId="0" fontId="3" fillId="0" borderId="0" xfId="0" applyFont="1" applyFill="1" applyAlignment="1">
      <alignment horizontal="left"/>
    </xf>
    <xf numFmtId="0" fontId="3" fillId="30" borderId="0" xfId="0" applyFont="1" applyFill="1" applyAlignment="1">
      <alignment horizontal="center"/>
    </xf>
    <xf numFmtId="0" fontId="55" fillId="0" borderId="0" xfId="0" applyFont="1"/>
    <xf numFmtId="0" fontId="55" fillId="0" borderId="0" xfId="0" applyFont="1" applyAlignment="1"/>
    <xf numFmtId="0" fontId="55" fillId="30" borderId="0" xfId="0" applyFont="1" applyFill="1"/>
    <xf numFmtId="0" fontId="55" fillId="30" borderId="0" xfId="0" applyFont="1" applyFill="1" applyAlignment="1">
      <alignment horizontal="center"/>
    </xf>
    <xf numFmtId="0" fontId="55" fillId="30" borderId="0" xfId="0" applyFont="1" applyFill="1" applyAlignment="1"/>
    <xf numFmtId="0" fontId="55" fillId="0" borderId="0" xfId="0" applyFont="1" applyFill="1"/>
    <xf numFmtId="0" fontId="55" fillId="24" borderId="0" xfId="0" applyFont="1" applyFill="1" applyAlignment="1"/>
    <xf numFmtId="0" fontId="61" fillId="0" borderId="0" xfId="0" applyFont="1" applyFill="1"/>
    <xf numFmtId="0" fontId="55" fillId="0" borderId="0" xfId="0" applyFont="1" applyFill="1" applyAlignment="1">
      <alignment horizontal="center"/>
    </xf>
    <xf numFmtId="0" fontId="55" fillId="0" borderId="0" xfId="0" applyFont="1" applyFill="1" applyAlignment="1"/>
    <xf numFmtId="0" fontId="62" fillId="0" borderId="0" xfId="0" applyFont="1" applyFill="1" applyAlignment="1">
      <alignment horizontal="right"/>
    </xf>
    <xf numFmtId="14" fontId="3" fillId="30" borderId="0" xfId="0" applyNumberFormat="1" applyFont="1" applyFill="1"/>
    <xf numFmtId="0" fontId="3" fillId="30" borderId="0" xfId="0" applyFont="1" applyFill="1" applyAlignment="1"/>
    <xf numFmtId="0" fontId="3" fillId="0" borderId="0" xfId="0" quotePrefix="1" applyFont="1"/>
    <xf numFmtId="177" fontId="3" fillId="0" borderId="0" xfId="0" applyNumberFormat="1" applyFont="1"/>
    <xf numFmtId="0" fontId="63" fillId="0" borderId="0" xfId="0" applyFont="1" applyFill="1"/>
    <xf numFmtId="0" fontId="63" fillId="24" borderId="0" xfId="0" applyFont="1" applyFill="1" applyAlignment="1"/>
    <xf numFmtId="0" fontId="60" fillId="0" borderId="0" xfId="0" applyFont="1" applyFill="1"/>
    <xf numFmtId="0" fontId="59" fillId="0" borderId="0" xfId="0" applyFont="1" applyFill="1"/>
    <xf numFmtId="0" fontId="57" fillId="0" borderId="0" xfId="0" applyFont="1" applyFill="1"/>
    <xf numFmtId="14" fontId="55" fillId="0" borderId="0" xfId="0" applyNumberFormat="1" applyFont="1" applyFill="1"/>
    <xf numFmtId="0" fontId="3" fillId="0" borderId="0" xfId="0" quotePrefix="1" applyFont="1" applyFill="1" applyAlignment="1">
      <alignment horizontal="right"/>
    </xf>
    <xf numFmtId="180" fontId="62" fillId="0" borderId="0" xfId="0" applyNumberFormat="1" applyFont="1" applyFill="1" applyAlignment="1">
      <alignment horizontal="center"/>
    </xf>
    <xf numFmtId="0" fontId="62" fillId="0" borderId="0" xfId="0" applyFont="1" applyFill="1" applyAlignment="1">
      <alignment horizontal="center"/>
    </xf>
    <xf numFmtId="0" fontId="62" fillId="0" borderId="0" xfId="0" quotePrefix="1" applyFont="1" applyFill="1" applyAlignment="1">
      <alignment horizontal="right"/>
    </xf>
    <xf numFmtId="58" fontId="62" fillId="0" borderId="0" xfId="0" quotePrefix="1" applyNumberFormat="1" applyFont="1" applyFill="1" applyAlignment="1">
      <alignment horizontal="right"/>
    </xf>
    <xf numFmtId="0" fontId="64" fillId="0" borderId="0" xfId="0" applyFont="1"/>
    <xf numFmtId="0" fontId="55" fillId="0" borderId="0" xfId="0" applyFont="1" applyFill="1" applyAlignment="1">
      <alignment horizontal="left"/>
    </xf>
    <xf numFmtId="0" fontId="63" fillId="0" borderId="0" xfId="0" applyFont="1" applyFill="1" applyAlignment="1">
      <alignment horizontal="left"/>
    </xf>
    <xf numFmtId="0" fontId="61" fillId="0" borderId="0" xfId="0" applyFont="1" applyFill="1" applyAlignment="1">
      <alignment horizontal="left"/>
    </xf>
    <xf numFmtId="0" fontId="60" fillId="0" borderId="0" xfId="0" applyFont="1" applyFill="1" applyAlignment="1">
      <alignment horizontal="left"/>
    </xf>
    <xf numFmtId="0" fontId="59" fillId="0" borderId="0" xfId="0" applyFont="1" applyFill="1" applyAlignment="1">
      <alignment horizontal="left"/>
    </xf>
    <xf numFmtId="0" fontId="57" fillId="0" borderId="0" xfId="0" applyFont="1" applyFill="1" applyAlignment="1">
      <alignment horizontal="left"/>
    </xf>
    <xf numFmtId="0" fontId="55" fillId="30" borderId="0" xfId="0" applyFont="1" applyFill="1" applyAlignment="1">
      <alignment horizontal="left"/>
    </xf>
    <xf numFmtId="0" fontId="63" fillId="0" borderId="0" xfId="0" quotePrefix="1" applyFont="1" applyFill="1" applyAlignment="1">
      <alignment horizontal="left"/>
    </xf>
    <xf numFmtId="0" fontId="63" fillId="31" borderId="0" xfId="0" applyFont="1" applyFill="1" applyAlignment="1">
      <alignment horizontal="left"/>
    </xf>
    <xf numFmtId="0" fontId="3" fillId="31" borderId="0" xfId="0" applyFont="1" applyFill="1" applyAlignment="1">
      <alignment horizontal="left"/>
    </xf>
    <xf numFmtId="0" fontId="55" fillId="31" borderId="0" xfId="0" applyFont="1" applyFill="1" applyAlignment="1">
      <alignment horizontal="left"/>
    </xf>
    <xf numFmtId="0" fontId="65" fillId="0" borderId="0" xfId="0" applyFont="1" applyFill="1"/>
    <xf numFmtId="0" fontId="3" fillId="32" borderId="0" xfId="0" applyFont="1" applyFill="1"/>
    <xf numFmtId="49" fontId="3" fillId="0" borderId="0" xfId="0" applyNumberFormat="1" applyFont="1" applyAlignment="1">
      <alignment horizontal="center"/>
    </xf>
    <xf numFmtId="179" fontId="3" fillId="0" borderId="0" xfId="0" applyNumberFormat="1" applyFont="1"/>
    <xf numFmtId="179" fontId="3" fillId="0" borderId="0" xfId="0" applyNumberFormat="1" applyFont="1" applyFill="1"/>
    <xf numFmtId="178" fontId="3" fillId="0" borderId="0" xfId="0" applyNumberFormat="1" applyFont="1"/>
    <xf numFmtId="2" fontId="3" fillId="0" borderId="0" xfId="0" applyNumberFormat="1" applyFont="1" applyAlignment="1">
      <alignment horizontal="center"/>
    </xf>
    <xf numFmtId="1" fontId="3" fillId="24" borderId="0" xfId="0" applyNumberFormat="1" applyFont="1" applyFill="1" applyAlignment="1">
      <alignment horizontal="center"/>
    </xf>
    <xf numFmtId="180" fontId="3" fillId="0" borderId="0" xfId="0" applyNumberFormat="1" applyFont="1"/>
    <xf numFmtId="49" fontId="3" fillId="0" borderId="0" xfId="0" applyNumberFormat="1" applyFont="1" applyFill="1" applyAlignment="1">
      <alignment horizontal="center"/>
    </xf>
    <xf numFmtId="49" fontId="3" fillId="24" borderId="0" xfId="0" applyNumberFormat="1" applyFont="1" applyFill="1" applyAlignment="1">
      <alignment horizontal="center"/>
    </xf>
    <xf numFmtId="49" fontId="3" fillId="31" borderId="0" xfId="0" applyNumberFormat="1" applyFont="1" applyFill="1" applyAlignment="1">
      <alignment horizontal="center"/>
    </xf>
    <xf numFmtId="49" fontId="3" fillId="0" borderId="0" xfId="0" quotePrefix="1" applyNumberFormat="1" applyFont="1" applyFill="1" applyAlignment="1">
      <alignment horizontal="center"/>
    </xf>
    <xf numFmtId="49" fontId="3" fillId="31" borderId="0" xfId="0" quotePrefix="1" applyNumberFormat="1" applyFont="1" applyFill="1" applyAlignment="1">
      <alignment horizontal="center"/>
    </xf>
    <xf numFmtId="49" fontId="3" fillId="30" borderId="0" xfId="0" applyNumberFormat="1" applyFont="1" applyFill="1" applyAlignment="1">
      <alignment horizontal="center"/>
    </xf>
    <xf numFmtId="49" fontId="3" fillId="33" borderId="0" xfId="0" applyNumberFormat="1" applyFont="1" applyFill="1" applyAlignment="1">
      <alignment horizontal="center"/>
    </xf>
    <xf numFmtId="49" fontId="3" fillId="33" borderId="0" xfId="0" quotePrefix="1" applyNumberFormat="1" applyFont="1" applyFill="1" applyAlignment="1">
      <alignment horizontal="center"/>
    </xf>
    <xf numFmtId="0" fontId="3" fillId="33" borderId="0" xfId="0" applyFont="1" applyFill="1"/>
    <xf numFmtId="0" fontId="3" fillId="31" borderId="0" xfId="0" applyFont="1" applyFill="1" applyAlignment="1">
      <alignment horizontal="center"/>
    </xf>
    <xf numFmtId="0" fontId="3" fillId="34" borderId="0" xfId="0" applyFont="1" applyFill="1"/>
    <xf numFmtId="180" fontId="3" fillId="0" borderId="0" xfId="0" applyNumberFormat="1" applyFont="1" applyAlignment="1">
      <alignment horizontal="center"/>
    </xf>
    <xf numFmtId="2" fontId="3" fillId="33" borderId="0" xfId="0" applyNumberFormat="1" applyFont="1" applyFill="1" applyAlignment="1">
      <alignment horizontal="center"/>
    </xf>
    <xf numFmtId="0" fontId="3" fillId="35" borderId="0" xfId="0" applyFont="1" applyFill="1" applyAlignment="1">
      <alignment horizontal="center"/>
    </xf>
    <xf numFmtId="2" fontId="3" fillId="32" borderId="0" xfId="0" applyNumberFormat="1" applyFont="1" applyFill="1"/>
    <xf numFmtId="49" fontId="3" fillId="27" borderId="0" xfId="0" applyNumberFormat="1" applyFont="1" applyFill="1" applyAlignment="1">
      <alignment horizontal="center"/>
    </xf>
    <xf numFmtId="0" fontId="55" fillId="27" borderId="0" xfId="0" applyFont="1" applyFill="1" applyAlignment="1">
      <alignment horizontal="left"/>
    </xf>
    <xf numFmtId="1" fontId="3" fillId="0" borderId="0" xfId="0" applyNumberFormat="1" applyFont="1"/>
    <xf numFmtId="1" fontId="3" fillId="32" borderId="0" xfId="0" applyNumberFormat="1" applyFont="1" applyFill="1" applyAlignment="1">
      <alignment horizontal="center"/>
    </xf>
    <xf numFmtId="179" fontId="3" fillId="32" borderId="0" xfId="0" applyNumberFormat="1" applyFont="1" applyFill="1"/>
    <xf numFmtId="0" fontId="66" fillId="0" borderId="0" xfId="0" applyFont="1" applyAlignment="1">
      <alignment horizontal="center"/>
    </xf>
    <xf numFmtId="0" fontId="66" fillId="30" borderId="0" xfId="0" applyFont="1" applyFill="1" applyAlignment="1">
      <alignment horizontal="center"/>
    </xf>
    <xf numFmtId="0" fontId="66" fillId="0" borderId="0" xfId="0" applyFont="1"/>
    <xf numFmtId="0" fontId="66" fillId="32" borderId="0" xfId="0" applyFont="1" applyFill="1"/>
    <xf numFmtId="49" fontId="3" fillId="27" borderId="0" xfId="0" quotePrefix="1" applyNumberFormat="1" applyFont="1" applyFill="1" applyAlignment="1">
      <alignment horizontal="center"/>
    </xf>
    <xf numFmtId="0" fontId="66" fillId="0" borderId="0" xfId="0" applyFont="1" applyFill="1"/>
    <xf numFmtId="0" fontId="67" fillId="0" borderId="0" xfId="0" applyFont="1" applyAlignment="1">
      <alignment horizontal="left"/>
    </xf>
    <xf numFmtId="0" fontId="78" fillId="0" borderId="0" xfId="0" applyFont="1" applyAlignment="1">
      <alignment horizontal="left"/>
    </xf>
    <xf numFmtId="0" fontId="67" fillId="0" borderId="0" xfId="0" applyFont="1"/>
    <xf numFmtId="0" fontId="67" fillId="30" borderId="0" xfId="0" applyFont="1" applyFill="1"/>
    <xf numFmtId="0" fontId="67" fillId="0" borderId="0" xfId="0" applyFont="1" applyFill="1"/>
    <xf numFmtId="2" fontId="67" fillId="0" borderId="0" xfId="0" applyNumberFormat="1" applyFont="1"/>
    <xf numFmtId="180" fontId="67" fillId="0" borderId="0" xfId="0" applyNumberFormat="1" applyFont="1"/>
    <xf numFmtId="0" fontId="78" fillId="30" borderId="0" xfId="0" applyFont="1" applyFill="1" applyAlignment="1">
      <alignment horizontal="left"/>
    </xf>
    <xf numFmtId="0" fontId="78" fillId="0" borderId="0" xfId="0" applyFont="1" applyFill="1" applyAlignment="1">
      <alignment horizontal="left"/>
    </xf>
    <xf numFmtId="0" fontId="67" fillId="30" borderId="0" xfId="0" applyFont="1" applyFill="1" applyAlignment="1">
      <alignment horizontal="left"/>
    </xf>
    <xf numFmtId="49" fontId="67" fillId="0" borderId="0" xfId="0" applyNumberFormat="1" applyFont="1" applyAlignment="1">
      <alignment horizontal="center"/>
    </xf>
    <xf numFmtId="49" fontId="67" fillId="30" borderId="0" xfId="0" applyNumberFormat="1" applyFont="1" applyFill="1" applyAlignment="1">
      <alignment horizontal="center"/>
    </xf>
    <xf numFmtId="49" fontId="67" fillId="36" borderId="0" xfId="0" applyNumberFormat="1" applyFont="1" applyFill="1" applyAlignment="1">
      <alignment horizontal="center"/>
    </xf>
    <xf numFmtId="49" fontId="3" fillId="36" borderId="0" xfId="0" applyNumberFormat="1" applyFont="1" applyFill="1" applyAlignment="1">
      <alignment horizontal="center"/>
    </xf>
    <xf numFmtId="49" fontId="67" fillId="28" borderId="0" xfId="0" applyNumberFormat="1" applyFont="1" applyFill="1" applyAlignment="1">
      <alignment horizontal="center"/>
    </xf>
    <xf numFmtId="0" fontId="67" fillId="34" borderId="0" xfId="0" applyFont="1" applyFill="1"/>
    <xf numFmtId="0" fontId="69" fillId="37" borderId="0" xfId="0" applyFont="1" applyFill="1" applyAlignment="1">
      <alignment horizontal="center"/>
    </xf>
    <xf numFmtId="0" fontId="71" fillId="0" borderId="0" xfId="0" applyFont="1" applyAlignment="1">
      <alignment horizontal="center"/>
    </xf>
    <xf numFmtId="0" fontId="71" fillId="27" borderId="0" xfId="0" applyFont="1" applyFill="1" applyAlignment="1">
      <alignment horizontal="center"/>
    </xf>
    <xf numFmtId="0" fontId="69" fillId="27" borderId="0" xfId="0" applyFont="1" applyFill="1"/>
    <xf numFmtId="0" fontId="0" fillId="27" borderId="0" xfId="0" applyFill="1"/>
    <xf numFmtId="0" fontId="69" fillId="0" borderId="0" xfId="0" applyFont="1" applyFill="1"/>
    <xf numFmtId="0" fontId="69" fillId="0" borderId="0" xfId="0" applyFont="1" applyAlignment="1">
      <alignment horizontal="left"/>
    </xf>
    <xf numFmtId="0" fontId="69" fillId="27" borderId="0" xfId="0" applyFont="1" applyFill="1" applyAlignment="1">
      <alignment horizontal="left"/>
    </xf>
    <xf numFmtId="0" fontId="69" fillId="30" borderId="0" xfId="0" applyFont="1" applyFill="1" applyAlignment="1">
      <alignment horizontal="left"/>
    </xf>
    <xf numFmtId="0" fontId="69" fillId="0" borderId="0" xfId="0" applyFont="1" applyFill="1" applyAlignment="1">
      <alignment horizontal="left"/>
    </xf>
    <xf numFmtId="49" fontId="69" fillId="0" borderId="0" xfId="0" quotePrefix="1" applyNumberFormat="1" applyFont="1"/>
    <xf numFmtId="49" fontId="69" fillId="31" borderId="0" xfId="0" quotePrefix="1" applyNumberFormat="1" applyFont="1" applyFill="1"/>
    <xf numFmtId="49" fontId="3" fillId="31" borderId="0" xfId="0" quotePrefix="1" applyNumberFormat="1" applyFont="1" applyFill="1"/>
    <xf numFmtId="0" fontId="72" fillId="0" borderId="0" xfId="0" applyFont="1"/>
    <xf numFmtId="0" fontId="72" fillId="0" borderId="0" xfId="0" applyFont="1" applyAlignment="1">
      <alignment horizontal="center"/>
    </xf>
    <xf numFmtId="0" fontId="78" fillId="0" borderId="0" xfId="0" applyFont="1" applyAlignment="1">
      <alignment horizontal="left"/>
    </xf>
    <xf numFmtId="49" fontId="67" fillId="31" borderId="0" xfId="0" applyNumberFormat="1" applyFont="1" applyFill="1" applyAlignment="1">
      <alignment horizontal="center"/>
    </xf>
    <xf numFmtId="0" fontId="3" fillId="34" borderId="0" xfId="0" applyFont="1" applyFill="1" applyAlignment="1">
      <alignment horizontal="center"/>
    </xf>
    <xf numFmtId="0" fontId="78" fillId="30" borderId="0" xfId="0" applyFont="1" applyFill="1" applyAlignment="1">
      <alignment horizontal="left"/>
    </xf>
    <xf numFmtId="49" fontId="72" fillId="0" borderId="0" xfId="0" applyNumberFormat="1" applyFont="1" applyAlignment="1">
      <alignment horizontal="center"/>
    </xf>
    <xf numFmtId="49" fontId="72" fillId="31" borderId="0" xfId="0" applyNumberFormat="1" applyFont="1" applyFill="1" applyAlignment="1">
      <alignment horizontal="center"/>
    </xf>
    <xf numFmtId="49" fontId="67" fillId="31" borderId="0" xfId="0" quotePrefix="1" applyNumberFormat="1" applyFont="1" applyFill="1" applyAlignment="1">
      <alignment horizontal="center"/>
    </xf>
    <xf numFmtId="0" fontId="78" fillId="0" borderId="0" xfId="0" applyFont="1" applyFill="1" applyAlignment="1">
      <alignment horizontal="left"/>
    </xf>
    <xf numFmtId="0" fontId="74" fillId="0" borderId="0" xfId="0" applyFont="1" applyFill="1"/>
    <xf numFmtId="0" fontId="74" fillId="30" borderId="0" xfId="0" applyFont="1" applyFill="1"/>
    <xf numFmtId="0" fontId="3" fillId="31" borderId="0" xfId="0" quotePrefix="1" applyFont="1" applyFill="1" applyAlignment="1">
      <alignment horizontal="center"/>
    </xf>
    <xf numFmtId="0" fontId="3" fillId="38" borderId="0" xfId="0" quotePrefix="1" applyFont="1" applyFill="1" applyAlignment="1">
      <alignment horizontal="center"/>
    </xf>
    <xf numFmtId="26" fontId="3" fillId="0" borderId="0" xfId="0" applyNumberFormat="1" applyFont="1" applyFill="1"/>
    <xf numFmtId="9" fontId="3" fillId="0" borderId="0" xfId="0" applyNumberFormat="1" applyFont="1" applyFill="1"/>
    <xf numFmtId="181" fontId="28" fillId="0" borderId="12" xfId="0" applyNumberFormat="1" applyFont="1" applyBorder="1" applyAlignment="1">
      <alignment horizontal="center" vertical="center" wrapText="1"/>
    </xf>
    <xf numFmtId="0" fontId="28" fillId="0" borderId="0" xfId="0" applyFont="1" applyBorder="1" applyAlignment="1">
      <alignment horizontal="center" vertical="center" wrapText="1"/>
    </xf>
    <xf numFmtId="0" fontId="75" fillId="0" borderId="0" xfId="0" applyFont="1" applyFill="1"/>
    <xf numFmtId="0" fontId="3" fillId="0" borderId="0" xfId="0" applyFont="1" applyAlignment="1">
      <alignment horizontal="right"/>
    </xf>
    <xf numFmtId="0" fontId="3" fillId="0" borderId="0" xfId="0" applyFont="1" applyFill="1" applyAlignment="1">
      <alignment horizontal="right"/>
    </xf>
    <xf numFmtId="0" fontId="3" fillId="32" borderId="0" xfId="0" applyFont="1" applyFill="1" applyAlignment="1">
      <alignment horizontal="right"/>
    </xf>
    <xf numFmtId="0" fontId="3" fillId="34" borderId="0" xfId="0" applyFont="1" applyFill="1" applyAlignment="1">
      <alignment horizontal="right"/>
    </xf>
    <xf numFmtId="0" fontId="3" fillId="24" borderId="0" xfId="0" applyFont="1" applyFill="1" applyAlignment="1">
      <alignment horizontal="right"/>
    </xf>
    <xf numFmtId="0" fontId="3" fillId="28" borderId="0" xfId="0" applyFont="1" applyFill="1" applyAlignment="1">
      <alignment horizontal="right"/>
    </xf>
    <xf numFmtId="0" fontId="3" fillId="31" borderId="0" xfId="0" applyFont="1" applyFill="1" applyAlignment="1">
      <alignment horizontal="right"/>
    </xf>
    <xf numFmtId="49" fontId="69" fillId="31" borderId="0" xfId="0" quotePrefix="1" applyNumberFormat="1" applyFont="1" applyFill="1" applyAlignment="1">
      <alignment horizontal="center"/>
    </xf>
    <xf numFmtId="49" fontId="69" fillId="0" borderId="0" xfId="0" quotePrefix="1" applyNumberFormat="1" applyFont="1" applyAlignment="1">
      <alignment horizontal="center"/>
    </xf>
    <xf numFmtId="180" fontId="72" fillId="0" borderId="0" xfId="0" applyNumberFormat="1" applyFont="1" applyAlignment="1">
      <alignment horizontal="center"/>
    </xf>
    <xf numFmtId="1" fontId="72" fillId="0" borderId="0" xfId="0" applyNumberFormat="1" applyFont="1" applyAlignment="1">
      <alignment horizontal="center"/>
    </xf>
    <xf numFmtId="49" fontId="3" fillId="28" borderId="0" xfId="0" applyNumberFormat="1" applyFont="1" applyFill="1" applyAlignment="1">
      <alignment horizontal="center"/>
    </xf>
    <xf numFmtId="0" fontId="0" fillId="30" borderId="0" xfId="0" applyFill="1"/>
    <xf numFmtId="0" fontId="0" fillId="30" borderId="0" xfId="0" applyFill="1" applyAlignment="1">
      <alignment horizontal="center"/>
    </xf>
    <xf numFmtId="0" fontId="80" fillId="0" borderId="0" xfId="0" applyFont="1" applyFill="1"/>
    <xf numFmtId="0" fontId="81" fillId="0" borderId="0" xfId="0" applyFont="1" applyAlignment="1">
      <alignment horizontal="left"/>
    </xf>
    <xf numFmtId="0" fontId="80" fillId="0" borderId="0" xfId="0" applyFont="1"/>
    <xf numFmtId="0" fontId="80" fillId="27" borderId="0" xfId="0" applyFont="1" applyFill="1" applyAlignment="1">
      <alignment horizontal="left"/>
    </xf>
    <xf numFmtId="49" fontId="80" fillId="31" borderId="0" xfId="0" applyNumberFormat="1" applyFont="1" applyFill="1" applyAlignment="1">
      <alignment horizontal="center"/>
    </xf>
    <xf numFmtId="49" fontId="80" fillId="34" borderId="0" xfId="0" applyNumberFormat="1" applyFont="1" applyFill="1" applyAlignment="1">
      <alignment horizontal="center"/>
    </xf>
    <xf numFmtId="2" fontId="3" fillId="34" borderId="0" xfId="0" applyNumberFormat="1" applyFont="1" applyFill="1" applyAlignment="1">
      <alignment horizontal="center"/>
    </xf>
    <xf numFmtId="177" fontId="3" fillId="34" borderId="0" xfId="0" applyNumberFormat="1" applyFont="1" applyFill="1"/>
    <xf numFmtId="0" fontId="80" fillId="34" borderId="0" xfId="0" applyFont="1" applyFill="1"/>
    <xf numFmtId="2" fontId="3" fillId="34" borderId="0" xfId="0" applyNumberFormat="1" applyFont="1" applyFill="1"/>
    <xf numFmtId="49" fontId="67" fillId="34" borderId="0" xfId="0" applyNumberFormat="1" applyFont="1" applyFill="1" applyAlignment="1">
      <alignment horizontal="center"/>
    </xf>
  </cellXfs>
  <cellStyles count="90">
    <cellStyle name="20% - Accent1" xfId="1"/>
    <cellStyle name="20% - Accent2" xfId="2"/>
    <cellStyle name="20% - Accent3" xfId="3"/>
    <cellStyle name="20% - Accent4" xfId="4"/>
    <cellStyle name="20% - Accent5" xfId="5"/>
    <cellStyle name="20% - Accent6" xfId="6"/>
    <cellStyle name="20% - 强调文字颜色 1" xfId="7"/>
    <cellStyle name="20% - 强调文字颜色 2" xfId="8"/>
    <cellStyle name="20% - 强调文字颜色 3" xfId="9"/>
    <cellStyle name="20% - 强调文字颜色 4" xfId="10"/>
    <cellStyle name="20% - 强调文字颜色 5" xfId="11"/>
    <cellStyle name="20% - 强调文字颜色 6" xfId="12"/>
    <cellStyle name="40% - Accent1" xfId="13"/>
    <cellStyle name="40% - Accent2" xfId="14"/>
    <cellStyle name="40% - Accent3" xfId="15"/>
    <cellStyle name="40% - Accent4" xfId="16"/>
    <cellStyle name="40% - Accent5" xfId="17"/>
    <cellStyle name="40% - Accent6" xfId="18"/>
    <cellStyle name="40% - 强调文字颜色 1" xfId="19"/>
    <cellStyle name="40% - 强调文字颜色 2" xfId="20"/>
    <cellStyle name="40% - 强调文字颜色 3" xfId="21"/>
    <cellStyle name="40% - 强调文字颜色 4" xfId="22"/>
    <cellStyle name="40% - 强调文字颜色 5" xfId="23"/>
    <cellStyle name="40% - 强调文字颜色 6" xfId="24"/>
    <cellStyle name="60% - Accent1" xfId="25"/>
    <cellStyle name="60% - Accent2" xfId="26"/>
    <cellStyle name="60% - Accent3" xfId="27"/>
    <cellStyle name="60% - Accent4" xfId="28"/>
    <cellStyle name="60% - Accent5" xfId="29"/>
    <cellStyle name="60% - Accent6" xfId="30"/>
    <cellStyle name="60% - 强调文字颜色 1" xfId="31"/>
    <cellStyle name="60% - 强调文字颜色 2" xfId="32"/>
    <cellStyle name="60% - 强调文字颜色 3" xfId="33"/>
    <cellStyle name="60% - 强调文字颜色 4" xfId="34"/>
    <cellStyle name="60% - 强调文字颜色 5" xfId="35"/>
    <cellStyle name="60% - 强调文字颜色 6" xfId="36"/>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一般" xfId="0" builtinId="0"/>
    <cellStyle name="一般 2" xfId="60"/>
    <cellStyle name="一般_RO-all-order-20091216-1" xfId="61"/>
    <cellStyle name="千分位 2" xfId="62"/>
    <cellStyle name="千位分隔_H1-work-iv-pk-cn-0818-9" xfId="63"/>
    <cellStyle name="计算" xfId="64"/>
    <cellStyle name="汇总" xfId="65"/>
    <cellStyle name="百分比 2" xfId="66"/>
    <cellStyle name="注释" xfId="67"/>
    <cellStyle name="标题" xfId="68"/>
    <cellStyle name="标题 1" xfId="69"/>
    <cellStyle name="标题 2" xfId="70"/>
    <cellStyle name="标题 3" xfId="71"/>
    <cellStyle name="标题 4" xfId="72"/>
    <cellStyle name="标题_WJ-RO-order-20130609-1" xfId="73"/>
    <cellStyle name="差" xfId="74"/>
    <cellStyle name="适中" xfId="75"/>
    <cellStyle name="常规 2 2 2" xfId="76"/>
    <cellStyle name="常规_2006" xfId="77"/>
    <cellStyle name="检查单元格" xfId="78"/>
    <cellStyle name="强调文字颜色 1" xfId="79"/>
    <cellStyle name="强调文字颜色 2" xfId="80"/>
    <cellStyle name="强调文字颜色 3" xfId="81"/>
    <cellStyle name="强调文字颜色 4" xfId="82"/>
    <cellStyle name="强调文字颜色 5" xfId="83"/>
    <cellStyle name="强调文字颜色 6" xfId="84"/>
    <cellStyle name="链接单元格" xfId="85"/>
    <cellStyle name="解释性文本" xfId="86"/>
    <cellStyle name="输入" xfId="87"/>
    <cellStyle name="输出" xfId="88"/>
    <cellStyle name="警告文本" xfId="89"/>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
  <dimension ref="A1:L35"/>
  <sheetViews>
    <sheetView workbookViewId="0">
      <selection activeCell="F25" sqref="F25"/>
    </sheetView>
  </sheetViews>
  <sheetFormatPr defaultRowHeight="14.25"/>
  <cols>
    <col min="1" max="1" width="3.5" bestFit="1" customWidth="1"/>
    <col min="2" max="2" width="19.375" bestFit="1" customWidth="1"/>
    <col min="3" max="3" width="3.5" bestFit="1" customWidth="1"/>
    <col min="4" max="4" width="19.375" bestFit="1" customWidth="1"/>
    <col min="5" max="5" width="3.5" bestFit="1" customWidth="1"/>
    <col min="6" max="6" width="22.75" bestFit="1" customWidth="1"/>
    <col min="7" max="7" width="3.5" style="21" bestFit="1" customWidth="1"/>
    <col min="8" max="8" width="88.625" customWidth="1"/>
    <col min="9" max="9" width="68.25" bestFit="1" customWidth="1"/>
    <col min="10" max="11" width="19.375" style="21" bestFit="1" customWidth="1"/>
    <col min="12" max="12" width="23.875" style="21" bestFit="1" customWidth="1"/>
  </cols>
  <sheetData>
    <row r="1" spans="1:12">
      <c r="A1">
        <v>1</v>
      </c>
      <c r="B1" t="s">
        <v>4239</v>
      </c>
    </row>
    <row r="2" spans="1:12">
      <c r="A2">
        <v>2</v>
      </c>
      <c r="B2" t="s">
        <v>5733</v>
      </c>
    </row>
    <row r="3" spans="1:12">
      <c r="A3" s="21">
        <v>47</v>
      </c>
      <c r="B3" s="21" t="s">
        <v>5743</v>
      </c>
      <c r="I3" t="s">
        <v>5706</v>
      </c>
    </row>
    <row r="4" spans="1:12">
      <c r="A4" s="159">
        <v>50</v>
      </c>
      <c r="B4" s="159" t="s">
        <v>5744</v>
      </c>
      <c r="G4" s="21">
        <v>50</v>
      </c>
      <c r="H4" s="21" t="s">
        <v>5705</v>
      </c>
      <c r="I4" s="21" t="s">
        <v>5705</v>
      </c>
      <c r="J4" s="21" t="s">
        <v>5705</v>
      </c>
    </row>
    <row r="5" spans="1:12">
      <c r="C5" s="159">
        <v>51</v>
      </c>
      <c r="D5" s="159" t="s">
        <v>5748</v>
      </c>
      <c r="G5" s="21">
        <v>51</v>
      </c>
      <c r="H5" t="s">
        <v>5707</v>
      </c>
      <c r="I5" t="str">
        <f>CONCATENATE(J5,"/",K5)</f>
        <v>Filtration System/Revese Osmosis</v>
      </c>
      <c r="J5" s="21" t="s">
        <v>5705</v>
      </c>
      <c r="K5" s="21" t="s">
        <v>4217</v>
      </c>
    </row>
    <row r="6" spans="1:12">
      <c r="E6" s="159">
        <v>52</v>
      </c>
      <c r="F6" s="159" t="s">
        <v>4229</v>
      </c>
      <c r="G6" s="21">
        <v>52</v>
      </c>
      <c r="H6" t="s">
        <v>5708</v>
      </c>
      <c r="I6" t="str">
        <f>CONCATENATE(J6,"/",K6,"/",L6)</f>
        <v>Filtration System/Revese Osmosis/Standard Flow 100 GPD</v>
      </c>
      <c r="J6" s="21" t="s">
        <v>5705</v>
      </c>
      <c r="K6" s="21" t="s">
        <v>4217</v>
      </c>
      <c r="L6" s="21" t="s">
        <v>4229</v>
      </c>
    </row>
    <row r="7" spans="1:12">
      <c r="E7" s="159">
        <v>53</v>
      </c>
      <c r="F7" s="159" t="s">
        <v>4230</v>
      </c>
      <c r="G7" s="21">
        <v>53</v>
      </c>
      <c r="H7" t="s">
        <v>5709</v>
      </c>
      <c r="I7" t="str">
        <f>CONCATENATE(J7,"/",K7,"/",L7)</f>
        <v>Filtration System/Revese Osmosis/High Flow 150+ GPD</v>
      </c>
      <c r="J7" s="21" t="s">
        <v>5705</v>
      </c>
      <c r="K7" s="21" t="s">
        <v>4217</v>
      </c>
      <c r="L7" s="21" t="s">
        <v>4230</v>
      </c>
    </row>
    <row r="8" spans="1:12">
      <c r="E8" s="159">
        <v>54</v>
      </c>
      <c r="F8" s="159" t="s">
        <v>4231</v>
      </c>
      <c r="G8" s="21">
        <v>54</v>
      </c>
      <c r="H8" t="s">
        <v>5710</v>
      </c>
      <c r="I8" t="str">
        <f>CONCATENATE(J8,"/",K8,"/",L8)</f>
        <v>Filtration System/Revese Osmosis/Low Flow 50 GPD</v>
      </c>
      <c r="J8" s="21" t="s">
        <v>5705</v>
      </c>
      <c r="K8" s="21" t="s">
        <v>4217</v>
      </c>
      <c r="L8" s="21" t="s">
        <v>4231</v>
      </c>
    </row>
    <row r="9" spans="1:12">
      <c r="C9" s="159">
        <v>55</v>
      </c>
      <c r="D9" s="159" t="s">
        <v>5749</v>
      </c>
      <c r="G9" s="21">
        <v>55</v>
      </c>
      <c r="H9" t="s">
        <v>5711</v>
      </c>
      <c r="I9" t="str">
        <f>CONCATENATE(J9,"/",K9)</f>
        <v>Filtration System/Portable RO</v>
      </c>
      <c r="J9" s="21" t="s">
        <v>5705</v>
      </c>
      <c r="K9" s="21" t="s">
        <v>4232</v>
      </c>
    </row>
    <row r="10" spans="1:12">
      <c r="E10" s="159">
        <v>56</v>
      </c>
      <c r="F10" s="159" t="s">
        <v>4229</v>
      </c>
      <c r="G10" s="21">
        <v>56</v>
      </c>
      <c r="H10" t="s">
        <v>5712</v>
      </c>
      <c r="I10" t="str">
        <f>CONCATENATE(J10,"/",K10,"/",L10)</f>
        <v>Filtration System/Portable RO/Standard Flow 100 GPD</v>
      </c>
      <c r="J10" s="21" t="s">
        <v>5705</v>
      </c>
      <c r="K10" s="21" t="s">
        <v>4232</v>
      </c>
      <c r="L10" s="21" t="s">
        <v>4229</v>
      </c>
    </row>
    <row r="11" spans="1:12">
      <c r="E11" s="159">
        <v>57</v>
      </c>
      <c r="F11" s="159" t="s">
        <v>4230</v>
      </c>
      <c r="G11" s="21">
        <v>57</v>
      </c>
      <c r="H11" t="s">
        <v>5713</v>
      </c>
      <c r="I11" t="str">
        <f>CONCATENATE(J11,"/",K11,"/",L11)</f>
        <v>Filtration System/Portable RO/High Flow 150+ GPD</v>
      </c>
      <c r="J11" s="21" t="s">
        <v>5705</v>
      </c>
      <c r="K11" s="21" t="s">
        <v>4232</v>
      </c>
      <c r="L11" s="21" t="s">
        <v>4230</v>
      </c>
    </row>
    <row r="12" spans="1:12">
      <c r="E12" s="159">
        <v>58</v>
      </c>
      <c r="F12" s="159" t="s">
        <v>4231</v>
      </c>
      <c r="G12" s="21">
        <v>58</v>
      </c>
      <c r="H12" t="s">
        <v>5714</v>
      </c>
      <c r="I12" t="str">
        <f>CONCATENATE(J12,"/",K12,"/",L12)</f>
        <v>Filtration System/Portable RO/Low Flow 50 GPD</v>
      </c>
      <c r="J12" s="21" t="s">
        <v>5705</v>
      </c>
      <c r="K12" s="21" t="s">
        <v>4232</v>
      </c>
      <c r="L12" s="21" t="s">
        <v>4231</v>
      </c>
    </row>
    <row r="13" spans="1:12">
      <c r="C13" s="159">
        <v>59</v>
      </c>
      <c r="D13" s="159" t="s">
        <v>5750</v>
      </c>
      <c r="G13" s="21">
        <v>59</v>
      </c>
      <c r="H13" t="s">
        <v>5715</v>
      </c>
      <c r="I13" t="str">
        <f>CONCATENATE(J13,"/",K13)</f>
        <v>Filtration System/Whole House</v>
      </c>
      <c r="J13" s="21" t="s">
        <v>5705</v>
      </c>
      <c r="K13" s="21" t="s">
        <v>4219</v>
      </c>
    </row>
    <row r="14" spans="1:12">
      <c r="E14" s="159">
        <v>60</v>
      </c>
      <c r="F14" s="159" t="s">
        <v>4227</v>
      </c>
      <c r="G14" s="21">
        <v>60</v>
      </c>
      <c r="H14" t="s">
        <v>5716</v>
      </c>
      <c r="I14" t="str">
        <f>CONCATENATE(J14,"/",K14,"/",L14)</f>
        <v>Filtration System/Whole House/Standard</v>
      </c>
      <c r="J14" s="21" t="s">
        <v>5705</v>
      </c>
      <c r="K14" s="21" t="s">
        <v>4219</v>
      </c>
      <c r="L14" s="21" t="s">
        <v>4227</v>
      </c>
    </row>
    <row r="15" spans="1:12">
      <c r="E15" s="159">
        <v>61</v>
      </c>
      <c r="F15" s="159" t="s">
        <v>4228</v>
      </c>
      <c r="G15" s="21">
        <v>61</v>
      </c>
      <c r="H15" t="s">
        <v>5717</v>
      </c>
      <c r="I15" t="str">
        <f>CONCATENATE(J15,"/",K15,"/",L15)</f>
        <v>Filtration System/Whole House/Ecnomical</v>
      </c>
      <c r="J15" s="21" t="s">
        <v>5705</v>
      </c>
      <c r="K15" s="21" t="s">
        <v>4219</v>
      </c>
      <c r="L15" s="21" t="s">
        <v>4228</v>
      </c>
    </row>
    <row r="16" spans="1:12">
      <c r="C16" s="159">
        <v>62</v>
      </c>
      <c r="D16" s="159" t="s">
        <v>5746</v>
      </c>
      <c r="G16" s="21">
        <v>62</v>
      </c>
      <c r="H16" t="s">
        <v>5718</v>
      </c>
      <c r="I16" t="str">
        <f t="shared" ref="I16:I26" si="0">CONCATENATE(J16,"/",K16)</f>
        <v>Filtration System/Drinking Water</v>
      </c>
      <c r="J16" s="21" t="s">
        <v>5705</v>
      </c>
      <c r="K16" s="21" t="s">
        <v>4222</v>
      </c>
    </row>
    <row r="17" spans="1:12">
      <c r="C17" s="159">
        <v>63</v>
      </c>
      <c r="D17" s="159" t="s">
        <v>5751</v>
      </c>
      <c r="G17" s="21">
        <v>63</v>
      </c>
      <c r="H17" t="s">
        <v>5719</v>
      </c>
      <c r="I17" t="str">
        <f t="shared" si="0"/>
        <v>Filtration System/Aquarium</v>
      </c>
      <c r="J17" s="21" t="s">
        <v>5705</v>
      </c>
      <c r="K17" s="21" t="s">
        <v>4233</v>
      </c>
    </row>
    <row r="18" spans="1:12">
      <c r="C18" s="159">
        <v>64</v>
      </c>
      <c r="D18" s="159" t="s">
        <v>5747</v>
      </c>
      <c r="G18" s="21">
        <v>64</v>
      </c>
      <c r="H18" t="s">
        <v>5720</v>
      </c>
      <c r="I18" t="str">
        <f t="shared" si="0"/>
        <v>Filtration System/Ultra Violet</v>
      </c>
      <c r="J18" s="21" t="s">
        <v>5705</v>
      </c>
      <c r="K18" s="21" t="s">
        <v>4225</v>
      </c>
    </row>
    <row r="19" spans="1:12">
      <c r="A19" s="159">
        <v>68</v>
      </c>
      <c r="B19" s="159" t="s">
        <v>5745</v>
      </c>
      <c r="G19" s="21">
        <v>68</v>
      </c>
      <c r="H19" s="21" t="s">
        <v>5721</v>
      </c>
      <c r="I19" s="21" t="s">
        <v>4218</v>
      </c>
      <c r="J19" s="21" t="s">
        <v>4218</v>
      </c>
    </row>
    <row r="20" spans="1:12">
      <c r="C20" s="159">
        <v>70</v>
      </c>
      <c r="D20" s="159" t="s">
        <v>5760</v>
      </c>
      <c r="G20" s="21">
        <v>70</v>
      </c>
      <c r="H20" t="s">
        <v>5722</v>
      </c>
      <c r="I20" t="str">
        <f t="shared" si="0"/>
        <v>Replacement/Combo Set</v>
      </c>
      <c r="J20" s="21" t="s">
        <v>4218</v>
      </c>
      <c r="K20" s="21" t="s">
        <v>4226</v>
      </c>
    </row>
    <row r="21" spans="1:12">
      <c r="C21" s="159">
        <v>71</v>
      </c>
      <c r="D21" s="159" t="s">
        <v>5761</v>
      </c>
      <c r="G21" s="21">
        <v>71</v>
      </c>
      <c r="H21" t="s">
        <v>5723</v>
      </c>
      <c r="I21" t="str">
        <f t="shared" si="0"/>
        <v>Replacement/Filters</v>
      </c>
      <c r="J21" s="21" t="s">
        <v>4218</v>
      </c>
      <c r="K21" s="21" t="s">
        <v>4234</v>
      </c>
    </row>
    <row r="22" spans="1:12">
      <c r="C22" s="159">
        <v>72</v>
      </c>
      <c r="D22" s="159" t="s">
        <v>5762</v>
      </c>
      <c r="G22" s="21">
        <v>72</v>
      </c>
      <c r="H22" t="s">
        <v>5724</v>
      </c>
      <c r="I22" t="str">
        <f t="shared" si="0"/>
        <v>Replacement/Menbranes</v>
      </c>
      <c r="J22" s="21" t="s">
        <v>4218</v>
      </c>
      <c r="K22" s="21" t="s">
        <v>4238</v>
      </c>
    </row>
    <row r="23" spans="1:12">
      <c r="C23" s="159">
        <v>73</v>
      </c>
      <c r="D23" s="159" t="s">
        <v>5763</v>
      </c>
      <c r="G23" s="21">
        <v>73</v>
      </c>
      <c r="H23" t="s">
        <v>5725</v>
      </c>
      <c r="I23" t="str">
        <f t="shared" si="0"/>
        <v>Replacement/Resin</v>
      </c>
      <c r="J23" s="21" t="s">
        <v>4218</v>
      </c>
      <c r="K23" s="21" t="s">
        <v>4237</v>
      </c>
    </row>
    <row r="24" spans="1:12">
      <c r="C24" s="159">
        <v>74</v>
      </c>
      <c r="D24" s="159" t="s">
        <v>5764</v>
      </c>
      <c r="G24" s="21">
        <v>74</v>
      </c>
      <c r="H24" t="s">
        <v>5726</v>
      </c>
      <c r="I24" t="str">
        <f t="shared" si="0"/>
        <v>Replacement/Ultra Violet</v>
      </c>
      <c r="J24" s="21" t="s">
        <v>4218</v>
      </c>
      <c r="K24" s="21" t="s">
        <v>4225</v>
      </c>
    </row>
    <row r="25" spans="1:12">
      <c r="A25" s="159">
        <v>65</v>
      </c>
      <c r="B25" s="159" t="s">
        <v>5754</v>
      </c>
      <c r="G25" s="21">
        <v>65</v>
      </c>
      <c r="H25" s="21" t="s">
        <v>5734</v>
      </c>
      <c r="I25" s="21" t="s">
        <v>4236</v>
      </c>
      <c r="J25" s="21" t="s">
        <v>4236</v>
      </c>
    </row>
    <row r="26" spans="1:12">
      <c r="C26" s="159">
        <v>66</v>
      </c>
      <c r="D26" s="159" t="s">
        <v>5753</v>
      </c>
      <c r="G26" s="21">
        <v>66</v>
      </c>
      <c r="H26" t="s">
        <v>5727</v>
      </c>
      <c r="I26" t="str">
        <f t="shared" si="0"/>
        <v>Parts &amp; Tools/Housing</v>
      </c>
      <c r="J26" s="21" t="s">
        <v>4236</v>
      </c>
      <c r="K26" s="21" t="s">
        <v>4224</v>
      </c>
    </row>
    <row r="27" spans="1:12">
      <c r="E27" s="159">
        <v>75</v>
      </c>
      <c r="F27" s="159" t="s">
        <v>5765</v>
      </c>
      <c r="G27" s="21">
        <v>75</v>
      </c>
      <c r="H27" t="s">
        <v>5739</v>
      </c>
      <c r="I27" t="str">
        <f>CONCATENATE(J27,"/",K27,"/",L27)</f>
        <v>Parts &amp; Tools/Housing/0.25~0.375 inch</v>
      </c>
      <c r="J27" s="21" t="s">
        <v>4236</v>
      </c>
      <c r="K27" s="21" t="s">
        <v>4224</v>
      </c>
      <c r="L27" s="21" t="s">
        <v>5738</v>
      </c>
    </row>
    <row r="28" spans="1:12">
      <c r="E28" s="159">
        <v>76</v>
      </c>
      <c r="F28" s="159" t="s">
        <v>5766</v>
      </c>
      <c r="G28" s="21">
        <v>76</v>
      </c>
      <c r="H28" t="s">
        <v>5740</v>
      </c>
      <c r="I28" t="str">
        <f>CONCATENATE(J28,"/",K28,"/",L28)</f>
        <v>Parts &amp; Tools/Housing/0.75 inch</v>
      </c>
      <c r="J28" s="21" t="s">
        <v>4236</v>
      </c>
      <c r="K28" s="21" t="s">
        <v>4224</v>
      </c>
      <c r="L28" s="21" t="s">
        <v>5736</v>
      </c>
    </row>
    <row r="29" spans="1:12">
      <c r="E29" s="159">
        <v>77</v>
      </c>
      <c r="F29" s="159" t="s">
        <v>5767</v>
      </c>
      <c r="G29" s="21">
        <v>77</v>
      </c>
      <c r="H29" t="s">
        <v>5741</v>
      </c>
      <c r="I29" t="str">
        <f>CONCATENATE(J29,"/",K29,"/",L29)</f>
        <v>Parts &amp; Tools/Housing/0.5 inch</v>
      </c>
      <c r="J29" s="21" t="s">
        <v>4236</v>
      </c>
      <c r="K29" s="21" t="s">
        <v>4224</v>
      </c>
      <c r="L29" s="21" t="s">
        <v>5737</v>
      </c>
    </row>
    <row r="30" spans="1:12">
      <c r="C30" s="159">
        <v>67</v>
      </c>
      <c r="D30" s="159" t="s">
        <v>5755</v>
      </c>
      <c r="G30" s="21">
        <v>67</v>
      </c>
      <c r="H30" t="s">
        <v>5728</v>
      </c>
      <c r="I30" t="str">
        <f t="shared" ref="I30:I35" si="1">CONCATENATE(J30,"/",K30)</f>
        <v>Parts &amp; Tools/Feeders</v>
      </c>
      <c r="J30" s="21" t="s">
        <v>4236</v>
      </c>
      <c r="K30" s="21" t="s">
        <v>4221</v>
      </c>
    </row>
    <row r="31" spans="1:12">
      <c r="C31" s="159">
        <v>79</v>
      </c>
      <c r="D31" s="159" t="s">
        <v>5756</v>
      </c>
      <c r="G31" s="21">
        <v>79</v>
      </c>
      <c r="H31" t="s">
        <v>5729</v>
      </c>
      <c r="I31" t="str">
        <f t="shared" si="1"/>
        <v>Parts &amp; Tools/Fittings</v>
      </c>
      <c r="J31" s="21" t="s">
        <v>4236</v>
      </c>
      <c r="K31" s="21" t="s">
        <v>4220</v>
      </c>
    </row>
    <row r="32" spans="1:12">
      <c r="C32" s="159">
        <v>80</v>
      </c>
      <c r="D32" s="159" t="s">
        <v>5757</v>
      </c>
      <c r="G32" s="21">
        <v>80</v>
      </c>
      <c r="H32" t="s">
        <v>5730</v>
      </c>
      <c r="I32" t="str">
        <f t="shared" si="1"/>
        <v>Parts &amp; Tools/Valves</v>
      </c>
      <c r="J32" s="21" t="s">
        <v>4236</v>
      </c>
      <c r="K32" s="21" t="s">
        <v>4223</v>
      </c>
    </row>
    <row r="33" spans="3:11">
      <c r="C33" s="159">
        <v>81</v>
      </c>
      <c r="D33" s="159" t="s">
        <v>5758</v>
      </c>
      <c r="G33" s="21">
        <v>81</v>
      </c>
      <c r="H33" t="s">
        <v>5742</v>
      </c>
      <c r="I33" t="str">
        <f t="shared" si="1"/>
        <v>Parts &amp; Tools/Faucet-Tank-Tubes</v>
      </c>
      <c r="J33" s="21" t="s">
        <v>4236</v>
      </c>
      <c r="K33" s="21" t="s">
        <v>5735</v>
      </c>
    </row>
    <row r="34" spans="3:11">
      <c r="C34" s="159">
        <v>82</v>
      </c>
      <c r="D34" s="159" t="s">
        <v>5759</v>
      </c>
      <c r="G34" s="21">
        <v>82</v>
      </c>
      <c r="H34" t="s">
        <v>5731</v>
      </c>
      <c r="I34" t="str">
        <f t="shared" si="1"/>
        <v>Parts &amp; Tools/Utilityes</v>
      </c>
      <c r="J34" s="21" t="s">
        <v>4236</v>
      </c>
      <c r="K34" s="21" t="s">
        <v>4235</v>
      </c>
    </row>
    <row r="35" spans="3:11">
      <c r="C35" s="159">
        <v>84</v>
      </c>
      <c r="D35" s="159" t="s">
        <v>5669</v>
      </c>
      <c r="G35" s="21">
        <v>84</v>
      </c>
      <c r="H35" t="s">
        <v>5732</v>
      </c>
      <c r="I35" t="str">
        <f t="shared" si="1"/>
        <v>Parts &amp; Tools/Shipping</v>
      </c>
      <c r="J35" s="21" t="s">
        <v>4236</v>
      </c>
      <c r="K35" s="21" t="s">
        <v>5669</v>
      </c>
    </row>
  </sheetData>
  <phoneticPr fontId="2" type="noConversion"/>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I153"/>
  <sheetViews>
    <sheetView topLeftCell="A44" workbookViewId="0">
      <selection activeCell="B54" sqref="B54"/>
    </sheetView>
  </sheetViews>
  <sheetFormatPr defaultRowHeight="14.25"/>
  <cols>
    <col min="1" max="1" width="7.625" style="169" customWidth="1"/>
    <col min="2" max="2" width="7.75" style="149" customWidth="1"/>
    <col min="3" max="3" width="3.25" style="20" bestFit="1" customWidth="1"/>
    <col min="4" max="4" width="3.25" style="20" customWidth="1"/>
    <col min="5" max="5" width="36.875" style="140" bestFit="1" customWidth="1"/>
    <col min="6" max="6" width="62.25" customWidth="1"/>
    <col min="7" max="7" width="7.875" customWidth="1"/>
  </cols>
  <sheetData>
    <row r="1" spans="1:9">
      <c r="A1" s="169">
        <f>30.7/5</f>
        <v>6.14</v>
      </c>
      <c r="B1" s="171" t="s">
        <v>3576</v>
      </c>
      <c r="C1" s="9">
        <v>5</v>
      </c>
      <c r="D1" s="9">
        <v>5</v>
      </c>
      <c r="E1" s="140" t="s">
        <v>3468</v>
      </c>
      <c r="F1" s="7" t="s">
        <v>2274</v>
      </c>
      <c r="G1" s="7">
        <v>0.8</v>
      </c>
      <c r="H1">
        <v>81</v>
      </c>
      <c r="I1" s="9">
        <v>3</v>
      </c>
    </row>
    <row r="2" spans="1:9">
      <c r="A2" s="169">
        <f>31.3/5</f>
        <v>6.26</v>
      </c>
      <c r="B2" s="171" t="s">
        <v>3577</v>
      </c>
      <c r="C2" s="9">
        <v>5</v>
      </c>
      <c r="D2" s="9">
        <v>5</v>
      </c>
      <c r="E2" s="140" t="s">
        <v>3469</v>
      </c>
      <c r="F2" s="7" t="s">
        <v>2260</v>
      </c>
      <c r="G2" s="7">
        <v>0.45</v>
      </c>
      <c r="H2">
        <v>55</v>
      </c>
      <c r="I2" s="9">
        <v>3</v>
      </c>
    </row>
    <row r="3" spans="1:9">
      <c r="A3" s="169">
        <f>24.5/3</f>
        <v>8.1666666666666661</v>
      </c>
      <c r="B3" s="171" t="s">
        <v>3562</v>
      </c>
      <c r="C3" s="9">
        <v>3</v>
      </c>
      <c r="D3" s="9">
        <v>3</v>
      </c>
      <c r="E3" s="170" t="s">
        <v>3939</v>
      </c>
      <c r="F3" s="7" t="s">
        <v>2257</v>
      </c>
      <c r="G3" s="7">
        <v>0.55000000000000004</v>
      </c>
      <c r="H3">
        <v>136</v>
      </c>
      <c r="I3" s="9">
        <v>4</v>
      </c>
    </row>
    <row r="4" spans="1:9">
      <c r="A4" s="169">
        <v>50.1</v>
      </c>
      <c r="B4" s="171" t="s">
        <v>3578</v>
      </c>
      <c r="C4" s="9">
        <v>3</v>
      </c>
      <c r="D4" s="9">
        <v>3</v>
      </c>
      <c r="E4" s="170" t="s">
        <v>3871</v>
      </c>
      <c r="F4" s="168" t="s">
        <v>3870</v>
      </c>
      <c r="G4" s="7">
        <v>1.1000000000000001</v>
      </c>
      <c r="H4">
        <v>40</v>
      </c>
      <c r="I4" s="9">
        <v>2</v>
      </c>
    </row>
    <row r="5" spans="1:9">
      <c r="A5" s="169">
        <f>35.9/3</f>
        <v>11.966666666666667</v>
      </c>
      <c r="B5" s="171" t="s">
        <v>3563</v>
      </c>
      <c r="C5" s="9">
        <v>3</v>
      </c>
      <c r="D5" s="9">
        <v>3</v>
      </c>
      <c r="E5" s="170" t="s">
        <v>3873</v>
      </c>
      <c r="F5" s="7" t="s">
        <v>2206</v>
      </c>
      <c r="G5" s="7">
        <v>0.8</v>
      </c>
      <c r="H5">
        <v>37</v>
      </c>
      <c r="I5" s="9">
        <v>2</v>
      </c>
    </row>
    <row r="6" spans="1:9">
      <c r="A6" s="169">
        <f>49.3/3</f>
        <v>16.433333333333334</v>
      </c>
      <c r="B6" s="171" t="s">
        <v>3564</v>
      </c>
      <c r="C6" s="9">
        <v>3</v>
      </c>
      <c r="D6" s="9">
        <v>3</v>
      </c>
      <c r="E6" s="170" t="s">
        <v>3874</v>
      </c>
      <c r="F6" s="7" t="s">
        <v>2197</v>
      </c>
      <c r="G6" s="7">
        <v>1.6</v>
      </c>
      <c r="H6">
        <v>21</v>
      </c>
      <c r="I6" s="9">
        <v>2</v>
      </c>
    </row>
    <row r="7" spans="1:9">
      <c r="A7" s="169">
        <v>67.900000000000006</v>
      </c>
      <c r="B7" s="171" t="s">
        <v>3565</v>
      </c>
      <c r="C7" s="9">
        <v>3</v>
      </c>
      <c r="D7" s="9">
        <v>3</v>
      </c>
      <c r="E7" s="170" t="s">
        <v>3872</v>
      </c>
      <c r="F7" s="7" t="s">
        <v>2207</v>
      </c>
      <c r="G7" s="7">
        <v>1.1000000000000001</v>
      </c>
      <c r="H7">
        <v>38</v>
      </c>
      <c r="I7" s="9">
        <v>2</v>
      </c>
    </row>
    <row r="8" spans="1:9">
      <c r="A8" s="169">
        <f>29.4/5</f>
        <v>5.88</v>
      </c>
      <c r="B8" s="176" t="s">
        <v>3479</v>
      </c>
      <c r="C8" s="9">
        <v>5</v>
      </c>
      <c r="D8" s="9">
        <v>5</v>
      </c>
      <c r="E8" s="140" t="s">
        <v>3407</v>
      </c>
      <c r="F8" s="7" t="s">
        <v>2218</v>
      </c>
      <c r="G8" s="7">
        <v>0.5</v>
      </c>
      <c r="H8">
        <v>56</v>
      </c>
      <c r="I8" s="9">
        <v>3</v>
      </c>
    </row>
    <row r="9" spans="1:9">
      <c r="A9" s="169">
        <f>59/5</f>
        <v>11.8</v>
      </c>
      <c r="B9" s="176" t="s">
        <v>3480</v>
      </c>
      <c r="C9" s="9">
        <v>5</v>
      </c>
      <c r="D9" s="9">
        <v>5</v>
      </c>
      <c r="E9" s="140" t="s">
        <v>3466</v>
      </c>
      <c r="F9" s="7" t="s">
        <v>2261</v>
      </c>
      <c r="G9" s="7">
        <v>0.75</v>
      </c>
      <c r="H9">
        <v>57</v>
      </c>
      <c r="I9" s="9">
        <v>3</v>
      </c>
    </row>
    <row r="10" spans="1:9">
      <c r="A10" s="169">
        <f>42.2/5</f>
        <v>8.4400000000000013</v>
      </c>
      <c r="B10" s="176" t="s">
        <v>3481</v>
      </c>
      <c r="C10" s="9">
        <v>5</v>
      </c>
      <c r="D10" s="9">
        <v>5</v>
      </c>
      <c r="E10" s="140" t="s">
        <v>3442</v>
      </c>
      <c r="F10" s="7" t="s">
        <v>2221</v>
      </c>
      <c r="G10" s="7">
        <v>0.68</v>
      </c>
      <c r="H10">
        <v>60</v>
      </c>
      <c r="I10" s="9">
        <v>3</v>
      </c>
    </row>
    <row r="11" spans="1:9">
      <c r="A11" s="169">
        <f>51.8/5</f>
        <v>10.36</v>
      </c>
      <c r="B11" s="176" t="s">
        <v>3482</v>
      </c>
      <c r="C11" s="9">
        <v>5</v>
      </c>
      <c r="D11" s="9">
        <v>5</v>
      </c>
      <c r="E11" s="140" t="s">
        <v>3465</v>
      </c>
      <c r="F11" s="7" t="s">
        <v>2220</v>
      </c>
      <c r="G11" s="7">
        <v>0.8</v>
      </c>
      <c r="H11">
        <v>59</v>
      </c>
      <c r="I11" s="9">
        <v>3</v>
      </c>
    </row>
    <row r="12" spans="1:9">
      <c r="A12" s="169">
        <f>60.9/5</f>
        <v>12.18</v>
      </c>
      <c r="B12" s="176" t="s">
        <v>3483</v>
      </c>
      <c r="C12" s="9">
        <v>5</v>
      </c>
      <c r="D12" s="9">
        <v>5</v>
      </c>
      <c r="E12" s="139" t="s">
        <v>3431</v>
      </c>
      <c r="F12" s="7" t="s">
        <v>2278</v>
      </c>
      <c r="G12" s="7">
        <v>1.4</v>
      </c>
      <c r="H12">
        <v>85</v>
      </c>
      <c r="I12" s="9">
        <v>3</v>
      </c>
    </row>
    <row r="13" spans="1:9">
      <c r="A13" s="169">
        <f>55/5</f>
        <v>11</v>
      </c>
      <c r="B13" s="176" t="s">
        <v>3484</v>
      </c>
      <c r="C13" s="9">
        <v>5</v>
      </c>
      <c r="D13" s="9">
        <v>5</v>
      </c>
      <c r="E13" s="139" t="s">
        <v>3433</v>
      </c>
      <c r="F13" s="7" t="s">
        <v>2236</v>
      </c>
      <c r="G13" s="7">
        <v>0.55000000000000004</v>
      </c>
      <c r="H13">
        <v>102</v>
      </c>
      <c r="I13" s="9">
        <v>4</v>
      </c>
    </row>
    <row r="14" spans="1:9">
      <c r="A14" s="169">
        <f>21.3/5</f>
        <v>4.26</v>
      </c>
      <c r="B14" s="176" t="s">
        <v>3485</v>
      </c>
      <c r="C14" s="9">
        <v>5</v>
      </c>
      <c r="D14" s="9">
        <v>5</v>
      </c>
      <c r="E14" s="140" t="s">
        <v>3439</v>
      </c>
      <c r="F14" s="7" t="s">
        <v>2241</v>
      </c>
      <c r="G14" s="7">
        <v>0.3</v>
      </c>
      <c r="H14">
        <v>110</v>
      </c>
      <c r="I14" s="9">
        <v>4</v>
      </c>
    </row>
    <row r="15" spans="1:9">
      <c r="A15" s="169">
        <f>49.3/5</f>
        <v>9.86</v>
      </c>
      <c r="B15" s="176" t="s">
        <v>3486</v>
      </c>
      <c r="C15" s="9">
        <v>5</v>
      </c>
      <c r="D15" s="9">
        <v>5</v>
      </c>
      <c r="E15" s="139" t="s">
        <v>3432</v>
      </c>
      <c r="F15" s="7" t="s">
        <v>2279</v>
      </c>
      <c r="G15" s="7">
        <v>1.5</v>
      </c>
      <c r="H15">
        <v>86</v>
      </c>
      <c r="I15" s="9">
        <v>3</v>
      </c>
    </row>
    <row r="16" spans="1:9">
      <c r="A16" s="169">
        <f>41.2/5</f>
        <v>8.24</v>
      </c>
      <c r="B16" s="176" t="s">
        <v>3487</v>
      </c>
      <c r="C16" s="9">
        <v>5</v>
      </c>
      <c r="D16" s="9">
        <v>5</v>
      </c>
      <c r="E16" s="139" t="s">
        <v>3434</v>
      </c>
      <c r="F16" s="7" t="s">
        <v>2237</v>
      </c>
      <c r="G16" s="7">
        <v>0.6</v>
      </c>
      <c r="H16">
        <v>103</v>
      </c>
      <c r="I16" s="9">
        <v>4</v>
      </c>
    </row>
    <row r="17" spans="1:9">
      <c r="A17" s="169" t="s">
        <v>3940</v>
      </c>
      <c r="B17" s="150" t="s">
        <v>3489</v>
      </c>
      <c r="C17" s="9">
        <v>5</v>
      </c>
      <c r="D17" s="9">
        <v>5</v>
      </c>
      <c r="E17" s="148" t="s">
        <v>3457</v>
      </c>
      <c r="F17" s="7" t="s">
        <v>2239</v>
      </c>
      <c r="G17" s="7">
        <v>0.34</v>
      </c>
      <c r="H17">
        <v>107</v>
      </c>
      <c r="I17" s="9">
        <v>4</v>
      </c>
    </row>
    <row r="18" spans="1:9">
      <c r="A18" s="169">
        <f>74.5/3</f>
        <v>24.833333333333332</v>
      </c>
      <c r="B18" s="175" t="s">
        <v>3896</v>
      </c>
      <c r="C18" s="9">
        <v>3</v>
      </c>
      <c r="D18" s="9">
        <v>3</v>
      </c>
      <c r="E18" s="140" t="s">
        <v>3473</v>
      </c>
      <c r="F18" s="7" t="s">
        <v>2172</v>
      </c>
      <c r="G18" s="7">
        <v>0.99</v>
      </c>
      <c r="H18">
        <v>8</v>
      </c>
      <c r="I18" s="9">
        <v>2</v>
      </c>
    </row>
    <row r="19" spans="1:9">
      <c r="A19" s="169">
        <f>68.3/3</f>
        <v>22.766666666666666</v>
      </c>
      <c r="B19" s="175" t="s">
        <v>3897</v>
      </c>
      <c r="C19" s="9">
        <v>3</v>
      </c>
      <c r="D19" s="9">
        <v>3</v>
      </c>
      <c r="E19" s="140" t="s">
        <v>3474</v>
      </c>
      <c r="F19" s="7" t="s">
        <v>2171</v>
      </c>
      <c r="G19" s="7">
        <v>0.72</v>
      </c>
      <c r="H19">
        <v>7</v>
      </c>
      <c r="I19" s="9">
        <v>2</v>
      </c>
    </row>
    <row r="20" spans="1:9">
      <c r="A20" s="169">
        <f>45.9/3</f>
        <v>15.299999999999999</v>
      </c>
      <c r="B20" s="175" t="s">
        <v>3898</v>
      </c>
      <c r="C20" s="9">
        <v>3</v>
      </c>
      <c r="D20" s="9">
        <v>3</v>
      </c>
      <c r="E20" s="140" t="s">
        <v>3475</v>
      </c>
      <c r="F20" s="7" t="s">
        <v>2168</v>
      </c>
      <c r="G20" s="7">
        <v>1.43</v>
      </c>
      <c r="H20">
        <v>4</v>
      </c>
      <c r="I20" s="9">
        <v>2</v>
      </c>
    </row>
    <row r="21" spans="1:9">
      <c r="A21" s="169">
        <f>46.4/3</f>
        <v>15.466666666666667</v>
      </c>
      <c r="B21" s="175" t="s">
        <v>3899</v>
      </c>
      <c r="C21" s="9">
        <v>3</v>
      </c>
      <c r="D21" s="9">
        <v>3</v>
      </c>
      <c r="E21" s="140" t="s">
        <v>3476</v>
      </c>
      <c r="F21" s="7" t="s">
        <v>2169</v>
      </c>
      <c r="G21" s="7">
        <v>1.54</v>
      </c>
      <c r="H21">
        <v>5</v>
      </c>
      <c r="I21" s="9">
        <v>2</v>
      </c>
    </row>
    <row r="22" spans="1:9">
      <c r="A22" s="169">
        <f>51.2/5</f>
        <v>10.24</v>
      </c>
      <c r="B22" s="175" t="s">
        <v>3942</v>
      </c>
      <c r="C22" s="9">
        <v>5</v>
      </c>
      <c r="D22" s="9">
        <v>5</v>
      </c>
      <c r="E22" s="146" t="s">
        <v>3447</v>
      </c>
      <c r="F22" s="7" t="s">
        <v>2295</v>
      </c>
      <c r="G22" s="7">
        <v>1.18</v>
      </c>
      <c r="H22">
        <v>122</v>
      </c>
      <c r="I22" s="9">
        <v>4</v>
      </c>
    </row>
    <row r="23" spans="1:9">
      <c r="B23" s="174" t="s">
        <v>3940</v>
      </c>
      <c r="C23" s="9">
        <v>5</v>
      </c>
      <c r="D23" s="9">
        <v>5</v>
      </c>
      <c r="E23" s="146" t="s">
        <v>3447</v>
      </c>
      <c r="F23" s="7" t="s">
        <v>2250</v>
      </c>
      <c r="G23" s="7">
        <v>1.25</v>
      </c>
      <c r="H23">
        <v>128</v>
      </c>
      <c r="I23" s="9">
        <v>4</v>
      </c>
    </row>
    <row r="24" spans="1:9">
      <c r="A24" s="169">
        <f>50.9/5</f>
        <v>10.18</v>
      </c>
      <c r="B24" s="175" t="s">
        <v>3941</v>
      </c>
      <c r="C24" s="9">
        <v>5</v>
      </c>
      <c r="D24" s="9">
        <v>5</v>
      </c>
      <c r="E24" s="140" t="s">
        <v>3446</v>
      </c>
      <c r="F24" s="7" t="s">
        <v>2294</v>
      </c>
      <c r="G24" s="7">
        <v>1.18</v>
      </c>
      <c r="H24">
        <v>121</v>
      </c>
      <c r="I24" s="9">
        <v>4</v>
      </c>
    </row>
    <row r="25" spans="1:9">
      <c r="A25" s="169">
        <f>67/5</f>
        <v>13.4</v>
      </c>
      <c r="B25" s="171" t="s">
        <v>3490</v>
      </c>
      <c r="C25" s="9">
        <v>5</v>
      </c>
      <c r="D25" s="9">
        <v>5</v>
      </c>
      <c r="E25" s="140" t="s">
        <v>3453</v>
      </c>
      <c r="F25" s="7" t="s">
        <v>2252</v>
      </c>
      <c r="G25" s="7">
        <v>1.8</v>
      </c>
      <c r="H25">
        <v>130</v>
      </c>
      <c r="I25" s="9">
        <v>4</v>
      </c>
    </row>
    <row r="26" spans="1:9">
      <c r="A26" s="169">
        <f>59.6/5</f>
        <v>11.92</v>
      </c>
      <c r="B26" s="171" t="s">
        <v>3491</v>
      </c>
      <c r="C26" s="9">
        <v>5</v>
      </c>
      <c r="D26" s="9">
        <v>5</v>
      </c>
      <c r="E26" s="140" t="s">
        <v>3456</v>
      </c>
      <c r="F26" s="7" t="s">
        <v>2256</v>
      </c>
      <c r="G26" s="7">
        <v>2</v>
      </c>
      <c r="H26">
        <v>135</v>
      </c>
      <c r="I26" s="9">
        <v>4</v>
      </c>
    </row>
    <row r="27" spans="1:9">
      <c r="A27" s="169">
        <f>59.8/3</f>
        <v>19.933333333333334</v>
      </c>
      <c r="B27" s="171" t="s">
        <v>3492</v>
      </c>
      <c r="C27" s="9">
        <v>5</v>
      </c>
      <c r="D27" s="9">
        <v>5</v>
      </c>
      <c r="E27" s="140" t="s">
        <v>3429</v>
      </c>
      <c r="F27" s="7" t="s">
        <v>2288</v>
      </c>
      <c r="G27" s="7">
        <v>1.5</v>
      </c>
      <c r="H27">
        <v>98</v>
      </c>
      <c r="I27" s="9">
        <v>4</v>
      </c>
    </row>
    <row r="28" spans="1:9">
      <c r="A28" s="169">
        <f>36/5</f>
        <v>7.2</v>
      </c>
      <c r="B28" s="171" t="s">
        <v>3493</v>
      </c>
      <c r="C28" s="9">
        <v>5</v>
      </c>
      <c r="D28" s="9">
        <v>5</v>
      </c>
      <c r="E28" s="140" t="s">
        <v>3448</v>
      </c>
      <c r="F28" s="7" t="s">
        <v>2299</v>
      </c>
      <c r="G28" s="7">
        <v>1.1499999999999999</v>
      </c>
      <c r="H28">
        <v>127</v>
      </c>
      <c r="I28" s="9">
        <v>4</v>
      </c>
    </row>
    <row r="29" spans="1:9">
      <c r="A29" s="169">
        <f>40.4/5</f>
        <v>8.08</v>
      </c>
      <c r="B29" s="171" t="s">
        <v>3494</v>
      </c>
      <c r="C29" s="9">
        <v>5</v>
      </c>
      <c r="D29" s="9">
        <v>5</v>
      </c>
      <c r="E29" s="140" t="s">
        <v>3450</v>
      </c>
      <c r="F29" s="7" t="s">
        <v>2298</v>
      </c>
      <c r="G29" s="7">
        <v>1.1499999999999999</v>
      </c>
      <c r="H29">
        <v>126</v>
      </c>
      <c r="I29" s="9">
        <v>4</v>
      </c>
    </row>
    <row r="30" spans="1:9">
      <c r="A30" s="169">
        <f>58.3/5</f>
        <v>11.66</v>
      </c>
      <c r="B30" s="171" t="s">
        <v>3495</v>
      </c>
      <c r="C30" s="9">
        <v>5</v>
      </c>
      <c r="D30" s="9">
        <v>5</v>
      </c>
      <c r="E30" s="140" t="s">
        <v>3449</v>
      </c>
      <c r="F30" s="7" t="s">
        <v>2227</v>
      </c>
      <c r="G30" s="7">
        <v>3</v>
      </c>
      <c r="H30">
        <v>77</v>
      </c>
      <c r="I30" s="9">
        <v>3</v>
      </c>
    </row>
    <row r="31" spans="1:9">
      <c r="A31" s="169">
        <f>45.5/5</f>
        <v>9.1</v>
      </c>
      <c r="B31" s="171" t="s">
        <v>3496</v>
      </c>
      <c r="C31" s="9">
        <v>5</v>
      </c>
      <c r="D31" s="9">
        <v>5</v>
      </c>
      <c r="E31" s="140" t="s">
        <v>3430</v>
      </c>
      <c r="F31" s="7" t="s">
        <v>2234</v>
      </c>
      <c r="G31" s="7">
        <v>1.1000000000000001</v>
      </c>
      <c r="H31">
        <v>100</v>
      </c>
      <c r="I31" s="9">
        <v>4</v>
      </c>
    </row>
    <row r="32" spans="1:9">
      <c r="A32" s="169">
        <f>48.6/5</f>
        <v>9.7200000000000006</v>
      </c>
      <c r="B32" s="171" t="s">
        <v>3497</v>
      </c>
      <c r="C32" s="9">
        <v>5</v>
      </c>
      <c r="D32" s="9">
        <v>5</v>
      </c>
      <c r="E32" s="140" t="s">
        <v>3467</v>
      </c>
      <c r="F32" s="7" t="s">
        <v>2297</v>
      </c>
      <c r="G32" s="7">
        <v>0.63</v>
      </c>
      <c r="H32">
        <v>124</v>
      </c>
      <c r="I32" s="9">
        <v>4</v>
      </c>
    </row>
    <row r="33" spans="1:9">
      <c r="A33" s="169">
        <f>87.5/5</f>
        <v>17.5</v>
      </c>
      <c r="B33" s="171" t="s">
        <v>3498</v>
      </c>
      <c r="C33" s="9">
        <v>5</v>
      </c>
      <c r="D33" s="9">
        <v>5</v>
      </c>
      <c r="E33" s="147" t="s">
        <v>3452</v>
      </c>
      <c r="F33" s="7" t="s">
        <v>2255</v>
      </c>
      <c r="G33" s="7">
        <v>2.5</v>
      </c>
      <c r="H33">
        <v>134</v>
      </c>
      <c r="I33" s="9">
        <v>4</v>
      </c>
    </row>
    <row r="34" spans="1:9">
      <c r="A34" s="169">
        <f>80.5/5</f>
        <v>16.100000000000001</v>
      </c>
      <c r="B34" s="171" t="s">
        <v>3499</v>
      </c>
      <c r="C34" s="9">
        <v>5</v>
      </c>
      <c r="D34" s="9">
        <v>5</v>
      </c>
      <c r="E34" s="147" t="s">
        <v>3451</v>
      </c>
      <c r="F34" s="7" t="s">
        <v>2251</v>
      </c>
      <c r="G34" s="7">
        <v>2.5</v>
      </c>
      <c r="H34">
        <v>129</v>
      </c>
      <c r="I34" s="9">
        <v>4</v>
      </c>
    </row>
    <row r="35" spans="1:9">
      <c r="A35" s="169">
        <f>9.8/5</f>
        <v>1.9600000000000002</v>
      </c>
      <c r="B35" s="171" t="s">
        <v>3500</v>
      </c>
      <c r="C35" s="9">
        <v>5</v>
      </c>
      <c r="D35" s="9">
        <v>5</v>
      </c>
      <c r="E35" s="140" t="s">
        <v>3409</v>
      </c>
      <c r="F35" s="7" t="s">
        <v>2270</v>
      </c>
      <c r="G35" s="7">
        <v>0.16</v>
      </c>
      <c r="H35">
        <v>74</v>
      </c>
      <c r="I35" s="9">
        <v>3</v>
      </c>
    </row>
    <row r="36" spans="1:9">
      <c r="A36" s="169">
        <f>11.1/5</f>
        <v>2.2199999999999998</v>
      </c>
      <c r="B36" s="171" t="s">
        <v>3501</v>
      </c>
      <c r="C36" s="9">
        <v>5</v>
      </c>
      <c r="D36" s="9">
        <v>5</v>
      </c>
      <c r="E36" s="140" t="s">
        <v>3410</v>
      </c>
      <c r="F36" s="7" t="s">
        <v>2271</v>
      </c>
      <c r="G36" s="7">
        <v>0.17</v>
      </c>
      <c r="H36">
        <v>75</v>
      </c>
      <c r="I36" s="9">
        <v>3</v>
      </c>
    </row>
    <row r="37" spans="1:9">
      <c r="A37" s="169">
        <f>36/5</f>
        <v>7.2</v>
      </c>
      <c r="B37" s="171" t="s">
        <v>3502</v>
      </c>
      <c r="C37" s="9">
        <v>5</v>
      </c>
      <c r="D37" s="9">
        <v>5</v>
      </c>
      <c r="E37" s="140" t="s">
        <v>3459</v>
      </c>
      <c r="F37" s="7" t="s">
        <v>2243</v>
      </c>
      <c r="G37" s="7">
        <v>0.36</v>
      </c>
      <c r="H37">
        <v>112</v>
      </c>
      <c r="I37" s="9">
        <v>4</v>
      </c>
    </row>
    <row r="38" spans="1:9">
      <c r="A38" s="169">
        <f>35.5/5</f>
        <v>7.1</v>
      </c>
      <c r="B38" s="171" t="s">
        <v>3503</v>
      </c>
      <c r="C38" s="9">
        <v>5</v>
      </c>
      <c r="D38" s="9">
        <v>5</v>
      </c>
      <c r="E38" s="140" t="s">
        <v>3470</v>
      </c>
      <c r="F38" s="7" t="s">
        <v>2254</v>
      </c>
      <c r="G38" s="7">
        <v>0.65</v>
      </c>
      <c r="H38">
        <v>133</v>
      </c>
      <c r="I38" s="9">
        <v>4</v>
      </c>
    </row>
    <row r="39" spans="1:9">
      <c r="A39" s="169">
        <f>39.7/5</f>
        <v>7.94</v>
      </c>
      <c r="B39" s="171" t="s">
        <v>3504</v>
      </c>
      <c r="C39" s="9">
        <v>5</v>
      </c>
      <c r="D39" s="9">
        <v>5</v>
      </c>
      <c r="E39" s="140" t="s">
        <v>3460</v>
      </c>
      <c r="F39" s="7" t="s">
        <v>2225</v>
      </c>
      <c r="G39" s="7">
        <v>0.85</v>
      </c>
      <c r="H39">
        <v>72</v>
      </c>
      <c r="I39" s="9">
        <v>3</v>
      </c>
    </row>
    <row r="40" spans="1:9">
      <c r="A40" s="169">
        <f>35.5/5</f>
        <v>7.1</v>
      </c>
      <c r="B40" s="171" t="s">
        <v>3505</v>
      </c>
      <c r="C40" s="9">
        <v>5</v>
      </c>
      <c r="D40" s="9">
        <v>5</v>
      </c>
      <c r="E40" s="140" t="s">
        <v>3461</v>
      </c>
      <c r="F40" s="7" t="s">
        <v>2226</v>
      </c>
      <c r="G40" s="7">
        <v>0.6</v>
      </c>
      <c r="H40">
        <v>73</v>
      </c>
      <c r="I40" s="9">
        <v>3</v>
      </c>
    </row>
    <row r="41" spans="1:9">
      <c r="A41" s="169">
        <f>22.9/5</f>
        <v>4.58</v>
      </c>
      <c r="B41" s="171" t="s">
        <v>3506</v>
      </c>
      <c r="C41" s="9">
        <v>5</v>
      </c>
      <c r="D41" s="9">
        <v>5</v>
      </c>
      <c r="E41" s="140" t="s">
        <v>3455</v>
      </c>
      <c r="F41" s="7" t="s">
        <v>2300</v>
      </c>
      <c r="G41" s="7">
        <v>0.5</v>
      </c>
      <c r="H41">
        <v>132</v>
      </c>
      <c r="I41" s="9">
        <v>4</v>
      </c>
    </row>
    <row r="42" spans="1:9">
      <c r="A42" s="169">
        <f>33.1/5</f>
        <v>6.62</v>
      </c>
      <c r="B42" s="171" t="s">
        <v>3507</v>
      </c>
      <c r="C42" s="9">
        <v>5</v>
      </c>
      <c r="D42" s="9">
        <v>5</v>
      </c>
      <c r="E42" s="139" t="s">
        <v>3435</v>
      </c>
      <c r="F42" s="203" t="s">
        <v>5969</v>
      </c>
      <c r="G42" s="7">
        <v>0.36</v>
      </c>
      <c r="H42">
        <v>104</v>
      </c>
      <c r="I42" s="9">
        <v>4</v>
      </c>
    </row>
    <row r="43" spans="1:9">
      <c r="A43" s="169">
        <f>33.8/10</f>
        <v>3.38</v>
      </c>
      <c r="B43" s="171" t="s">
        <v>3508</v>
      </c>
      <c r="C43" s="9">
        <v>5</v>
      </c>
      <c r="D43" s="9">
        <v>5</v>
      </c>
      <c r="E43" s="146" t="s">
        <v>3454</v>
      </c>
      <c r="F43" s="7" t="s">
        <v>2223</v>
      </c>
      <c r="G43" s="7">
        <v>0.23</v>
      </c>
      <c r="H43">
        <v>70</v>
      </c>
      <c r="I43" s="9">
        <v>3</v>
      </c>
    </row>
    <row r="44" spans="1:9">
      <c r="B44" s="174" t="s">
        <v>3940</v>
      </c>
      <c r="C44" s="9">
        <v>5</v>
      </c>
      <c r="D44" s="9">
        <v>5</v>
      </c>
      <c r="E44" s="146" t="s">
        <v>3454</v>
      </c>
      <c r="F44" s="7" t="s">
        <v>2292</v>
      </c>
      <c r="G44" s="7">
        <v>0.2</v>
      </c>
      <c r="H44">
        <v>113</v>
      </c>
      <c r="I44" s="9">
        <v>4</v>
      </c>
    </row>
    <row r="45" spans="1:9">
      <c r="A45" s="169">
        <f>17.1/5</f>
        <v>3.4200000000000004</v>
      </c>
      <c r="B45" s="171" t="s">
        <v>3509</v>
      </c>
      <c r="C45" s="9">
        <v>5</v>
      </c>
      <c r="D45" s="9">
        <v>5</v>
      </c>
      <c r="E45" s="170" t="s">
        <v>3934</v>
      </c>
      <c r="F45" s="7" t="s">
        <v>2224</v>
      </c>
      <c r="G45" s="7">
        <v>0.38</v>
      </c>
      <c r="H45">
        <v>71</v>
      </c>
      <c r="I45" s="9">
        <v>3</v>
      </c>
    </row>
    <row r="46" spans="1:9">
      <c r="A46" s="169">
        <f>33.7/5</f>
        <v>6.74</v>
      </c>
      <c r="B46" s="171" t="s">
        <v>3510</v>
      </c>
      <c r="C46" s="9">
        <v>5</v>
      </c>
      <c r="D46" s="9">
        <v>5</v>
      </c>
      <c r="E46" s="139" t="s">
        <v>3436</v>
      </c>
      <c r="F46" s="7" t="s">
        <v>2289</v>
      </c>
      <c r="G46" s="7">
        <v>0.5</v>
      </c>
      <c r="H46">
        <v>105</v>
      </c>
      <c r="I46" s="9">
        <v>4</v>
      </c>
    </row>
    <row r="47" spans="1:9">
      <c r="A47" s="169">
        <v>23.1</v>
      </c>
      <c r="B47" s="171" t="s">
        <v>3511</v>
      </c>
      <c r="C47" s="9">
        <v>3</v>
      </c>
      <c r="D47" s="9">
        <v>3</v>
      </c>
      <c r="E47" s="170" t="s">
        <v>3932</v>
      </c>
      <c r="F47" s="7" t="s">
        <v>2167</v>
      </c>
      <c r="G47" s="7">
        <v>1.3</v>
      </c>
      <c r="H47">
        <v>1</v>
      </c>
      <c r="I47" s="9">
        <v>1</v>
      </c>
    </row>
    <row r="48" spans="1:9">
      <c r="A48" s="169">
        <v>17.3</v>
      </c>
      <c r="B48" s="171" t="s">
        <v>3512</v>
      </c>
      <c r="C48" s="9">
        <v>3</v>
      </c>
      <c r="D48" s="9">
        <v>3</v>
      </c>
      <c r="E48" s="170" t="s">
        <v>3933</v>
      </c>
      <c r="F48" s="7" t="s">
        <v>2217</v>
      </c>
      <c r="G48" s="7">
        <v>1.3</v>
      </c>
      <c r="H48">
        <v>53</v>
      </c>
      <c r="I48" s="9">
        <v>2</v>
      </c>
    </row>
    <row r="49" spans="1:9">
      <c r="A49" s="169">
        <v>51.5</v>
      </c>
      <c r="B49" s="171" t="s">
        <v>3513</v>
      </c>
      <c r="C49" s="9">
        <v>3</v>
      </c>
      <c r="D49" s="172">
        <v>4</v>
      </c>
      <c r="E49" s="170" t="s">
        <v>3875</v>
      </c>
      <c r="F49" s="7" t="s">
        <v>2198</v>
      </c>
      <c r="G49" s="7">
        <v>1.1000000000000001</v>
      </c>
      <c r="H49">
        <v>22</v>
      </c>
      <c r="I49" s="9">
        <v>2</v>
      </c>
    </row>
    <row r="50" spans="1:9">
      <c r="A50" s="169">
        <v>67</v>
      </c>
      <c r="B50" s="171" t="s">
        <v>3514</v>
      </c>
      <c r="C50" s="9">
        <v>3</v>
      </c>
      <c r="D50" s="9">
        <v>3</v>
      </c>
      <c r="E50" s="170" t="s">
        <v>3876</v>
      </c>
      <c r="F50" s="7" t="s">
        <v>2196</v>
      </c>
      <c r="G50" s="7">
        <v>1.5</v>
      </c>
      <c r="H50">
        <v>20</v>
      </c>
      <c r="I50" s="9">
        <v>2</v>
      </c>
    </row>
    <row r="51" spans="1:9">
      <c r="A51" s="169">
        <f>7.4/5</f>
        <v>1.48</v>
      </c>
      <c r="B51" s="115" t="s">
        <v>3863</v>
      </c>
      <c r="C51" s="9">
        <v>5</v>
      </c>
      <c r="D51" s="9">
        <v>5</v>
      </c>
      <c r="E51" s="140" t="s">
        <v>3471</v>
      </c>
      <c r="F51" s="7" t="s">
        <v>2291</v>
      </c>
      <c r="G51" s="7">
        <v>4.8</v>
      </c>
      <c r="H51">
        <v>108</v>
      </c>
      <c r="I51" s="9">
        <v>4</v>
      </c>
    </row>
    <row r="52" spans="1:9">
      <c r="A52" s="169">
        <f>7.7/5</f>
        <v>1.54</v>
      </c>
      <c r="B52" s="115" t="s">
        <v>3864</v>
      </c>
      <c r="C52" s="9">
        <v>5</v>
      </c>
      <c r="D52" s="9">
        <f>387/A52</f>
        <v>251.2987012987013</v>
      </c>
      <c r="E52" s="146" t="s">
        <v>3866</v>
      </c>
      <c r="F52" s="168" t="s">
        <v>3869</v>
      </c>
      <c r="G52" s="7">
        <v>3.5</v>
      </c>
      <c r="H52">
        <v>114</v>
      </c>
      <c r="I52" s="9">
        <v>4</v>
      </c>
    </row>
    <row r="53" spans="1:9">
      <c r="A53" s="169">
        <f>7.6/5</f>
        <v>1.52</v>
      </c>
      <c r="B53" s="115" t="s">
        <v>3865</v>
      </c>
      <c r="C53" s="9">
        <v>5</v>
      </c>
      <c r="D53" s="9">
        <f>381.6/A53</f>
        <v>251.05263157894737</v>
      </c>
      <c r="E53" s="146" t="s">
        <v>3867</v>
      </c>
      <c r="F53" s="7"/>
      <c r="G53" s="7">
        <v>0.76</v>
      </c>
      <c r="I53" s="9">
        <v>4</v>
      </c>
    </row>
    <row r="54" spans="1:9">
      <c r="A54" s="169">
        <v>33.1</v>
      </c>
      <c r="B54" s="171" t="s">
        <v>3591</v>
      </c>
      <c r="C54" s="9">
        <v>5</v>
      </c>
      <c r="D54" s="9">
        <v>5</v>
      </c>
      <c r="E54" s="140" t="s">
        <v>3462</v>
      </c>
      <c r="F54" s="7" t="s">
        <v>2281</v>
      </c>
      <c r="G54" s="7">
        <v>3</v>
      </c>
      <c r="H54">
        <v>88</v>
      </c>
      <c r="I54" s="9">
        <v>3</v>
      </c>
    </row>
    <row r="55" spans="1:9">
      <c r="A55" s="169">
        <v>8.5</v>
      </c>
      <c r="B55" s="171" t="s">
        <v>3515</v>
      </c>
      <c r="C55" s="9">
        <v>5</v>
      </c>
      <c r="D55" s="9">
        <v>5</v>
      </c>
      <c r="E55" s="140" t="s">
        <v>3424</v>
      </c>
      <c r="F55" s="7" t="s">
        <v>2280</v>
      </c>
      <c r="G55" s="7">
        <v>0.75</v>
      </c>
      <c r="H55">
        <v>87</v>
      </c>
      <c r="I55" s="9">
        <v>3</v>
      </c>
    </row>
    <row r="56" spans="1:9">
      <c r="A56" s="169">
        <v>8.1</v>
      </c>
      <c r="B56" s="171" t="s">
        <v>3516</v>
      </c>
      <c r="C56" s="9">
        <v>5</v>
      </c>
      <c r="D56" s="9">
        <v>5</v>
      </c>
      <c r="E56" s="140" t="s">
        <v>3411</v>
      </c>
      <c r="F56" s="7" t="s">
        <v>2272</v>
      </c>
      <c r="G56" s="7">
        <v>0.86</v>
      </c>
      <c r="H56">
        <v>76</v>
      </c>
      <c r="I56" s="9">
        <v>3</v>
      </c>
    </row>
    <row r="57" spans="1:9">
      <c r="A57" s="169">
        <v>24.2</v>
      </c>
      <c r="B57" s="171" t="s">
        <v>3517</v>
      </c>
      <c r="C57" s="9">
        <v>3</v>
      </c>
      <c r="D57" s="9">
        <v>3</v>
      </c>
      <c r="E57" s="140" t="s">
        <v>3472</v>
      </c>
      <c r="F57" s="7" t="s">
        <v>2170</v>
      </c>
      <c r="G57" s="7">
        <v>0.88</v>
      </c>
      <c r="H57">
        <v>6</v>
      </c>
      <c r="I57" s="9">
        <v>2</v>
      </c>
    </row>
    <row r="58" spans="1:9">
      <c r="A58" s="169">
        <v>66</v>
      </c>
      <c r="B58" s="171" t="s">
        <v>3518</v>
      </c>
      <c r="C58" s="9">
        <v>3</v>
      </c>
      <c r="D58" s="9">
        <v>3</v>
      </c>
      <c r="E58" s="170" t="s">
        <v>3926</v>
      </c>
      <c r="F58" s="7" t="s">
        <v>2191</v>
      </c>
      <c r="G58" s="7">
        <v>1.82</v>
      </c>
      <c r="H58">
        <v>15</v>
      </c>
      <c r="I58" s="9">
        <v>2</v>
      </c>
    </row>
    <row r="59" spans="1:9">
      <c r="A59" s="169">
        <v>49.5</v>
      </c>
      <c r="B59" s="171" t="s">
        <v>3519</v>
      </c>
      <c r="C59" s="9">
        <v>3</v>
      </c>
      <c r="D59" s="9">
        <v>3</v>
      </c>
      <c r="E59" s="170" t="s">
        <v>3924</v>
      </c>
      <c r="F59" s="7" t="s">
        <v>2192</v>
      </c>
      <c r="G59" s="7">
        <v>2.5</v>
      </c>
      <c r="H59">
        <v>16</v>
      </c>
      <c r="I59" s="9">
        <v>2</v>
      </c>
    </row>
    <row r="60" spans="1:9">
      <c r="A60" s="169">
        <v>71</v>
      </c>
      <c r="B60" s="171" t="s">
        <v>3520</v>
      </c>
      <c r="C60" s="9">
        <v>3</v>
      </c>
      <c r="D60" s="9">
        <v>3</v>
      </c>
      <c r="E60" s="170" t="s">
        <v>3925</v>
      </c>
      <c r="F60" s="7" t="s">
        <v>2193</v>
      </c>
      <c r="G60" s="7">
        <v>1.6</v>
      </c>
      <c r="H60">
        <v>17</v>
      </c>
      <c r="I60" s="9">
        <v>2</v>
      </c>
    </row>
    <row r="61" spans="1:9">
      <c r="A61" s="169">
        <v>7.6</v>
      </c>
      <c r="B61" s="175" t="s">
        <v>3907</v>
      </c>
      <c r="C61" s="9">
        <v>3</v>
      </c>
      <c r="D61" s="9">
        <v>3</v>
      </c>
      <c r="E61" s="140" t="s">
        <v>3413</v>
      </c>
      <c r="F61" s="7" t="s">
        <v>2229</v>
      </c>
      <c r="G61" s="7">
        <v>0.5</v>
      </c>
      <c r="H61">
        <v>80</v>
      </c>
      <c r="I61" s="9">
        <v>3</v>
      </c>
    </row>
    <row r="62" spans="1:9">
      <c r="A62" s="169">
        <f>186.2/5</f>
        <v>37.239999999999995</v>
      </c>
      <c r="B62" s="171" t="s">
        <v>3521</v>
      </c>
      <c r="C62" s="9">
        <v>5</v>
      </c>
      <c r="D62" s="9">
        <v>5</v>
      </c>
      <c r="E62" s="170" t="s">
        <v>3880</v>
      </c>
      <c r="F62" s="168" t="s">
        <v>3879</v>
      </c>
      <c r="G62" s="7">
        <v>2.04</v>
      </c>
      <c r="H62">
        <v>64</v>
      </c>
      <c r="I62" s="9">
        <v>3</v>
      </c>
    </row>
    <row r="63" spans="1:9">
      <c r="A63" s="169">
        <f>190.2/5</f>
        <v>38.04</v>
      </c>
      <c r="B63" s="171" t="s">
        <v>3522</v>
      </c>
      <c r="C63" s="9">
        <v>5</v>
      </c>
      <c r="D63" s="9">
        <v>5</v>
      </c>
      <c r="E63" s="170" t="s">
        <v>3881</v>
      </c>
      <c r="F63" s="7" t="s">
        <v>2265</v>
      </c>
      <c r="G63" s="7">
        <v>1.85</v>
      </c>
      <c r="H63">
        <v>65</v>
      </c>
      <c r="I63" s="9">
        <v>3</v>
      </c>
    </row>
    <row r="64" spans="1:9">
      <c r="A64" s="169">
        <f>154.6/5</f>
        <v>30.919999999999998</v>
      </c>
      <c r="B64" s="171" t="s">
        <v>3523</v>
      </c>
      <c r="C64" s="9">
        <v>5</v>
      </c>
      <c r="D64" s="9">
        <v>5</v>
      </c>
      <c r="E64" s="170" t="s">
        <v>3882</v>
      </c>
      <c r="F64" s="7" t="s">
        <v>2267</v>
      </c>
      <c r="G64" s="7">
        <v>1.6</v>
      </c>
      <c r="H64">
        <v>67</v>
      </c>
      <c r="I64" s="9">
        <v>3</v>
      </c>
    </row>
    <row r="65" spans="1:9">
      <c r="A65" s="169">
        <f>108/5</f>
        <v>21.6</v>
      </c>
      <c r="B65" s="171" t="s">
        <v>3524</v>
      </c>
      <c r="C65" s="9">
        <v>5</v>
      </c>
      <c r="D65" s="9">
        <v>5</v>
      </c>
      <c r="E65" s="170" t="s">
        <v>3887</v>
      </c>
      <c r="F65" s="7" t="s">
        <v>2266</v>
      </c>
      <c r="G65" s="7">
        <v>1.65</v>
      </c>
      <c r="H65">
        <v>66</v>
      </c>
      <c r="I65" s="9">
        <v>3</v>
      </c>
    </row>
    <row r="66" spans="1:9">
      <c r="A66" s="169">
        <v>77.900000000000006</v>
      </c>
      <c r="B66" s="171" t="s">
        <v>3525</v>
      </c>
      <c r="C66" s="9">
        <v>5</v>
      </c>
      <c r="D66" s="9">
        <v>5</v>
      </c>
      <c r="E66" s="170" t="s">
        <v>3883</v>
      </c>
      <c r="F66" s="168" t="s">
        <v>3886</v>
      </c>
      <c r="G66" s="7">
        <v>3</v>
      </c>
      <c r="H66">
        <v>63</v>
      </c>
      <c r="I66" s="9">
        <v>3</v>
      </c>
    </row>
    <row r="67" spans="1:9">
      <c r="A67" s="169">
        <f>156.2/5</f>
        <v>31.24</v>
      </c>
      <c r="B67" s="171" t="s">
        <v>3526</v>
      </c>
      <c r="C67" s="9">
        <v>5</v>
      </c>
      <c r="D67" s="9">
        <v>5</v>
      </c>
      <c r="E67" s="170" t="s">
        <v>3884</v>
      </c>
      <c r="F67" s="7" t="s">
        <v>2268</v>
      </c>
      <c r="G67" s="7">
        <v>1.76</v>
      </c>
      <c r="H67">
        <v>68</v>
      </c>
      <c r="I67" s="9">
        <v>3</v>
      </c>
    </row>
    <row r="68" spans="1:9">
      <c r="A68" s="169">
        <f>92.5/3</f>
        <v>30.833333333333332</v>
      </c>
      <c r="B68" s="171" t="s">
        <v>3527</v>
      </c>
      <c r="C68" s="9">
        <v>6</v>
      </c>
      <c r="D68" s="9">
        <v>3</v>
      </c>
      <c r="E68" s="170" t="s">
        <v>3891</v>
      </c>
      <c r="F68" s="168" t="s">
        <v>3908</v>
      </c>
      <c r="G68" s="7">
        <v>0.5</v>
      </c>
      <c r="H68">
        <v>28</v>
      </c>
      <c r="I68" s="9">
        <v>2</v>
      </c>
    </row>
    <row r="69" spans="1:9">
      <c r="A69" s="169">
        <v>81.3</v>
      </c>
      <c r="B69" s="171" t="s">
        <v>3528</v>
      </c>
      <c r="C69" s="9">
        <v>6</v>
      </c>
      <c r="D69" s="9">
        <v>3</v>
      </c>
      <c r="E69" s="173" t="s">
        <v>3889</v>
      </c>
      <c r="F69" s="168" t="s">
        <v>3888</v>
      </c>
      <c r="G69" s="7">
        <v>2</v>
      </c>
      <c r="H69">
        <v>45</v>
      </c>
      <c r="I69" s="9">
        <v>2</v>
      </c>
    </row>
    <row r="70" spans="1:9">
      <c r="A70" s="169">
        <v>84.5</v>
      </c>
      <c r="B70" s="171" t="s">
        <v>3529</v>
      </c>
      <c r="C70" s="9">
        <v>6</v>
      </c>
      <c r="D70" s="9">
        <v>3</v>
      </c>
      <c r="E70" s="173" t="s">
        <v>3890</v>
      </c>
      <c r="F70" s="168"/>
      <c r="G70" s="7">
        <v>2</v>
      </c>
      <c r="I70" s="9">
        <v>2</v>
      </c>
    </row>
    <row r="71" spans="1:9">
      <c r="A71" s="169">
        <v>2.9</v>
      </c>
      <c r="B71" s="175" t="s">
        <v>3900</v>
      </c>
      <c r="C71" s="9">
        <v>6</v>
      </c>
      <c r="D71" s="9">
        <v>3</v>
      </c>
      <c r="E71" s="170" t="s">
        <v>3923</v>
      </c>
      <c r="F71" s="7" t="s">
        <v>2200</v>
      </c>
      <c r="G71" s="7">
        <v>0.15</v>
      </c>
      <c r="H71">
        <v>24</v>
      </c>
      <c r="I71" s="9">
        <v>2</v>
      </c>
    </row>
    <row r="72" spans="1:9">
      <c r="A72" s="169">
        <v>5.4</v>
      </c>
      <c r="B72" s="175" t="s">
        <v>3901</v>
      </c>
      <c r="C72" s="9">
        <v>6</v>
      </c>
      <c r="D72" s="9">
        <v>3</v>
      </c>
      <c r="E72" s="170" t="s">
        <v>3922</v>
      </c>
      <c r="F72" s="7" t="s">
        <v>2181</v>
      </c>
      <c r="G72" s="7">
        <v>0.22</v>
      </c>
      <c r="H72">
        <v>30</v>
      </c>
      <c r="I72" s="9">
        <v>2</v>
      </c>
    </row>
    <row r="73" spans="1:9">
      <c r="A73" s="169">
        <v>4.7</v>
      </c>
      <c r="B73" s="175" t="s">
        <v>3488</v>
      </c>
      <c r="C73" s="9">
        <v>6</v>
      </c>
      <c r="D73" s="9">
        <v>3</v>
      </c>
      <c r="E73" s="170" t="s">
        <v>3921</v>
      </c>
      <c r="F73" s="7" t="s">
        <v>2178</v>
      </c>
      <c r="G73" s="7">
        <v>0.2</v>
      </c>
      <c r="H73">
        <v>27</v>
      </c>
      <c r="I73" s="9">
        <v>2</v>
      </c>
    </row>
    <row r="74" spans="1:9">
      <c r="A74" s="169">
        <v>6.8</v>
      </c>
      <c r="B74" s="175" t="s">
        <v>3902</v>
      </c>
      <c r="C74" s="9">
        <v>6</v>
      </c>
      <c r="D74" s="9">
        <v>3</v>
      </c>
      <c r="E74" s="170" t="s">
        <v>3920</v>
      </c>
      <c r="F74" s="7" t="s">
        <v>2176</v>
      </c>
      <c r="G74" s="7">
        <v>0.18</v>
      </c>
      <c r="H74">
        <v>25</v>
      </c>
      <c r="I74" s="9">
        <v>2</v>
      </c>
    </row>
    <row r="75" spans="1:9">
      <c r="A75" s="169">
        <v>13</v>
      </c>
      <c r="B75" s="175" t="s">
        <v>3909</v>
      </c>
      <c r="C75" s="9">
        <v>6</v>
      </c>
      <c r="D75" s="9">
        <v>3</v>
      </c>
      <c r="E75" s="170" t="s">
        <v>3916</v>
      </c>
      <c r="F75" s="7" t="s">
        <v>2187</v>
      </c>
      <c r="G75" s="7">
        <v>0.18</v>
      </c>
      <c r="H75">
        <v>46</v>
      </c>
      <c r="I75" s="9">
        <v>2</v>
      </c>
    </row>
    <row r="76" spans="1:9">
      <c r="A76" s="169">
        <v>16.5</v>
      </c>
      <c r="B76" s="175" t="s">
        <v>3912</v>
      </c>
      <c r="C76" s="9">
        <v>6</v>
      </c>
      <c r="D76" s="9">
        <v>3</v>
      </c>
      <c r="E76" s="173" t="s">
        <v>3894</v>
      </c>
      <c r="F76" s="168" t="s">
        <v>3911</v>
      </c>
      <c r="G76" s="7">
        <v>0.85</v>
      </c>
      <c r="H76">
        <v>2</v>
      </c>
      <c r="I76" s="9">
        <v>1</v>
      </c>
    </row>
    <row r="77" spans="1:9">
      <c r="A77" s="169">
        <v>18.2</v>
      </c>
      <c r="B77" s="175" t="s">
        <v>3913</v>
      </c>
      <c r="C77" s="9">
        <v>6</v>
      </c>
      <c r="D77" s="9">
        <v>3</v>
      </c>
      <c r="E77" s="173" t="s">
        <v>3895</v>
      </c>
      <c r="F77" s="7"/>
      <c r="G77" s="7">
        <v>0.85</v>
      </c>
      <c r="I77" s="9">
        <v>1</v>
      </c>
    </row>
    <row r="78" spans="1:9">
      <c r="A78" s="169">
        <v>22.2</v>
      </c>
      <c r="B78" s="175" t="s">
        <v>3910</v>
      </c>
      <c r="C78" s="9">
        <v>6</v>
      </c>
      <c r="D78" s="9">
        <v>3</v>
      </c>
      <c r="E78" s="170" t="s">
        <v>3915</v>
      </c>
      <c r="F78" s="7" t="s">
        <v>2166</v>
      </c>
      <c r="G78" s="7">
        <v>0.3</v>
      </c>
      <c r="H78">
        <v>3</v>
      </c>
      <c r="I78" s="9">
        <v>1</v>
      </c>
    </row>
    <row r="79" spans="1:9">
      <c r="A79" s="169">
        <v>32.700000000000003</v>
      </c>
      <c r="B79" s="175" t="s">
        <v>3530</v>
      </c>
      <c r="C79" s="9">
        <v>6</v>
      </c>
      <c r="D79" s="9">
        <v>3</v>
      </c>
      <c r="E79" s="173" t="s">
        <v>3892</v>
      </c>
      <c r="F79" s="7" t="s">
        <v>2184</v>
      </c>
      <c r="G79" s="7">
        <v>0.8</v>
      </c>
      <c r="H79">
        <v>41</v>
      </c>
      <c r="I79" s="9">
        <v>2</v>
      </c>
    </row>
    <row r="80" spans="1:9">
      <c r="A80" s="169">
        <v>32</v>
      </c>
      <c r="B80" s="175" t="s">
        <v>3531</v>
      </c>
      <c r="C80" s="9">
        <v>6</v>
      </c>
      <c r="D80" s="9">
        <v>3</v>
      </c>
      <c r="E80" s="173" t="s">
        <v>3893</v>
      </c>
      <c r="F80" s="7"/>
      <c r="G80" s="7">
        <v>0.8</v>
      </c>
      <c r="I80" s="9">
        <v>2</v>
      </c>
    </row>
    <row r="81" spans="1:9">
      <c r="A81" s="169">
        <v>26.9</v>
      </c>
      <c r="B81" s="175" t="s">
        <v>3914</v>
      </c>
      <c r="C81" s="9">
        <v>20</v>
      </c>
      <c r="D81" s="9">
        <v>4</v>
      </c>
      <c r="E81" s="140" t="s">
        <v>3532</v>
      </c>
      <c r="F81" s="141" t="s">
        <v>3395</v>
      </c>
      <c r="G81" s="7">
        <v>0.3</v>
      </c>
      <c r="H81">
        <v>26</v>
      </c>
      <c r="I81" s="9">
        <v>2</v>
      </c>
    </row>
    <row r="82" spans="1:9">
      <c r="A82" s="169">
        <v>30.2</v>
      </c>
      <c r="B82" s="175" t="s">
        <v>3903</v>
      </c>
      <c r="C82" s="9">
        <v>20</v>
      </c>
      <c r="D82" s="9">
        <v>4</v>
      </c>
      <c r="E82" s="140" t="s">
        <v>3533</v>
      </c>
      <c r="F82" s="7" t="s">
        <v>2180</v>
      </c>
      <c r="G82" s="7">
        <v>0.44</v>
      </c>
      <c r="H82">
        <v>29</v>
      </c>
      <c r="I82" s="9">
        <v>2</v>
      </c>
    </row>
    <row r="83" spans="1:9">
      <c r="A83" s="169">
        <v>7.4</v>
      </c>
      <c r="B83" s="175" t="s">
        <v>3904</v>
      </c>
      <c r="C83" s="9">
        <v>10</v>
      </c>
      <c r="D83" s="9">
        <v>5</v>
      </c>
      <c r="E83" s="170" t="s">
        <v>3917</v>
      </c>
      <c r="F83" s="7" t="s">
        <v>2215</v>
      </c>
      <c r="G83" s="7">
        <v>0.13</v>
      </c>
      <c r="H83">
        <v>51</v>
      </c>
      <c r="I83" s="9">
        <v>2</v>
      </c>
    </row>
    <row r="84" spans="1:9">
      <c r="A84" s="169">
        <v>4.0999999999999996</v>
      </c>
      <c r="B84" s="175" t="s">
        <v>3906</v>
      </c>
      <c r="C84" s="9">
        <v>10</v>
      </c>
      <c r="D84" s="9">
        <v>5</v>
      </c>
      <c r="E84" s="170" t="s">
        <v>3918</v>
      </c>
      <c r="F84" s="7" t="s">
        <v>2214</v>
      </c>
      <c r="G84" s="7">
        <v>0.08</v>
      </c>
      <c r="H84">
        <v>50</v>
      </c>
      <c r="I84" s="9">
        <v>2</v>
      </c>
    </row>
    <row r="85" spans="1:9">
      <c r="A85" s="169">
        <v>3</v>
      </c>
      <c r="B85" s="175" t="s">
        <v>3905</v>
      </c>
      <c r="C85" s="9">
        <v>10</v>
      </c>
      <c r="D85" s="9">
        <v>5</v>
      </c>
      <c r="E85" s="170" t="s">
        <v>3919</v>
      </c>
      <c r="F85" s="7" t="s">
        <v>2213</v>
      </c>
      <c r="G85" s="7">
        <v>0.1</v>
      </c>
      <c r="H85">
        <v>49</v>
      </c>
      <c r="I85" s="9">
        <v>2</v>
      </c>
    </row>
    <row r="86" spans="1:9">
      <c r="A86" s="169">
        <f>6.7/3</f>
        <v>2.2333333333333334</v>
      </c>
      <c r="B86" s="171" t="s">
        <v>3535</v>
      </c>
      <c r="C86" s="9">
        <v>3</v>
      </c>
      <c r="D86" s="9">
        <v>3</v>
      </c>
      <c r="E86" s="173" t="s">
        <v>3943</v>
      </c>
      <c r="F86" s="7" t="s">
        <v>2212</v>
      </c>
      <c r="G86" s="7">
        <v>1.4</v>
      </c>
      <c r="H86">
        <v>48</v>
      </c>
      <c r="I86" s="9">
        <v>2</v>
      </c>
    </row>
    <row r="87" spans="1:9">
      <c r="A87" s="169">
        <f>6.7/3</f>
        <v>2.2333333333333334</v>
      </c>
      <c r="B87" s="171" t="s">
        <v>3536</v>
      </c>
      <c r="C87" s="9">
        <v>3</v>
      </c>
      <c r="D87" s="9">
        <v>3</v>
      </c>
      <c r="E87" s="173" t="s">
        <v>3944</v>
      </c>
      <c r="F87" s="7"/>
      <c r="G87" s="7">
        <v>1.4</v>
      </c>
      <c r="I87" s="9">
        <v>2</v>
      </c>
    </row>
    <row r="88" spans="1:9">
      <c r="A88" s="169">
        <f>21.6/3</f>
        <v>7.2</v>
      </c>
      <c r="B88" s="171" t="s">
        <v>3537</v>
      </c>
      <c r="C88" s="9">
        <v>3</v>
      </c>
      <c r="D88" s="9">
        <v>3</v>
      </c>
      <c r="E88" s="173" t="s">
        <v>3945</v>
      </c>
      <c r="F88" s="7" t="s">
        <v>2173</v>
      </c>
      <c r="G88" s="7">
        <v>0.7</v>
      </c>
      <c r="H88">
        <v>9</v>
      </c>
      <c r="I88" s="9">
        <v>2</v>
      </c>
    </row>
    <row r="89" spans="1:9">
      <c r="A89" s="169">
        <f>21.6/3</f>
        <v>7.2</v>
      </c>
      <c r="B89" s="171" t="s">
        <v>3538</v>
      </c>
      <c r="C89" s="9">
        <v>3</v>
      </c>
      <c r="D89" s="9">
        <v>3</v>
      </c>
      <c r="E89" s="173" t="s">
        <v>3946</v>
      </c>
      <c r="F89" s="7"/>
      <c r="G89" s="7">
        <v>0.7</v>
      </c>
      <c r="I89" s="9">
        <v>2</v>
      </c>
    </row>
    <row r="90" spans="1:9">
      <c r="A90" s="169">
        <f>18.6/3</f>
        <v>6.2</v>
      </c>
      <c r="B90" s="171" t="s">
        <v>3539</v>
      </c>
      <c r="C90" s="9">
        <v>6</v>
      </c>
      <c r="D90" s="9">
        <v>3</v>
      </c>
      <c r="E90" s="170" t="s">
        <v>3947</v>
      </c>
      <c r="F90" s="7" t="s">
        <v>2188</v>
      </c>
      <c r="G90" s="7">
        <v>0.3</v>
      </c>
      <c r="H90">
        <v>10</v>
      </c>
      <c r="I90" s="9">
        <v>2</v>
      </c>
    </row>
    <row r="91" spans="1:9">
      <c r="A91" s="169">
        <v>5.4</v>
      </c>
      <c r="B91" s="171" t="s">
        <v>3540</v>
      </c>
      <c r="C91" s="9">
        <v>6</v>
      </c>
      <c r="D91" s="9">
        <v>3</v>
      </c>
      <c r="E91" s="170" t="s">
        <v>3948</v>
      </c>
      <c r="F91" s="141" t="s">
        <v>3394</v>
      </c>
      <c r="G91" s="7">
        <v>0.21</v>
      </c>
      <c r="H91">
        <v>11</v>
      </c>
      <c r="I91" s="9">
        <v>2</v>
      </c>
    </row>
    <row r="92" spans="1:9">
      <c r="A92" s="169">
        <v>16.2</v>
      </c>
      <c r="B92" s="171" t="s">
        <v>3541</v>
      </c>
      <c r="C92" s="9">
        <v>6</v>
      </c>
      <c r="D92" s="9">
        <v>3</v>
      </c>
      <c r="E92" s="173" t="s">
        <v>3949</v>
      </c>
      <c r="F92" s="168" t="s">
        <v>3951</v>
      </c>
      <c r="G92" s="7">
        <v>3</v>
      </c>
      <c r="H92">
        <v>13</v>
      </c>
      <c r="I92" s="9">
        <v>2</v>
      </c>
    </row>
    <row r="93" spans="1:9">
      <c r="A93" s="169">
        <v>16.2</v>
      </c>
      <c r="B93" s="171" t="s">
        <v>3542</v>
      </c>
      <c r="C93" s="9">
        <v>6</v>
      </c>
      <c r="D93" s="9">
        <v>3</v>
      </c>
      <c r="E93" s="173" t="s">
        <v>3950</v>
      </c>
      <c r="F93" s="7"/>
      <c r="G93" s="7">
        <v>3</v>
      </c>
      <c r="I93" s="9">
        <v>2</v>
      </c>
    </row>
    <row r="94" spans="1:9">
      <c r="A94" s="169">
        <v>11.1</v>
      </c>
      <c r="B94" s="171" t="s">
        <v>3543</v>
      </c>
      <c r="C94" s="9">
        <v>6</v>
      </c>
      <c r="D94" s="9">
        <v>3</v>
      </c>
      <c r="E94" s="173" t="s">
        <v>3952</v>
      </c>
      <c r="F94" s="7" t="s">
        <v>2210</v>
      </c>
      <c r="G94" s="7">
        <v>1.5</v>
      </c>
      <c r="H94">
        <v>44</v>
      </c>
      <c r="I94" s="9">
        <v>2</v>
      </c>
    </row>
    <row r="95" spans="1:9">
      <c r="A95" s="169">
        <v>11</v>
      </c>
      <c r="B95" s="171" t="s">
        <v>3544</v>
      </c>
      <c r="C95" s="9">
        <v>6</v>
      </c>
      <c r="D95" s="9">
        <v>3</v>
      </c>
      <c r="E95" s="173" t="s">
        <v>3953</v>
      </c>
      <c r="F95" s="7"/>
      <c r="G95" s="7">
        <v>1.5</v>
      </c>
      <c r="I95" s="9">
        <v>2</v>
      </c>
    </row>
    <row r="96" spans="1:9">
      <c r="A96" s="169">
        <v>10.199999999999999</v>
      </c>
      <c r="B96" s="171" t="s">
        <v>3545</v>
      </c>
      <c r="C96" s="9">
        <v>6</v>
      </c>
      <c r="D96" s="9">
        <v>3</v>
      </c>
      <c r="E96" s="173" t="s">
        <v>3954</v>
      </c>
      <c r="F96" s="7" t="s">
        <v>2205</v>
      </c>
      <c r="G96" s="7">
        <v>3.3</v>
      </c>
      <c r="H96">
        <v>35</v>
      </c>
      <c r="I96" s="9">
        <v>2</v>
      </c>
    </row>
    <row r="97" spans="1:9">
      <c r="A97" s="169">
        <v>10.199999999999999</v>
      </c>
      <c r="B97" s="171" t="s">
        <v>3546</v>
      </c>
      <c r="C97" s="9">
        <v>6</v>
      </c>
      <c r="D97" s="9">
        <v>3</v>
      </c>
      <c r="E97" s="173" t="s">
        <v>3955</v>
      </c>
      <c r="F97" s="7"/>
      <c r="G97" s="7">
        <v>3.3</v>
      </c>
      <c r="I97" s="9">
        <v>2</v>
      </c>
    </row>
    <row r="98" spans="1:9">
      <c r="A98" s="169">
        <v>12.8</v>
      </c>
      <c r="B98" s="171" t="s">
        <v>3547</v>
      </c>
      <c r="C98" s="9">
        <v>6</v>
      </c>
      <c r="D98" s="9">
        <v>3</v>
      </c>
      <c r="E98" s="173" t="s">
        <v>3973</v>
      </c>
      <c r="F98" s="168" t="s">
        <v>3956</v>
      </c>
      <c r="G98" s="7">
        <v>3.2</v>
      </c>
      <c r="H98">
        <v>43</v>
      </c>
      <c r="I98" s="9">
        <v>2</v>
      </c>
    </row>
    <row r="99" spans="1:9">
      <c r="A99" s="169">
        <v>12.6</v>
      </c>
      <c r="B99" s="171" t="s">
        <v>3548</v>
      </c>
      <c r="C99" s="9">
        <v>6</v>
      </c>
      <c r="D99" s="9">
        <v>3</v>
      </c>
      <c r="E99" s="173" t="s">
        <v>3974</v>
      </c>
      <c r="F99" s="168"/>
      <c r="G99" s="7">
        <v>3.2</v>
      </c>
      <c r="I99" s="9">
        <v>2</v>
      </c>
    </row>
    <row r="100" spans="1:9">
      <c r="A100" s="169">
        <v>7</v>
      </c>
      <c r="B100" s="171" t="s">
        <v>3549</v>
      </c>
      <c r="C100" s="9">
        <v>6</v>
      </c>
      <c r="D100" s="9">
        <v>3</v>
      </c>
      <c r="E100" s="173" t="s">
        <v>3957</v>
      </c>
      <c r="F100" s="7" t="s">
        <v>2183</v>
      </c>
      <c r="G100" s="7">
        <v>3</v>
      </c>
      <c r="H100">
        <v>39</v>
      </c>
      <c r="I100" s="9">
        <v>2</v>
      </c>
    </row>
    <row r="101" spans="1:9">
      <c r="A101" s="169">
        <v>6.6</v>
      </c>
      <c r="B101" s="171" t="s">
        <v>3550</v>
      </c>
      <c r="C101" s="9">
        <v>6</v>
      </c>
      <c r="D101" s="9">
        <v>3</v>
      </c>
      <c r="E101" s="173" t="s">
        <v>3958</v>
      </c>
      <c r="F101" s="7"/>
      <c r="G101" s="7">
        <v>3</v>
      </c>
      <c r="I101" s="9">
        <v>2</v>
      </c>
    </row>
    <row r="102" spans="1:9">
      <c r="A102" s="169">
        <v>6.7</v>
      </c>
      <c r="B102" s="171" t="s">
        <v>3959</v>
      </c>
      <c r="C102" s="9">
        <v>6</v>
      </c>
      <c r="D102" s="9">
        <v>3</v>
      </c>
      <c r="E102" s="173" t="s">
        <v>3967</v>
      </c>
      <c r="F102" s="168" t="s">
        <v>3961</v>
      </c>
      <c r="G102" s="7">
        <v>2.2000000000000002</v>
      </c>
      <c r="H102">
        <v>12</v>
      </c>
      <c r="I102" s="9">
        <v>2</v>
      </c>
    </row>
    <row r="103" spans="1:9">
      <c r="A103" s="169">
        <v>6.6</v>
      </c>
      <c r="B103" s="171" t="s">
        <v>3960</v>
      </c>
      <c r="C103" s="9">
        <v>6</v>
      </c>
      <c r="D103" s="9">
        <v>3</v>
      </c>
      <c r="E103" s="173" t="s">
        <v>3968</v>
      </c>
      <c r="F103" s="7"/>
      <c r="G103" s="7">
        <v>2.2000000000000002</v>
      </c>
      <c r="I103" s="9">
        <v>2</v>
      </c>
    </row>
    <row r="104" spans="1:9">
      <c r="A104" s="169">
        <v>8.8000000000000007</v>
      </c>
      <c r="B104" s="171" t="s">
        <v>3962</v>
      </c>
      <c r="C104" s="9">
        <v>6</v>
      </c>
      <c r="D104" s="9">
        <v>3</v>
      </c>
      <c r="E104" s="173" t="s">
        <v>3969</v>
      </c>
      <c r="F104" s="7" t="s">
        <v>2175</v>
      </c>
      <c r="G104" s="7">
        <v>3.2</v>
      </c>
      <c r="H104">
        <v>14</v>
      </c>
      <c r="I104" s="9">
        <v>2</v>
      </c>
    </row>
    <row r="105" spans="1:9">
      <c r="A105" s="169">
        <v>8.8000000000000007</v>
      </c>
      <c r="B105" s="171" t="s">
        <v>3963</v>
      </c>
      <c r="C105" s="9">
        <v>6</v>
      </c>
      <c r="D105" s="9">
        <v>3</v>
      </c>
      <c r="E105" s="173" t="s">
        <v>3970</v>
      </c>
      <c r="F105" s="7"/>
      <c r="G105" s="7">
        <v>3.2</v>
      </c>
      <c r="I105" s="9">
        <v>2</v>
      </c>
    </row>
    <row r="106" spans="1:9">
      <c r="A106" s="169">
        <v>11.2</v>
      </c>
      <c r="B106" s="171" t="s">
        <v>3964</v>
      </c>
      <c r="C106" s="9">
        <v>6</v>
      </c>
      <c r="D106" s="9">
        <v>3</v>
      </c>
      <c r="E106" s="173" t="s">
        <v>3971</v>
      </c>
      <c r="F106" s="7" t="s">
        <v>2182</v>
      </c>
      <c r="G106" s="7">
        <v>1.3</v>
      </c>
      <c r="H106">
        <v>36</v>
      </c>
      <c r="I106" s="9">
        <v>2</v>
      </c>
    </row>
    <row r="107" spans="1:9">
      <c r="A107" s="169">
        <v>11.1</v>
      </c>
      <c r="B107" s="171" t="s">
        <v>3965</v>
      </c>
      <c r="C107" s="9">
        <v>6</v>
      </c>
      <c r="D107" s="9">
        <v>3</v>
      </c>
      <c r="E107" s="173" t="s">
        <v>3972</v>
      </c>
      <c r="F107" s="7"/>
      <c r="G107" s="7">
        <v>1.3</v>
      </c>
      <c r="I107" s="9">
        <v>2</v>
      </c>
    </row>
    <row r="108" spans="1:9">
      <c r="A108" s="169">
        <v>7.7</v>
      </c>
      <c r="B108" s="171" t="s">
        <v>3977</v>
      </c>
      <c r="C108" s="9">
        <v>6</v>
      </c>
      <c r="D108" s="9">
        <v>3</v>
      </c>
      <c r="E108" s="173" t="s">
        <v>3975</v>
      </c>
      <c r="F108" s="168" t="s">
        <v>3966</v>
      </c>
      <c r="G108" s="7">
        <v>0.65</v>
      </c>
      <c r="H108">
        <v>32</v>
      </c>
      <c r="I108" s="9">
        <v>2</v>
      </c>
    </row>
    <row r="109" spans="1:9">
      <c r="A109" s="169">
        <v>7.5</v>
      </c>
      <c r="B109" s="171" t="s">
        <v>3978</v>
      </c>
      <c r="C109" s="9">
        <v>6</v>
      </c>
      <c r="D109" s="9">
        <v>3</v>
      </c>
      <c r="E109" s="173" t="s">
        <v>3976</v>
      </c>
      <c r="F109" s="168"/>
      <c r="G109" s="7">
        <v>0.65</v>
      </c>
      <c r="I109" s="9">
        <v>2</v>
      </c>
    </row>
    <row r="110" spans="1:9">
      <c r="A110" s="169">
        <v>12.8</v>
      </c>
      <c r="B110" s="171" t="s">
        <v>3979</v>
      </c>
      <c r="C110" s="9">
        <v>6</v>
      </c>
      <c r="D110" s="9">
        <v>3</v>
      </c>
      <c r="E110" s="170" t="s">
        <v>3982</v>
      </c>
      <c r="F110" s="7" t="s">
        <v>2211</v>
      </c>
      <c r="G110" s="7">
        <v>0.45</v>
      </c>
      <c r="H110">
        <v>47</v>
      </c>
      <c r="I110" s="9">
        <v>2</v>
      </c>
    </row>
    <row r="111" spans="1:9">
      <c r="A111" s="169">
        <v>14.2</v>
      </c>
      <c r="B111" s="171" t="s">
        <v>3980</v>
      </c>
      <c r="C111" s="9">
        <v>6</v>
      </c>
      <c r="D111" s="9">
        <v>3</v>
      </c>
      <c r="E111" s="170" t="s">
        <v>3983</v>
      </c>
      <c r="F111" s="7" t="s">
        <v>2185</v>
      </c>
      <c r="G111" s="7">
        <v>0.36</v>
      </c>
      <c r="H111">
        <v>42</v>
      </c>
      <c r="I111" s="9">
        <v>2</v>
      </c>
    </row>
    <row r="112" spans="1:9">
      <c r="A112" s="169">
        <v>9.3000000000000007</v>
      </c>
      <c r="B112" s="171" t="s">
        <v>3981</v>
      </c>
      <c r="C112" s="9">
        <v>6</v>
      </c>
      <c r="D112" s="9">
        <v>3</v>
      </c>
      <c r="E112" s="170" t="s">
        <v>3984</v>
      </c>
      <c r="F112" s="7" t="s">
        <v>2201</v>
      </c>
      <c r="G112" s="7">
        <v>0.23</v>
      </c>
      <c r="H112">
        <v>31</v>
      </c>
      <c r="I112" s="9">
        <v>2</v>
      </c>
    </row>
    <row r="113" spans="1:9">
      <c r="A113" s="169">
        <f>16.2/3</f>
        <v>5.3999999999999995</v>
      </c>
      <c r="B113" s="171" t="s">
        <v>3551</v>
      </c>
      <c r="C113" s="9">
        <v>3</v>
      </c>
      <c r="D113" s="9">
        <v>3</v>
      </c>
      <c r="E113" s="140" t="s">
        <v>3566</v>
      </c>
      <c r="F113" s="168" t="s">
        <v>3935</v>
      </c>
      <c r="G113" s="7">
        <v>0.4</v>
      </c>
      <c r="H113">
        <v>123</v>
      </c>
      <c r="I113" s="9">
        <v>4</v>
      </c>
    </row>
    <row r="114" spans="1:9">
      <c r="A114" s="169">
        <f>14.2/3</f>
        <v>4.7333333333333334</v>
      </c>
      <c r="B114" s="175" t="s">
        <v>3936</v>
      </c>
      <c r="C114" s="9">
        <v>3</v>
      </c>
      <c r="D114" s="9">
        <v>3</v>
      </c>
      <c r="E114" s="140" t="s">
        <v>3569</v>
      </c>
      <c r="F114" s="7" t="s">
        <v>2269</v>
      </c>
      <c r="G114" s="7">
        <v>0.4</v>
      </c>
      <c r="H114">
        <v>69</v>
      </c>
      <c r="I114" s="9">
        <v>3</v>
      </c>
    </row>
    <row r="115" spans="1:9">
      <c r="A115" s="169">
        <f>14.6/3</f>
        <v>4.8666666666666663</v>
      </c>
      <c r="B115" s="175" t="s">
        <v>3937</v>
      </c>
      <c r="C115" s="9">
        <v>3</v>
      </c>
      <c r="D115" s="9">
        <v>3</v>
      </c>
      <c r="E115" s="140" t="s">
        <v>3567</v>
      </c>
      <c r="F115" s="7" t="s">
        <v>2290</v>
      </c>
      <c r="G115" s="7">
        <v>0.4</v>
      </c>
      <c r="H115">
        <v>106</v>
      </c>
      <c r="I115" s="9">
        <v>4</v>
      </c>
    </row>
    <row r="116" spans="1:9">
      <c r="A116" s="169">
        <f>15.5/3</f>
        <v>5.166666666666667</v>
      </c>
      <c r="B116" s="175" t="s">
        <v>3938</v>
      </c>
      <c r="C116" s="9">
        <v>3</v>
      </c>
      <c r="D116" s="9">
        <v>3</v>
      </c>
      <c r="E116" s="140" t="s">
        <v>3568</v>
      </c>
      <c r="F116" s="7" t="s">
        <v>2301</v>
      </c>
      <c r="G116" s="7">
        <v>0.4</v>
      </c>
      <c r="H116">
        <v>138</v>
      </c>
    </row>
    <row r="117" spans="1:9">
      <c r="A117" s="169">
        <f>20.7/3</f>
        <v>6.8999999999999995</v>
      </c>
      <c r="B117" s="171" t="s">
        <v>3552</v>
      </c>
      <c r="C117" s="9">
        <v>3</v>
      </c>
      <c r="D117" s="9">
        <v>3</v>
      </c>
      <c r="E117" s="140" t="s">
        <v>3463</v>
      </c>
      <c r="F117" s="7" t="s">
        <v>2194</v>
      </c>
      <c r="G117" s="7">
        <v>1.5</v>
      </c>
      <c r="H117">
        <v>18</v>
      </c>
      <c r="I117" s="9">
        <v>2</v>
      </c>
    </row>
    <row r="118" spans="1:9">
      <c r="A118" s="169">
        <f>24.9/3</f>
        <v>8.2999999999999989</v>
      </c>
      <c r="B118" s="171" t="s">
        <v>3553</v>
      </c>
      <c r="C118" s="9">
        <v>3</v>
      </c>
      <c r="D118" s="9">
        <v>3</v>
      </c>
      <c r="E118" s="140" t="s">
        <v>3464</v>
      </c>
      <c r="F118" s="7" t="s">
        <v>2195</v>
      </c>
      <c r="G118" s="7">
        <v>1.8</v>
      </c>
      <c r="H118">
        <v>19</v>
      </c>
      <c r="I118" s="9">
        <v>2</v>
      </c>
    </row>
    <row r="119" spans="1:9">
      <c r="A119" s="169">
        <v>36.299999999999997</v>
      </c>
      <c r="B119" s="171" t="s">
        <v>3570</v>
      </c>
      <c r="C119" s="9">
        <v>3</v>
      </c>
      <c r="D119" s="9">
        <v>3</v>
      </c>
      <c r="E119" s="170" t="s">
        <v>3877</v>
      </c>
      <c r="F119" s="7" t="s">
        <v>2216</v>
      </c>
      <c r="G119" s="7">
        <v>0.9</v>
      </c>
      <c r="H119">
        <v>52</v>
      </c>
      <c r="I119" s="9">
        <v>2</v>
      </c>
    </row>
    <row r="120" spans="1:9">
      <c r="A120" s="169">
        <f>53.6/3</f>
        <v>17.866666666666667</v>
      </c>
      <c r="B120" s="171" t="s">
        <v>3572</v>
      </c>
      <c r="C120" s="9">
        <v>3</v>
      </c>
      <c r="D120" s="9">
        <v>3</v>
      </c>
      <c r="E120" s="170" t="s">
        <v>3927</v>
      </c>
      <c r="F120" s="7" t="s">
        <v>2203</v>
      </c>
      <c r="G120" s="7">
        <v>2.2000000000000002</v>
      </c>
      <c r="H120">
        <v>33</v>
      </c>
      <c r="I120" s="9">
        <v>2</v>
      </c>
    </row>
    <row r="121" spans="1:9">
      <c r="A121" s="169">
        <f>66.7/5</f>
        <v>13.34</v>
      </c>
      <c r="B121" s="171" t="s">
        <v>3571</v>
      </c>
      <c r="C121" s="9">
        <v>5</v>
      </c>
      <c r="D121" s="9">
        <v>5</v>
      </c>
      <c r="E121" s="170" t="s">
        <v>3928</v>
      </c>
      <c r="F121" s="7" t="s">
        <v>2204</v>
      </c>
      <c r="G121" s="7">
        <v>2</v>
      </c>
      <c r="H121">
        <v>34</v>
      </c>
      <c r="I121" s="9">
        <v>2</v>
      </c>
    </row>
    <row r="122" spans="1:9">
      <c r="A122" s="169">
        <v>37.200000000000003</v>
      </c>
      <c r="B122" s="171" t="s">
        <v>3573</v>
      </c>
      <c r="C122" s="9">
        <v>3</v>
      </c>
      <c r="D122" s="9">
        <v>3</v>
      </c>
      <c r="E122" s="170" t="s">
        <v>3878</v>
      </c>
      <c r="F122" s="7" t="s">
        <v>2199</v>
      </c>
      <c r="G122" s="7">
        <v>1.98</v>
      </c>
      <c r="H122">
        <v>23</v>
      </c>
      <c r="I122" s="9">
        <v>2</v>
      </c>
    </row>
    <row r="123" spans="1:9">
      <c r="A123" s="169">
        <f>100.3/5</f>
        <v>20.059999999999999</v>
      </c>
      <c r="B123" s="171" t="s">
        <v>3554</v>
      </c>
      <c r="C123" s="9">
        <v>5</v>
      </c>
      <c r="D123" s="9">
        <v>5</v>
      </c>
      <c r="E123" s="140" t="s">
        <v>3445</v>
      </c>
      <c r="F123" s="7" t="s">
        <v>2247</v>
      </c>
      <c r="G123" s="7">
        <v>0.6</v>
      </c>
      <c r="H123">
        <v>119</v>
      </c>
      <c r="I123" s="9">
        <v>4</v>
      </c>
    </row>
    <row r="124" spans="1:9">
      <c r="A124" s="169">
        <f>107.5/5</f>
        <v>21.5</v>
      </c>
      <c r="B124" s="171" t="s">
        <v>3555</v>
      </c>
      <c r="C124" s="9">
        <v>5</v>
      </c>
      <c r="D124" s="9">
        <v>5</v>
      </c>
      <c r="E124" s="140" t="s">
        <v>3444</v>
      </c>
      <c r="F124" s="7" t="s">
        <v>2248</v>
      </c>
      <c r="G124" s="7">
        <v>0.72</v>
      </c>
      <c r="H124">
        <v>120</v>
      </c>
      <c r="I124" s="9">
        <v>4</v>
      </c>
    </row>
    <row r="125" spans="1:9">
      <c r="A125" s="169">
        <f>99.4/5</f>
        <v>19.880000000000003</v>
      </c>
      <c r="B125" s="171" t="s">
        <v>3556</v>
      </c>
      <c r="C125" s="9">
        <v>5</v>
      </c>
      <c r="D125" s="9">
        <v>5</v>
      </c>
      <c r="E125" s="140" t="s">
        <v>3425</v>
      </c>
      <c r="F125" s="7" t="s">
        <v>2230</v>
      </c>
      <c r="G125" s="7">
        <v>0.53</v>
      </c>
      <c r="H125">
        <v>89</v>
      </c>
      <c r="I125" s="9">
        <v>4</v>
      </c>
    </row>
    <row r="126" spans="1:9">
      <c r="A126" s="169">
        <f>104.7/5</f>
        <v>20.94</v>
      </c>
      <c r="B126" s="171" t="s">
        <v>3557</v>
      </c>
      <c r="C126" s="9">
        <v>5</v>
      </c>
      <c r="D126" s="9">
        <v>10</v>
      </c>
      <c r="E126" s="146" t="s">
        <v>3412</v>
      </c>
      <c r="F126" s="141" t="s">
        <v>3443</v>
      </c>
      <c r="G126" s="7">
        <v>2.75</v>
      </c>
      <c r="H126">
        <v>79</v>
      </c>
      <c r="I126" s="9">
        <v>3</v>
      </c>
    </row>
    <row r="127" spans="1:9">
      <c r="B127" s="174" t="s">
        <v>3940</v>
      </c>
      <c r="C127" s="9">
        <v>5</v>
      </c>
      <c r="D127" s="9"/>
      <c r="E127" s="146" t="s">
        <v>3412</v>
      </c>
      <c r="F127" s="7" t="s">
        <v>2228</v>
      </c>
      <c r="G127" s="7">
        <v>0.7</v>
      </c>
      <c r="H127">
        <v>118</v>
      </c>
      <c r="I127" s="9">
        <v>4</v>
      </c>
    </row>
    <row r="128" spans="1:9">
      <c r="A128" s="169">
        <v>80.7</v>
      </c>
      <c r="B128" s="171" t="s">
        <v>3558</v>
      </c>
      <c r="C128" s="9">
        <v>3</v>
      </c>
      <c r="D128" s="9">
        <v>3</v>
      </c>
      <c r="E128" s="170" t="s">
        <v>3885</v>
      </c>
      <c r="F128" s="7" t="s">
        <v>2231</v>
      </c>
      <c r="G128" s="7">
        <v>4.2</v>
      </c>
      <c r="H128">
        <v>90</v>
      </c>
      <c r="I128" s="9">
        <v>4</v>
      </c>
    </row>
    <row r="129" spans="1:9">
      <c r="A129" s="169">
        <f>91.9/5</f>
        <v>18.380000000000003</v>
      </c>
      <c r="B129" s="171" t="s">
        <v>3559</v>
      </c>
      <c r="C129" s="9">
        <v>5</v>
      </c>
      <c r="D129" s="9">
        <v>5</v>
      </c>
      <c r="E129" s="140" t="s">
        <v>3440</v>
      </c>
      <c r="F129" s="7" t="s">
        <v>2244</v>
      </c>
      <c r="G129" s="7">
        <v>0.76</v>
      </c>
      <c r="H129">
        <v>115</v>
      </c>
      <c r="I129" s="9">
        <v>4</v>
      </c>
    </row>
    <row r="130" spans="1:9">
      <c r="A130" s="169">
        <f>108/5</f>
        <v>21.6</v>
      </c>
      <c r="B130" s="171" t="s">
        <v>3560</v>
      </c>
      <c r="C130" s="9">
        <v>5</v>
      </c>
      <c r="D130" s="9">
        <v>5</v>
      </c>
      <c r="E130" s="140" t="s">
        <v>3441</v>
      </c>
      <c r="F130" s="7" t="s">
        <v>2245</v>
      </c>
      <c r="G130" s="7">
        <v>0.73</v>
      </c>
      <c r="H130">
        <v>116</v>
      </c>
      <c r="I130" s="9">
        <v>4</v>
      </c>
    </row>
    <row r="131" spans="1:9">
      <c r="A131" s="169">
        <f>109/5</f>
        <v>21.8</v>
      </c>
      <c r="B131" s="171" t="s">
        <v>3561</v>
      </c>
      <c r="C131" s="9">
        <v>5</v>
      </c>
      <c r="D131" s="9">
        <v>5</v>
      </c>
      <c r="E131" s="140" t="s">
        <v>3408</v>
      </c>
      <c r="F131" s="7" t="s">
        <v>2222</v>
      </c>
      <c r="G131" s="7">
        <v>0.95</v>
      </c>
      <c r="H131">
        <v>62</v>
      </c>
      <c r="I131" s="9">
        <v>3</v>
      </c>
    </row>
    <row r="132" spans="1:9">
      <c r="A132" s="169">
        <f>38.1/5</f>
        <v>7.62</v>
      </c>
      <c r="B132" s="171" t="s">
        <v>3579</v>
      </c>
      <c r="C132" s="9">
        <v>5</v>
      </c>
      <c r="D132" s="9">
        <v>5</v>
      </c>
      <c r="E132" s="140" t="s">
        <v>3477</v>
      </c>
      <c r="F132" s="7" t="s">
        <v>2219</v>
      </c>
      <c r="G132" s="7">
        <v>0.5</v>
      </c>
      <c r="H132">
        <v>58</v>
      </c>
      <c r="I132" s="9">
        <v>3</v>
      </c>
    </row>
    <row r="133" spans="1:9">
      <c r="A133" s="169">
        <f>37.4/5</f>
        <v>7.4799999999999995</v>
      </c>
      <c r="B133" s="171" t="s">
        <v>3580</v>
      </c>
      <c r="C133" s="9">
        <v>5</v>
      </c>
      <c r="D133" s="9">
        <v>5</v>
      </c>
      <c r="E133" s="140" t="s">
        <v>3438</v>
      </c>
      <c r="F133" s="7" t="s">
        <v>2246</v>
      </c>
      <c r="G133" s="7">
        <v>0.85</v>
      </c>
      <c r="H133">
        <v>117</v>
      </c>
      <c r="I133" s="9">
        <v>4</v>
      </c>
    </row>
    <row r="134" spans="1:9">
      <c r="A134" s="169">
        <f>34.8/5</f>
        <v>6.9599999999999991</v>
      </c>
      <c r="B134" s="171" t="s">
        <v>3581</v>
      </c>
      <c r="C134" s="9">
        <v>5</v>
      </c>
      <c r="D134" s="9">
        <v>5</v>
      </c>
      <c r="E134" s="140" t="s">
        <v>3437</v>
      </c>
      <c r="F134" s="7" t="s">
        <v>2240</v>
      </c>
      <c r="G134" s="7">
        <v>0.46</v>
      </c>
      <c r="H134">
        <v>109</v>
      </c>
      <c r="I134" s="9">
        <v>4</v>
      </c>
    </row>
    <row r="135" spans="1:9">
      <c r="A135" s="169">
        <f>52.2/10</f>
        <v>5.2200000000000006</v>
      </c>
      <c r="B135" s="171" t="s">
        <v>3582</v>
      </c>
      <c r="C135" s="9">
        <v>5</v>
      </c>
      <c r="D135" s="9">
        <v>10</v>
      </c>
      <c r="E135" s="146" t="s">
        <v>3415</v>
      </c>
      <c r="F135" s="7" t="s">
        <v>2277</v>
      </c>
      <c r="G135" s="7">
        <v>0.33</v>
      </c>
      <c r="H135">
        <v>84</v>
      </c>
      <c r="I135" s="9">
        <v>3</v>
      </c>
    </row>
    <row r="136" spans="1:9">
      <c r="B136" s="174" t="s">
        <v>3940</v>
      </c>
      <c r="C136" s="9">
        <v>5</v>
      </c>
      <c r="D136" s="9"/>
      <c r="E136" s="146" t="s">
        <v>3415</v>
      </c>
      <c r="F136" s="7" t="s">
        <v>2242</v>
      </c>
      <c r="G136" s="7">
        <v>0.35</v>
      </c>
      <c r="H136">
        <v>111</v>
      </c>
      <c r="I136" s="9">
        <v>4</v>
      </c>
    </row>
    <row r="137" spans="1:9">
      <c r="A137" s="169">
        <f>31.2/5</f>
        <v>6.24</v>
      </c>
      <c r="B137" s="171" t="s">
        <v>3583</v>
      </c>
      <c r="C137" s="9">
        <v>5</v>
      </c>
      <c r="D137" s="9">
        <v>5</v>
      </c>
      <c r="E137" s="140" t="s">
        <v>3414</v>
      </c>
      <c r="F137" s="7" t="s">
        <v>2276</v>
      </c>
      <c r="G137" s="7">
        <v>1</v>
      </c>
      <c r="H137">
        <v>83</v>
      </c>
      <c r="I137" s="9">
        <v>3</v>
      </c>
    </row>
    <row r="138" spans="1:9">
      <c r="A138" s="169">
        <f>157.3/5</f>
        <v>31.46</v>
      </c>
      <c r="B138" s="175" t="s">
        <v>3985</v>
      </c>
      <c r="C138" s="9">
        <v>5</v>
      </c>
      <c r="D138" s="9">
        <v>5</v>
      </c>
      <c r="E138" s="177" t="s">
        <v>3987</v>
      </c>
      <c r="F138" s="7" t="s">
        <v>2253</v>
      </c>
      <c r="G138" s="7">
        <v>2.1</v>
      </c>
      <c r="H138">
        <v>131</v>
      </c>
      <c r="I138" s="9">
        <v>4</v>
      </c>
    </row>
    <row r="139" spans="1:9">
      <c r="A139" s="169">
        <f>91.5/3</f>
        <v>30.5</v>
      </c>
      <c r="B139" s="175" t="s">
        <v>3988</v>
      </c>
      <c r="C139" s="9">
        <v>3</v>
      </c>
      <c r="D139" s="9">
        <v>3</v>
      </c>
      <c r="E139" s="177" t="s">
        <v>3986</v>
      </c>
      <c r="F139" s="7" t="s">
        <v>2233</v>
      </c>
      <c r="G139" s="7">
        <v>1.4</v>
      </c>
      <c r="H139">
        <v>99</v>
      </c>
      <c r="I139" s="9">
        <v>4</v>
      </c>
    </row>
    <row r="140" spans="1:9">
      <c r="A140" s="169">
        <f>157/5</f>
        <v>31.4</v>
      </c>
      <c r="B140" s="175" t="s">
        <v>3992</v>
      </c>
      <c r="C140" s="9">
        <v>5</v>
      </c>
      <c r="D140" s="9">
        <v>5</v>
      </c>
      <c r="E140" s="177" t="s">
        <v>3991</v>
      </c>
      <c r="F140" s="7" t="s">
        <v>2249</v>
      </c>
      <c r="G140" s="7">
        <v>2.2000000000000002</v>
      </c>
      <c r="H140">
        <v>125</v>
      </c>
      <c r="I140" s="9">
        <v>4</v>
      </c>
    </row>
    <row r="141" spans="1:9">
      <c r="A141" s="169">
        <f>172.1/5</f>
        <v>34.42</v>
      </c>
      <c r="B141" s="175" t="s">
        <v>3990</v>
      </c>
      <c r="C141" s="9">
        <v>5</v>
      </c>
      <c r="D141" s="9">
        <v>5</v>
      </c>
      <c r="E141" s="177" t="s">
        <v>3989</v>
      </c>
      <c r="F141" s="7" t="s">
        <v>2273</v>
      </c>
      <c r="G141" s="7">
        <v>3.3</v>
      </c>
      <c r="H141">
        <v>78</v>
      </c>
      <c r="I141" s="9">
        <v>3</v>
      </c>
    </row>
    <row r="142" spans="1:9">
      <c r="A142" s="169">
        <f>92.8/3</f>
        <v>30.933333333333334</v>
      </c>
      <c r="B142" s="175" t="s">
        <v>3994</v>
      </c>
      <c r="C142" s="9">
        <v>3</v>
      </c>
      <c r="D142" s="9">
        <v>3</v>
      </c>
      <c r="E142" s="177" t="s">
        <v>3993</v>
      </c>
      <c r="F142" s="168" t="s">
        <v>3998</v>
      </c>
      <c r="G142" s="7">
        <v>1.38</v>
      </c>
      <c r="H142">
        <v>97</v>
      </c>
      <c r="I142" s="9">
        <v>4</v>
      </c>
    </row>
    <row r="143" spans="1:9">
      <c r="A143" s="169">
        <f>151.8/5</f>
        <v>30.360000000000003</v>
      </c>
      <c r="B143" s="175" t="s">
        <v>3996</v>
      </c>
      <c r="C143" s="9">
        <v>5</v>
      </c>
      <c r="D143" s="9">
        <v>5</v>
      </c>
      <c r="E143" s="177" t="s">
        <v>3999</v>
      </c>
      <c r="F143" s="7" t="s">
        <v>2275</v>
      </c>
      <c r="G143" s="7">
        <v>1.5</v>
      </c>
      <c r="H143">
        <v>82</v>
      </c>
      <c r="I143" s="9">
        <v>3</v>
      </c>
    </row>
    <row r="144" spans="1:9">
      <c r="A144" s="169">
        <f>195.2/6</f>
        <v>32.533333333333331</v>
      </c>
      <c r="B144" s="175" t="s">
        <v>4001</v>
      </c>
      <c r="C144" s="9">
        <v>3</v>
      </c>
      <c r="D144" s="9">
        <v>3</v>
      </c>
      <c r="E144" s="173" t="s">
        <v>3995</v>
      </c>
      <c r="F144" s="168" t="s">
        <v>4000</v>
      </c>
      <c r="G144" s="7">
        <v>2.2000000000000002</v>
      </c>
      <c r="H144">
        <v>61</v>
      </c>
      <c r="I144" s="9">
        <v>3</v>
      </c>
    </row>
    <row r="145" spans="1:9">
      <c r="B145" s="174" t="s">
        <v>3940</v>
      </c>
      <c r="C145" s="9">
        <v>3</v>
      </c>
      <c r="D145" s="9">
        <v>3</v>
      </c>
      <c r="E145" s="173" t="s">
        <v>3995</v>
      </c>
      <c r="F145" s="168" t="s">
        <v>3997</v>
      </c>
      <c r="G145" s="7">
        <v>1.98</v>
      </c>
      <c r="H145">
        <v>137</v>
      </c>
      <c r="I145" s="9">
        <v>4</v>
      </c>
    </row>
    <row r="146" spans="1:9">
      <c r="A146" s="169">
        <f>168.3/5</f>
        <v>33.660000000000004</v>
      </c>
      <c r="B146" s="175" t="s">
        <v>4002</v>
      </c>
      <c r="C146" s="9">
        <v>5</v>
      </c>
      <c r="D146" s="9">
        <v>5</v>
      </c>
      <c r="E146" s="140" t="s">
        <v>3478</v>
      </c>
      <c r="F146" s="7" t="s">
        <v>2235</v>
      </c>
      <c r="G146" s="7">
        <v>2.7</v>
      </c>
      <c r="H146">
        <v>101</v>
      </c>
      <c r="I146" s="9">
        <v>4</v>
      </c>
    </row>
    <row r="147" spans="1:9">
      <c r="A147" s="169">
        <f>29.1/5</f>
        <v>5.82</v>
      </c>
      <c r="B147" s="171" t="s">
        <v>3584</v>
      </c>
      <c r="C147" s="9">
        <v>5</v>
      </c>
      <c r="D147" s="9">
        <v>5</v>
      </c>
      <c r="E147" s="140" t="s">
        <v>3406</v>
      </c>
      <c r="F147" s="7" t="s">
        <v>2259</v>
      </c>
      <c r="G147" s="7">
        <v>0.75</v>
      </c>
      <c r="H147">
        <v>54</v>
      </c>
      <c r="I147" s="9">
        <v>3</v>
      </c>
    </row>
    <row r="148" spans="1:9">
      <c r="A148" s="169">
        <f>24.9/3</f>
        <v>8.2999999999999989</v>
      </c>
      <c r="B148" s="171" t="s">
        <v>3585</v>
      </c>
      <c r="C148" s="9">
        <v>3</v>
      </c>
      <c r="D148" s="9">
        <v>3</v>
      </c>
      <c r="E148" s="170" t="s">
        <v>3929</v>
      </c>
      <c r="F148" s="7" t="s">
        <v>2282</v>
      </c>
      <c r="G148" s="7">
        <v>1.45</v>
      </c>
      <c r="H148">
        <v>91</v>
      </c>
      <c r="I148" s="9">
        <v>4</v>
      </c>
    </row>
    <row r="149" spans="1:9">
      <c r="A149" s="169">
        <f>25.2/3</f>
        <v>8.4</v>
      </c>
      <c r="B149" s="171" t="s">
        <v>3586</v>
      </c>
      <c r="C149" s="9">
        <v>3</v>
      </c>
      <c r="D149" s="9">
        <v>3</v>
      </c>
      <c r="E149" s="170" t="s">
        <v>3930</v>
      </c>
      <c r="F149" s="7" t="s">
        <v>2284</v>
      </c>
      <c r="G149" s="7">
        <v>1.45</v>
      </c>
      <c r="H149">
        <v>93</v>
      </c>
      <c r="I149" s="9">
        <v>4</v>
      </c>
    </row>
    <row r="150" spans="1:9">
      <c r="A150" s="169">
        <f>30.7/3</f>
        <v>10.233333333333333</v>
      </c>
      <c r="B150" s="171" t="s">
        <v>3587</v>
      </c>
      <c r="C150" s="9">
        <v>3</v>
      </c>
      <c r="D150" s="9">
        <v>3</v>
      </c>
      <c r="E150" s="170" t="s">
        <v>3931</v>
      </c>
      <c r="F150" s="7" t="s">
        <v>2287</v>
      </c>
      <c r="G150" s="7">
        <v>1.45</v>
      </c>
      <c r="H150">
        <v>96</v>
      </c>
      <c r="I150" s="9">
        <v>4</v>
      </c>
    </row>
    <row r="151" spans="1:9">
      <c r="A151" s="169">
        <f>24.7/3</f>
        <v>8.2333333333333325</v>
      </c>
      <c r="B151" s="171" t="s">
        <v>3588</v>
      </c>
      <c r="C151" s="9">
        <v>3</v>
      </c>
      <c r="D151" s="9">
        <v>3</v>
      </c>
      <c r="E151" s="140" t="s">
        <v>3428</v>
      </c>
      <c r="F151" s="7" t="s">
        <v>2286</v>
      </c>
      <c r="G151" s="7">
        <v>1.6</v>
      </c>
      <c r="H151">
        <v>95</v>
      </c>
      <c r="I151" s="9">
        <v>4</v>
      </c>
    </row>
    <row r="152" spans="1:9">
      <c r="A152" s="169">
        <f>24.6/3</f>
        <v>8.2000000000000011</v>
      </c>
      <c r="B152" s="171" t="s">
        <v>3589</v>
      </c>
      <c r="C152" s="9">
        <v>3</v>
      </c>
      <c r="D152" s="9">
        <v>3</v>
      </c>
      <c r="E152" s="140" t="s">
        <v>3426</v>
      </c>
      <c r="F152" s="7" t="s">
        <v>2283</v>
      </c>
      <c r="G152" s="7">
        <v>1.6</v>
      </c>
      <c r="H152">
        <v>92</v>
      </c>
      <c r="I152" s="9">
        <v>4</v>
      </c>
    </row>
    <row r="153" spans="1:9">
      <c r="A153" s="169">
        <f>30.1/3</f>
        <v>10.033333333333333</v>
      </c>
      <c r="B153" s="171" t="s">
        <v>3590</v>
      </c>
      <c r="C153" s="9">
        <v>3</v>
      </c>
      <c r="D153" s="9">
        <v>3</v>
      </c>
      <c r="E153" s="140" t="s">
        <v>3427</v>
      </c>
      <c r="F153" s="7" t="s">
        <v>2285</v>
      </c>
      <c r="G153" s="7">
        <v>1.5</v>
      </c>
      <c r="H153">
        <v>94</v>
      </c>
      <c r="I153" s="9">
        <v>4</v>
      </c>
    </row>
  </sheetData>
  <phoneticPr fontId="2" type="noConversion"/>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1"/>
  <dimension ref="A1:O101"/>
  <sheetViews>
    <sheetView zoomScale="110" zoomScaleNormal="110" workbookViewId="0">
      <pane ySplit="2" topLeftCell="A3" activePane="bottomLeft" state="frozen"/>
      <selection pane="bottomLeft" activeCell="H15" sqref="H15"/>
    </sheetView>
  </sheetViews>
  <sheetFormatPr defaultRowHeight="14.25"/>
  <cols>
    <col min="1" max="1" width="9.875" bestFit="1" customWidth="1"/>
    <col min="2" max="2" width="20.25" style="71" bestFit="1" customWidth="1"/>
    <col min="3" max="3" width="4.125" style="93" bestFit="1" customWidth="1"/>
    <col min="4" max="4" width="18.875" style="93" customWidth="1"/>
    <col min="5" max="5" width="6.875" style="93" bestFit="1" customWidth="1"/>
    <col min="6" max="6" width="4.75" style="74" bestFit="1" customWidth="1"/>
    <col min="7" max="8" width="5.875" style="74" bestFit="1" customWidth="1"/>
    <col min="9" max="9" width="6" style="71" bestFit="1" customWidth="1"/>
    <col min="10" max="10" width="6.375" style="74" bestFit="1" customWidth="1"/>
    <col min="11" max="11" width="5.75" style="71" customWidth="1"/>
    <col min="12" max="12" width="5" style="75" bestFit="1" customWidth="1"/>
    <col min="13" max="13" width="5" style="74" bestFit="1" customWidth="1"/>
    <col min="14" max="14" width="9" style="71"/>
    <col min="15" max="15" width="12.5" style="71" bestFit="1" customWidth="1"/>
    <col min="16" max="16384" width="9" style="71"/>
  </cols>
  <sheetData>
    <row r="1" spans="1:15" ht="12">
      <c r="A1" s="71"/>
      <c r="F1" s="74" t="s">
        <v>1090</v>
      </c>
      <c r="G1" s="74" t="s">
        <v>1088</v>
      </c>
      <c r="H1" s="74" t="s">
        <v>1089</v>
      </c>
      <c r="I1" s="74" t="s">
        <v>1092</v>
      </c>
      <c r="J1" s="74" t="s">
        <v>1091</v>
      </c>
      <c r="K1" s="74" t="s">
        <v>1098</v>
      </c>
      <c r="L1" s="74" t="s">
        <v>1094</v>
      </c>
      <c r="M1" s="74" t="s">
        <v>1117</v>
      </c>
    </row>
    <row r="2" spans="1:15" ht="12">
      <c r="A2" s="71"/>
      <c r="F2" s="74">
        <f>SUM(F3:F101)</f>
        <v>124</v>
      </c>
      <c r="G2" s="74">
        <f>SUM(G3:G101)</f>
        <v>263</v>
      </c>
      <c r="H2" s="74">
        <f>SUM(H3:H101)</f>
        <v>233</v>
      </c>
      <c r="I2" s="74"/>
      <c r="K2" s="74">
        <f>SUM(K3:K101)</f>
        <v>16399.650000000001</v>
      </c>
      <c r="L2" s="74">
        <f>SUM(L3:L101)</f>
        <v>153</v>
      </c>
      <c r="M2" s="74">
        <f>SUM(M3:M101)</f>
        <v>823</v>
      </c>
    </row>
    <row r="3" spans="1:15" ht="12">
      <c r="A3" s="81" t="s">
        <v>1909</v>
      </c>
      <c r="B3" s="71" t="s">
        <v>3357</v>
      </c>
      <c r="C3" s="93">
        <v>101</v>
      </c>
      <c r="E3" s="93">
        <v>101.01</v>
      </c>
      <c r="F3" s="74">
        <v>1</v>
      </c>
      <c r="G3" s="74">
        <v>11</v>
      </c>
      <c r="H3" s="74">
        <v>1</v>
      </c>
      <c r="I3" s="74">
        <v>0.15</v>
      </c>
      <c r="J3" s="74">
        <v>3200</v>
      </c>
      <c r="K3" s="71">
        <f t="shared" ref="K3:K19" si="0">F3*G3*H3*J3*I3</f>
        <v>5280</v>
      </c>
      <c r="L3" s="75">
        <v>20</v>
      </c>
      <c r="M3" s="74">
        <f t="shared" ref="M3:M19" si="1">F3*G3*H3</f>
        <v>11</v>
      </c>
      <c r="O3" s="1" t="s">
        <v>4165</v>
      </c>
    </row>
    <row r="4" spans="1:15" ht="12">
      <c r="A4" s="81"/>
      <c r="B4" s="71" t="s">
        <v>3358</v>
      </c>
      <c r="C4" s="93">
        <v>102</v>
      </c>
      <c r="E4" s="93">
        <v>102.01</v>
      </c>
      <c r="F4" s="74">
        <v>1</v>
      </c>
      <c r="G4" s="74">
        <v>7</v>
      </c>
      <c r="H4" s="74">
        <v>1</v>
      </c>
      <c r="I4" s="74">
        <v>0.2</v>
      </c>
      <c r="J4" s="74">
        <v>400</v>
      </c>
      <c r="K4" s="71">
        <f t="shared" si="0"/>
        <v>560</v>
      </c>
      <c r="L4" s="75">
        <v>20</v>
      </c>
      <c r="M4" s="74">
        <f t="shared" si="1"/>
        <v>7</v>
      </c>
      <c r="O4" s="1" t="s">
        <v>4166</v>
      </c>
    </row>
    <row r="5" spans="1:15" ht="12">
      <c r="A5" s="81"/>
      <c r="B5" s="71" t="s">
        <v>1000</v>
      </c>
      <c r="C5" s="93">
        <v>103</v>
      </c>
      <c r="E5" s="93">
        <v>103.01</v>
      </c>
      <c r="F5" s="74">
        <v>1</v>
      </c>
      <c r="G5" s="74">
        <v>16</v>
      </c>
      <c r="H5" s="74">
        <v>1</v>
      </c>
      <c r="I5" s="74">
        <v>0.13</v>
      </c>
      <c r="J5" s="74">
        <v>350</v>
      </c>
      <c r="K5" s="71">
        <f t="shared" si="0"/>
        <v>728</v>
      </c>
      <c r="L5" s="75">
        <v>20</v>
      </c>
      <c r="M5" s="74">
        <f t="shared" si="1"/>
        <v>16</v>
      </c>
      <c r="O5" s="1" t="s">
        <v>4164</v>
      </c>
    </row>
    <row r="6" spans="1:15" ht="12">
      <c r="A6" s="81"/>
      <c r="B6" s="71" t="s">
        <v>1001</v>
      </c>
      <c r="C6" s="93">
        <v>104</v>
      </c>
      <c r="E6" s="102">
        <v>104.01</v>
      </c>
      <c r="F6" s="74">
        <v>1</v>
      </c>
      <c r="G6" s="74">
        <v>10</v>
      </c>
      <c r="H6" s="74">
        <v>1</v>
      </c>
      <c r="I6" s="74">
        <v>0.4</v>
      </c>
      <c r="J6" s="74">
        <v>100</v>
      </c>
      <c r="K6" s="71">
        <f t="shared" si="0"/>
        <v>400</v>
      </c>
      <c r="L6" s="75">
        <v>3</v>
      </c>
      <c r="M6" s="74">
        <f t="shared" si="1"/>
        <v>10</v>
      </c>
      <c r="O6" s="1" t="s">
        <v>4032</v>
      </c>
    </row>
    <row r="7" spans="1:15" ht="12">
      <c r="A7" s="81"/>
      <c r="B7" s="1" t="s">
        <v>4074</v>
      </c>
      <c r="C7" s="64">
        <v>105</v>
      </c>
      <c r="D7" s="64"/>
      <c r="E7" s="102">
        <v>105.01</v>
      </c>
      <c r="F7" s="74">
        <v>1</v>
      </c>
      <c r="G7" s="74">
        <v>24</v>
      </c>
      <c r="H7" s="74">
        <v>1</v>
      </c>
      <c r="I7" s="74">
        <v>0.05</v>
      </c>
      <c r="J7" s="74">
        <v>500</v>
      </c>
      <c r="K7" s="71">
        <f t="shared" si="0"/>
        <v>600</v>
      </c>
      <c r="L7" s="75">
        <v>3</v>
      </c>
      <c r="M7" s="74">
        <f t="shared" si="1"/>
        <v>24</v>
      </c>
      <c r="O7" s="1" t="s">
        <v>4033</v>
      </c>
    </row>
    <row r="8" spans="1:15" ht="12">
      <c r="A8" s="81"/>
      <c r="B8" s="1" t="s">
        <v>1666</v>
      </c>
      <c r="C8" s="64">
        <v>106</v>
      </c>
      <c r="D8" s="64"/>
      <c r="E8" s="102">
        <v>106.01</v>
      </c>
      <c r="F8" s="74">
        <v>1</v>
      </c>
      <c r="G8" s="74">
        <v>22</v>
      </c>
      <c r="H8" s="74">
        <v>1</v>
      </c>
      <c r="I8" s="74">
        <v>0.03</v>
      </c>
      <c r="J8" s="74">
        <v>500</v>
      </c>
      <c r="K8" s="71">
        <f t="shared" si="0"/>
        <v>330</v>
      </c>
      <c r="L8" s="75">
        <v>3</v>
      </c>
      <c r="M8" s="74">
        <f t="shared" si="1"/>
        <v>22</v>
      </c>
    </row>
    <row r="9" spans="1:15" ht="12">
      <c r="A9" s="81"/>
      <c r="B9" s="1" t="s">
        <v>4099</v>
      </c>
      <c r="C9" s="93">
        <v>107</v>
      </c>
      <c r="E9" s="102">
        <v>107.01</v>
      </c>
      <c r="F9" s="74">
        <v>1</v>
      </c>
      <c r="G9" s="74">
        <v>10</v>
      </c>
      <c r="H9" s="74">
        <v>1</v>
      </c>
      <c r="I9" s="74">
        <v>0.05</v>
      </c>
      <c r="J9" s="74">
        <v>1000</v>
      </c>
      <c r="K9" s="71">
        <f t="shared" si="0"/>
        <v>500</v>
      </c>
      <c r="L9" s="75">
        <v>3</v>
      </c>
      <c r="M9" s="74">
        <f t="shared" si="1"/>
        <v>10</v>
      </c>
    </row>
    <row r="10" spans="1:15" ht="12">
      <c r="A10" s="81"/>
      <c r="B10" s="1" t="s">
        <v>4077</v>
      </c>
      <c r="C10" s="93">
        <v>108</v>
      </c>
      <c r="E10" s="93">
        <v>108.01</v>
      </c>
      <c r="F10" s="74">
        <v>1</v>
      </c>
      <c r="G10" s="74">
        <v>6</v>
      </c>
      <c r="H10" s="74">
        <v>6</v>
      </c>
      <c r="I10" s="74">
        <v>0.1</v>
      </c>
      <c r="J10" s="74">
        <v>100</v>
      </c>
      <c r="K10" s="71">
        <f t="shared" si="0"/>
        <v>360</v>
      </c>
      <c r="L10" s="75">
        <v>3</v>
      </c>
      <c r="M10" s="74">
        <f t="shared" si="1"/>
        <v>36</v>
      </c>
    </row>
    <row r="11" spans="1:15" ht="12">
      <c r="A11" s="81"/>
      <c r="B11" s="1" t="s">
        <v>4078</v>
      </c>
      <c r="C11" s="93">
        <v>109</v>
      </c>
      <c r="E11" s="129">
        <v>109.01</v>
      </c>
      <c r="F11" s="74">
        <v>1</v>
      </c>
      <c r="G11" s="74">
        <v>4</v>
      </c>
      <c r="H11" s="74">
        <v>5</v>
      </c>
      <c r="I11" s="74">
        <v>0.05</v>
      </c>
      <c r="J11" s="74">
        <v>100</v>
      </c>
      <c r="K11" s="71">
        <f t="shared" si="0"/>
        <v>100</v>
      </c>
      <c r="L11" s="75">
        <v>3</v>
      </c>
      <c r="M11" s="74">
        <f t="shared" si="1"/>
        <v>20</v>
      </c>
    </row>
    <row r="12" spans="1:15" ht="12">
      <c r="A12" s="1" t="s">
        <v>2029</v>
      </c>
      <c r="B12" s="81" t="s">
        <v>1921</v>
      </c>
      <c r="C12" s="94">
        <v>201</v>
      </c>
      <c r="D12" s="94"/>
      <c r="E12" s="94">
        <v>201.01</v>
      </c>
      <c r="F12" s="74">
        <v>1</v>
      </c>
      <c r="G12" s="74">
        <v>1</v>
      </c>
      <c r="H12" s="74">
        <v>1</v>
      </c>
      <c r="I12" s="74">
        <v>1.2250000000000001</v>
      </c>
      <c r="J12" s="74">
        <v>200</v>
      </c>
      <c r="K12" s="71">
        <f t="shared" si="0"/>
        <v>245.00000000000003</v>
      </c>
      <c r="L12" s="75">
        <v>2</v>
      </c>
      <c r="M12" s="74">
        <f t="shared" si="1"/>
        <v>1</v>
      </c>
    </row>
    <row r="13" spans="1:15" ht="12">
      <c r="A13" s="71"/>
      <c r="B13" s="1" t="s">
        <v>4069</v>
      </c>
      <c r="C13" s="94">
        <v>202</v>
      </c>
      <c r="D13" s="94"/>
      <c r="E13" s="94">
        <v>202.01</v>
      </c>
      <c r="F13" s="74">
        <v>1</v>
      </c>
      <c r="G13" s="74">
        <v>2</v>
      </c>
      <c r="H13" s="74">
        <v>8</v>
      </c>
      <c r="I13" s="74">
        <v>1</v>
      </c>
      <c r="J13" s="74">
        <v>10</v>
      </c>
      <c r="K13" s="71">
        <f t="shared" si="0"/>
        <v>160</v>
      </c>
      <c r="L13" s="75">
        <v>1</v>
      </c>
      <c r="M13" s="74">
        <f t="shared" si="1"/>
        <v>16</v>
      </c>
    </row>
    <row r="14" spans="1:15" ht="12">
      <c r="A14" s="71"/>
      <c r="B14" s="1" t="s">
        <v>4042</v>
      </c>
      <c r="C14" s="94">
        <v>203</v>
      </c>
      <c r="D14" s="94"/>
      <c r="E14" s="94">
        <v>203.01</v>
      </c>
      <c r="F14" s="74">
        <v>1</v>
      </c>
      <c r="G14" s="74">
        <v>2</v>
      </c>
      <c r="H14" s="74">
        <v>1</v>
      </c>
      <c r="I14" s="74">
        <v>1.9</v>
      </c>
      <c r="J14" s="74">
        <v>10</v>
      </c>
      <c r="K14" s="71">
        <f t="shared" si="0"/>
        <v>38</v>
      </c>
      <c r="L14" s="75">
        <v>1</v>
      </c>
      <c r="M14" s="74">
        <f t="shared" si="1"/>
        <v>2</v>
      </c>
    </row>
    <row r="15" spans="1:15" ht="12">
      <c r="A15" s="71"/>
      <c r="B15" s="1" t="s">
        <v>4043</v>
      </c>
      <c r="C15" s="94">
        <v>204</v>
      </c>
      <c r="D15" s="64"/>
      <c r="E15" s="102">
        <v>204.01</v>
      </c>
      <c r="F15" s="74">
        <v>1</v>
      </c>
      <c r="G15" s="74">
        <v>4</v>
      </c>
      <c r="H15" s="74">
        <v>1</v>
      </c>
      <c r="I15" s="74">
        <v>3</v>
      </c>
      <c r="J15" s="74">
        <v>3</v>
      </c>
      <c r="K15" s="71">
        <f t="shared" si="0"/>
        <v>36</v>
      </c>
      <c r="L15" s="75">
        <v>1</v>
      </c>
      <c r="M15" s="74">
        <f t="shared" si="1"/>
        <v>4</v>
      </c>
    </row>
    <row r="16" spans="1:15" ht="12">
      <c r="A16" s="71"/>
      <c r="B16" s="1" t="s">
        <v>4044</v>
      </c>
      <c r="C16" s="94">
        <v>205</v>
      </c>
      <c r="F16" s="74">
        <v>2</v>
      </c>
      <c r="G16" s="74">
        <v>4</v>
      </c>
      <c r="H16" s="74">
        <v>1</v>
      </c>
      <c r="I16" s="74">
        <v>3</v>
      </c>
      <c r="J16" s="74">
        <v>3</v>
      </c>
      <c r="K16" s="71">
        <f t="shared" si="0"/>
        <v>72</v>
      </c>
      <c r="L16" s="75">
        <v>1</v>
      </c>
      <c r="M16" s="74">
        <f t="shared" si="1"/>
        <v>8</v>
      </c>
    </row>
    <row r="17" spans="1:13" ht="12">
      <c r="A17" s="71"/>
      <c r="B17" s="1" t="s">
        <v>4035</v>
      </c>
      <c r="C17" s="94">
        <v>206</v>
      </c>
      <c r="E17" s="93">
        <v>206.01</v>
      </c>
      <c r="F17" s="74">
        <v>1</v>
      </c>
      <c r="G17" s="74">
        <v>2</v>
      </c>
      <c r="H17" s="74">
        <v>1</v>
      </c>
      <c r="I17" s="74">
        <v>2.2999999999999998</v>
      </c>
      <c r="J17" s="74">
        <v>10</v>
      </c>
      <c r="K17" s="71">
        <f t="shared" si="0"/>
        <v>46</v>
      </c>
      <c r="L17" s="75">
        <v>1</v>
      </c>
      <c r="M17" s="74">
        <f t="shared" si="1"/>
        <v>2</v>
      </c>
    </row>
    <row r="18" spans="1:13" ht="12">
      <c r="A18" s="71"/>
      <c r="B18" s="1" t="s">
        <v>4062</v>
      </c>
      <c r="C18" s="94">
        <v>207</v>
      </c>
      <c r="D18" s="95"/>
      <c r="E18" s="95"/>
      <c r="F18" s="74">
        <v>1</v>
      </c>
      <c r="G18" s="74">
        <v>2</v>
      </c>
      <c r="H18" s="74">
        <v>10</v>
      </c>
      <c r="I18" s="74">
        <v>1.75</v>
      </c>
      <c r="J18" s="74">
        <v>3</v>
      </c>
      <c r="K18" s="71">
        <f t="shared" si="0"/>
        <v>105</v>
      </c>
      <c r="L18" s="75">
        <v>1</v>
      </c>
      <c r="M18" s="74">
        <f t="shared" si="1"/>
        <v>20</v>
      </c>
    </row>
    <row r="19" spans="1:13" ht="12">
      <c r="A19" s="71"/>
      <c r="B19" s="1" t="s">
        <v>4070</v>
      </c>
      <c r="C19" s="94">
        <v>208</v>
      </c>
      <c r="E19" s="93">
        <v>208.01</v>
      </c>
      <c r="F19" s="74">
        <v>1</v>
      </c>
      <c r="G19" s="74">
        <v>1</v>
      </c>
      <c r="H19" s="74">
        <v>10</v>
      </c>
      <c r="I19" s="74">
        <v>2.8</v>
      </c>
      <c r="J19" s="74">
        <v>5</v>
      </c>
      <c r="K19" s="71">
        <f t="shared" si="0"/>
        <v>140</v>
      </c>
      <c r="L19" s="75">
        <v>1</v>
      </c>
      <c r="M19" s="74">
        <f t="shared" si="1"/>
        <v>10</v>
      </c>
    </row>
    <row r="20" spans="1:13" ht="12">
      <c r="A20" s="71"/>
      <c r="B20" s="1" t="s">
        <v>4072</v>
      </c>
      <c r="C20" s="94">
        <v>209</v>
      </c>
      <c r="D20" s="94"/>
      <c r="E20" s="101">
        <v>209.01</v>
      </c>
      <c r="I20" s="74"/>
    </row>
    <row r="21" spans="1:13" ht="12">
      <c r="A21" s="71"/>
      <c r="B21" s="81"/>
      <c r="C21" s="94">
        <v>210</v>
      </c>
      <c r="D21" s="94"/>
      <c r="E21" s="94"/>
      <c r="I21" s="74"/>
    </row>
    <row r="22" spans="1:13" ht="12">
      <c r="A22" s="71"/>
      <c r="B22" s="1" t="s">
        <v>4056</v>
      </c>
      <c r="C22" s="94">
        <v>211</v>
      </c>
      <c r="D22" s="94"/>
      <c r="E22" s="101">
        <v>211.01</v>
      </c>
      <c r="I22" s="74"/>
    </row>
    <row r="23" spans="1:13" ht="12">
      <c r="A23" s="71"/>
      <c r="B23" s="1" t="s">
        <v>4036</v>
      </c>
      <c r="C23" s="94">
        <v>212</v>
      </c>
      <c r="D23" s="97"/>
      <c r="E23" s="97">
        <v>212.01</v>
      </c>
      <c r="F23" s="74">
        <v>1</v>
      </c>
      <c r="G23" s="74">
        <v>6</v>
      </c>
      <c r="H23" s="74">
        <v>11</v>
      </c>
      <c r="I23" s="74">
        <v>0.8</v>
      </c>
      <c r="J23" s="74">
        <v>10</v>
      </c>
      <c r="K23" s="71">
        <f t="shared" ref="K23:K40" si="2">F23*G23*H23*J23*I23</f>
        <v>528</v>
      </c>
      <c r="L23" s="75">
        <v>1</v>
      </c>
      <c r="M23" s="74">
        <f t="shared" ref="M23:M40" si="3">F23*G23*H23</f>
        <v>66</v>
      </c>
    </row>
    <row r="24" spans="1:13" ht="12">
      <c r="A24" s="71"/>
      <c r="B24" s="1" t="s">
        <v>4079</v>
      </c>
      <c r="C24" s="94">
        <v>213</v>
      </c>
      <c r="E24" s="93">
        <v>213.01</v>
      </c>
      <c r="F24" s="74">
        <v>1</v>
      </c>
      <c r="G24" s="74">
        <v>1</v>
      </c>
      <c r="H24" s="74">
        <v>1</v>
      </c>
      <c r="I24" s="74">
        <v>1</v>
      </c>
      <c r="J24" s="74">
        <v>1</v>
      </c>
      <c r="K24" s="71">
        <f>F24*G24*H24*J24*I24</f>
        <v>1</v>
      </c>
      <c r="L24" s="75">
        <v>1</v>
      </c>
      <c r="M24" s="74">
        <f>F24*G24*H24</f>
        <v>1</v>
      </c>
    </row>
    <row r="25" spans="1:13" ht="12">
      <c r="A25" s="71"/>
      <c r="B25" s="1" t="s">
        <v>4071</v>
      </c>
      <c r="C25" s="94">
        <v>214</v>
      </c>
      <c r="E25" s="93">
        <v>214.01</v>
      </c>
      <c r="F25" s="74">
        <v>1</v>
      </c>
      <c r="G25" s="74">
        <v>1</v>
      </c>
      <c r="H25" s="74">
        <v>20</v>
      </c>
      <c r="I25" s="74">
        <v>0.72</v>
      </c>
      <c r="J25" s="74">
        <v>8</v>
      </c>
      <c r="K25" s="71">
        <f t="shared" si="2"/>
        <v>115.19999999999999</v>
      </c>
      <c r="L25" s="75">
        <v>2</v>
      </c>
      <c r="M25" s="74">
        <f t="shared" si="3"/>
        <v>20</v>
      </c>
    </row>
    <row r="26" spans="1:13" ht="12">
      <c r="A26" s="71"/>
      <c r="B26" s="83" t="s">
        <v>1301</v>
      </c>
      <c r="C26" s="94">
        <v>215</v>
      </c>
      <c r="D26" s="96"/>
      <c r="E26" s="96">
        <v>215.01</v>
      </c>
      <c r="F26" s="74">
        <v>1</v>
      </c>
      <c r="G26" s="74">
        <v>2</v>
      </c>
      <c r="H26" s="74">
        <v>8</v>
      </c>
      <c r="I26" s="74">
        <v>1.6</v>
      </c>
      <c r="J26" s="74">
        <v>3</v>
      </c>
      <c r="K26" s="71">
        <f t="shared" si="2"/>
        <v>76.800000000000011</v>
      </c>
      <c r="L26" s="75">
        <v>1</v>
      </c>
      <c r="M26" s="74">
        <f t="shared" si="3"/>
        <v>16</v>
      </c>
    </row>
    <row r="27" spans="1:13" ht="12">
      <c r="A27" s="71"/>
      <c r="B27" s="1" t="s">
        <v>4057</v>
      </c>
      <c r="C27" s="94">
        <v>230</v>
      </c>
      <c r="D27" s="94"/>
      <c r="E27" s="94">
        <v>230.01</v>
      </c>
      <c r="F27" s="74">
        <v>1</v>
      </c>
      <c r="G27" s="74">
        <v>7</v>
      </c>
      <c r="H27" s="74">
        <v>1</v>
      </c>
      <c r="I27" s="74">
        <v>2</v>
      </c>
      <c r="J27" s="74">
        <v>3</v>
      </c>
      <c r="K27" s="71">
        <f t="shared" si="2"/>
        <v>42</v>
      </c>
      <c r="L27" s="75">
        <v>1</v>
      </c>
      <c r="M27" s="74">
        <f t="shared" si="3"/>
        <v>7</v>
      </c>
    </row>
    <row r="28" spans="1:13" ht="12">
      <c r="A28" s="71"/>
      <c r="B28" s="1" t="s">
        <v>4058</v>
      </c>
      <c r="C28" s="94">
        <v>231</v>
      </c>
      <c r="D28" s="94"/>
      <c r="E28" s="94">
        <v>231.01</v>
      </c>
      <c r="F28" s="74">
        <v>1</v>
      </c>
      <c r="G28" s="74">
        <v>5</v>
      </c>
      <c r="H28" s="74">
        <v>1</v>
      </c>
      <c r="I28" s="74">
        <v>2</v>
      </c>
      <c r="J28" s="74">
        <v>3</v>
      </c>
      <c r="K28" s="71">
        <f t="shared" si="2"/>
        <v>30</v>
      </c>
      <c r="L28" s="75">
        <v>1</v>
      </c>
      <c r="M28" s="74">
        <f t="shared" si="3"/>
        <v>5</v>
      </c>
    </row>
    <row r="29" spans="1:13" ht="12">
      <c r="A29" s="71"/>
      <c r="B29" s="1" t="s">
        <v>4063</v>
      </c>
      <c r="C29" s="94">
        <v>232</v>
      </c>
      <c r="D29" s="94"/>
      <c r="E29" s="94">
        <v>232.01</v>
      </c>
      <c r="F29" s="74">
        <v>1</v>
      </c>
      <c r="G29" s="74">
        <v>4</v>
      </c>
      <c r="H29" s="74">
        <v>1</v>
      </c>
      <c r="I29" s="74">
        <v>3</v>
      </c>
      <c r="J29" s="74">
        <v>3</v>
      </c>
      <c r="K29" s="71">
        <f>F29*G29*H29*J29*I29</f>
        <v>36</v>
      </c>
      <c r="L29" s="75">
        <v>1</v>
      </c>
      <c r="M29" s="74">
        <f>F29*G29*H29</f>
        <v>4</v>
      </c>
    </row>
    <row r="30" spans="1:13" ht="12">
      <c r="A30" s="71"/>
      <c r="B30" s="1" t="s">
        <v>4034</v>
      </c>
      <c r="C30" s="94">
        <v>233</v>
      </c>
      <c r="D30" s="94"/>
      <c r="E30" s="94">
        <v>233.01</v>
      </c>
      <c r="F30" s="74">
        <v>1</v>
      </c>
      <c r="G30" s="74">
        <v>2</v>
      </c>
      <c r="H30" s="74">
        <v>3</v>
      </c>
      <c r="I30" s="74">
        <v>1.8</v>
      </c>
      <c r="J30" s="74">
        <v>50</v>
      </c>
      <c r="K30" s="71">
        <f t="shared" si="2"/>
        <v>540</v>
      </c>
      <c r="L30" s="75">
        <v>1</v>
      </c>
      <c r="M30" s="74">
        <f t="shared" si="3"/>
        <v>6</v>
      </c>
    </row>
    <row r="31" spans="1:13" ht="12">
      <c r="A31" s="71"/>
      <c r="B31" s="1" t="s">
        <v>4040</v>
      </c>
      <c r="C31" s="94">
        <v>234</v>
      </c>
      <c r="D31" s="64"/>
      <c r="E31" s="64">
        <v>234.01</v>
      </c>
      <c r="F31" s="74">
        <v>1</v>
      </c>
      <c r="G31" s="74">
        <v>1</v>
      </c>
      <c r="H31" s="74">
        <v>1</v>
      </c>
      <c r="I31" s="74">
        <v>0.5</v>
      </c>
      <c r="J31" s="74">
        <v>10</v>
      </c>
      <c r="K31" s="71">
        <f t="shared" si="2"/>
        <v>5</v>
      </c>
      <c r="L31" s="75">
        <v>1</v>
      </c>
      <c r="M31" s="74">
        <f t="shared" si="3"/>
        <v>1</v>
      </c>
    </row>
    <row r="32" spans="1:13" ht="12">
      <c r="A32" s="71"/>
      <c r="B32" s="1" t="s">
        <v>4064</v>
      </c>
      <c r="C32" s="94">
        <v>235</v>
      </c>
      <c r="D32" s="94"/>
      <c r="E32" s="94"/>
      <c r="I32" s="74"/>
    </row>
    <row r="33" spans="1:13" ht="12">
      <c r="A33" s="81" t="s">
        <v>2030</v>
      </c>
      <c r="B33" s="104" t="s">
        <v>2680</v>
      </c>
      <c r="C33" s="94">
        <v>251</v>
      </c>
      <c r="D33" s="81" t="s">
        <v>1915</v>
      </c>
      <c r="E33" s="94">
        <v>251.01</v>
      </c>
      <c r="F33" s="74">
        <v>1</v>
      </c>
      <c r="G33" s="74">
        <v>3</v>
      </c>
      <c r="H33" s="74">
        <v>2</v>
      </c>
      <c r="I33" s="74">
        <v>0.8</v>
      </c>
      <c r="J33" s="74">
        <v>25</v>
      </c>
      <c r="K33" s="71">
        <f t="shared" si="2"/>
        <v>120</v>
      </c>
      <c r="L33" s="75">
        <v>10</v>
      </c>
      <c r="M33" s="74">
        <f t="shared" si="3"/>
        <v>6</v>
      </c>
    </row>
    <row r="34" spans="1:13" ht="12">
      <c r="A34" s="71"/>
      <c r="B34" s="81"/>
      <c r="C34" s="94"/>
      <c r="D34" s="81" t="s">
        <v>1916</v>
      </c>
      <c r="E34" s="100">
        <v>251.21</v>
      </c>
      <c r="F34" s="74">
        <v>1</v>
      </c>
      <c r="G34" s="74">
        <v>4</v>
      </c>
      <c r="H34" s="74">
        <v>2</v>
      </c>
      <c r="I34" s="74">
        <v>1</v>
      </c>
      <c r="J34" s="74">
        <v>3</v>
      </c>
      <c r="K34" s="71">
        <f t="shared" si="2"/>
        <v>24</v>
      </c>
      <c r="L34" s="75">
        <v>1</v>
      </c>
      <c r="M34" s="74">
        <f t="shared" si="3"/>
        <v>8</v>
      </c>
    </row>
    <row r="35" spans="1:13" ht="12">
      <c r="A35" s="71"/>
      <c r="D35" s="81" t="s">
        <v>1917</v>
      </c>
      <c r="E35" s="94">
        <v>251.41</v>
      </c>
      <c r="F35" s="74">
        <v>1</v>
      </c>
      <c r="G35" s="74">
        <v>3</v>
      </c>
      <c r="H35" s="74">
        <v>1</v>
      </c>
      <c r="I35" s="74">
        <v>0.35</v>
      </c>
      <c r="J35" s="74">
        <v>25</v>
      </c>
      <c r="K35" s="71">
        <f t="shared" si="2"/>
        <v>26.25</v>
      </c>
      <c r="L35" s="75">
        <v>5</v>
      </c>
      <c r="M35" s="74">
        <f t="shared" si="3"/>
        <v>3</v>
      </c>
    </row>
    <row r="36" spans="1:13" ht="12">
      <c r="A36" s="71"/>
      <c r="B36" s="104" t="s">
        <v>2681</v>
      </c>
      <c r="C36" s="94">
        <v>252</v>
      </c>
      <c r="D36" s="81" t="s">
        <v>1918</v>
      </c>
      <c r="E36" s="94">
        <v>252.01</v>
      </c>
      <c r="F36" s="74">
        <v>1</v>
      </c>
      <c r="G36" s="74">
        <v>3</v>
      </c>
      <c r="H36" s="74">
        <v>1</v>
      </c>
      <c r="I36" s="74">
        <v>0.7</v>
      </c>
      <c r="J36" s="74">
        <v>10</v>
      </c>
      <c r="K36" s="71">
        <f t="shared" si="2"/>
        <v>21</v>
      </c>
      <c r="L36" s="75">
        <v>2</v>
      </c>
      <c r="M36" s="74">
        <f t="shared" si="3"/>
        <v>3</v>
      </c>
    </row>
    <row r="37" spans="1:13" ht="12">
      <c r="A37" s="71"/>
      <c r="B37" s="81"/>
      <c r="C37" s="94"/>
      <c r="D37" s="81" t="s">
        <v>1919</v>
      </c>
      <c r="E37" s="94">
        <v>252.21</v>
      </c>
      <c r="F37" s="74">
        <v>3</v>
      </c>
      <c r="G37" s="74">
        <v>2</v>
      </c>
      <c r="H37" s="74">
        <v>5</v>
      </c>
      <c r="I37" s="74">
        <v>0.22</v>
      </c>
      <c r="J37" s="74">
        <v>20</v>
      </c>
      <c r="K37" s="71">
        <f t="shared" si="2"/>
        <v>132</v>
      </c>
      <c r="L37" s="75">
        <v>1</v>
      </c>
      <c r="M37" s="74">
        <f t="shared" si="3"/>
        <v>30</v>
      </c>
    </row>
    <row r="38" spans="1:13" ht="12">
      <c r="A38" s="71"/>
      <c r="B38" s="81" t="s">
        <v>1924</v>
      </c>
      <c r="C38" s="94">
        <v>253</v>
      </c>
      <c r="D38" s="94"/>
      <c r="E38" s="101">
        <v>253.01</v>
      </c>
      <c r="F38" s="74">
        <v>1</v>
      </c>
      <c r="G38" s="3">
        <v>2</v>
      </c>
      <c r="H38" s="74">
        <v>3</v>
      </c>
      <c r="I38" s="74">
        <v>0.4</v>
      </c>
      <c r="J38" s="74">
        <v>100</v>
      </c>
      <c r="K38" s="71">
        <f t="shared" si="2"/>
        <v>240</v>
      </c>
      <c r="L38" s="75">
        <v>1</v>
      </c>
      <c r="M38" s="74">
        <f t="shared" si="3"/>
        <v>6</v>
      </c>
    </row>
    <row r="39" spans="1:13" ht="12">
      <c r="A39" s="1" t="s">
        <v>2032</v>
      </c>
      <c r="B39" s="71" t="s">
        <v>1029</v>
      </c>
      <c r="C39" s="93">
        <v>261</v>
      </c>
      <c r="E39" s="93">
        <v>261.01</v>
      </c>
      <c r="F39" s="74">
        <v>1</v>
      </c>
      <c r="G39" s="74">
        <v>9</v>
      </c>
      <c r="H39" s="74">
        <v>2</v>
      </c>
      <c r="I39" s="74">
        <v>0.22</v>
      </c>
      <c r="J39" s="74">
        <v>100</v>
      </c>
      <c r="K39" s="71">
        <f t="shared" si="2"/>
        <v>396</v>
      </c>
      <c r="L39" s="75">
        <v>1</v>
      </c>
      <c r="M39" s="74">
        <f t="shared" si="3"/>
        <v>18</v>
      </c>
    </row>
    <row r="40" spans="1:13" ht="12">
      <c r="A40" s="71"/>
      <c r="B40" s="1" t="s">
        <v>4065</v>
      </c>
      <c r="C40" s="93">
        <v>262</v>
      </c>
      <c r="E40" s="93">
        <v>262.01</v>
      </c>
      <c r="F40" s="74">
        <v>1</v>
      </c>
      <c r="G40" s="74">
        <v>4</v>
      </c>
      <c r="H40" s="74">
        <v>6</v>
      </c>
      <c r="I40" s="74">
        <v>0.01</v>
      </c>
      <c r="J40" s="74">
        <v>1000</v>
      </c>
      <c r="K40" s="71">
        <f t="shared" si="2"/>
        <v>240</v>
      </c>
      <c r="L40" s="75">
        <v>1</v>
      </c>
      <c r="M40" s="74">
        <f t="shared" si="3"/>
        <v>24</v>
      </c>
    </row>
    <row r="41" spans="1:13" ht="12">
      <c r="A41" s="71"/>
      <c r="D41" s="64" t="s">
        <v>2033</v>
      </c>
      <c r="E41" s="103">
        <v>262.41000000000003</v>
      </c>
      <c r="I41" s="74"/>
    </row>
    <row r="42" spans="1:13" ht="12">
      <c r="A42" s="71"/>
      <c r="B42" s="1" t="s">
        <v>4045</v>
      </c>
      <c r="C42" s="93">
        <v>263</v>
      </c>
      <c r="E42" s="93">
        <v>263.01</v>
      </c>
      <c r="F42" s="74">
        <v>1</v>
      </c>
      <c r="G42" s="74">
        <v>5</v>
      </c>
      <c r="H42" s="74">
        <v>1</v>
      </c>
      <c r="I42" s="74">
        <v>0.22</v>
      </c>
      <c r="J42" s="74">
        <v>300</v>
      </c>
      <c r="K42" s="71">
        <f t="shared" ref="K42:K47" si="4">F42*G42*H42*J42*I42</f>
        <v>330</v>
      </c>
      <c r="L42" s="75">
        <v>1</v>
      </c>
      <c r="M42" s="74">
        <f t="shared" ref="M42:M47" si="5">F42*G42*H42</f>
        <v>5</v>
      </c>
    </row>
    <row r="43" spans="1:13" ht="12">
      <c r="A43" s="71"/>
      <c r="B43" s="71" t="s">
        <v>1007</v>
      </c>
      <c r="C43" s="93">
        <v>264</v>
      </c>
      <c r="E43" s="93">
        <v>264.01</v>
      </c>
      <c r="F43" s="74">
        <v>4</v>
      </c>
      <c r="G43" s="74">
        <v>1</v>
      </c>
      <c r="H43" s="74">
        <v>6</v>
      </c>
      <c r="I43" s="74">
        <v>1.5</v>
      </c>
      <c r="J43" s="74">
        <v>3</v>
      </c>
      <c r="K43" s="71">
        <f t="shared" si="4"/>
        <v>108</v>
      </c>
      <c r="L43" s="75">
        <v>1</v>
      </c>
      <c r="M43" s="74">
        <f t="shared" si="5"/>
        <v>24</v>
      </c>
    </row>
    <row r="44" spans="1:13" ht="12">
      <c r="A44" s="71"/>
      <c r="B44" s="1" t="s">
        <v>2048</v>
      </c>
      <c r="C44" s="93">
        <v>265</v>
      </c>
      <c r="D44" s="64" t="s">
        <v>4059</v>
      </c>
      <c r="E44" s="93">
        <v>265.01</v>
      </c>
      <c r="F44" s="74">
        <v>1</v>
      </c>
      <c r="G44" s="74">
        <v>2</v>
      </c>
      <c r="H44" s="74">
        <v>2</v>
      </c>
      <c r="I44" s="74">
        <v>1.4</v>
      </c>
      <c r="J44" s="74">
        <v>20</v>
      </c>
      <c r="K44" s="71">
        <f t="shared" si="4"/>
        <v>112</v>
      </c>
      <c r="L44" s="75">
        <v>1</v>
      </c>
      <c r="M44" s="74">
        <f t="shared" si="5"/>
        <v>4</v>
      </c>
    </row>
    <row r="45" spans="1:13" ht="12">
      <c r="A45" s="71"/>
      <c r="B45" s="1" t="s">
        <v>2049</v>
      </c>
      <c r="C45" s="93">
        <v>266</v>
      </c>
      <c r="D45" s="1" t="s">
        <v>1238</v>
      </c>
      <c r="E45" s="64">
        <v>266.01</v>
      </c>
      <c r="F45" s="74">
        <v>2</v>
      </c>
      <c r="G45" s="74">
        <v>2</v>
      </c>
      <c r="H45" s="74">
        <v>3</v>
      </c>
      <c r="I45" s="74">
        <v>0.7</v>
      </c>
      <c r="J45" s="74">
        <v>10</v>
      </c>
      <c r="K45" s="71">
        <f t="shared" si="4"/>
        <v>84</v>
      </c>
      <c r="L45" s="75">
        <v>1</v>
      </c>
      <c r="M45" s="74">
        <f t="shared" si="5"/>
        <v>12</v>
      </c>
    </row>
    <row r="46" spans="1:13" ht="12">
      <c r="A46" s="71"/>
      <c r="D46" s="64" t="s">
        <v>4038</v>
      </c>
      <c r="E46" s="64">
        <v>266.11</v>
      </c>
      <c r="F46" s="74">
        <v>1</v>
      </c>
      <c r="G46" s="74">
        <v>2</v>
      </c>
      <c r="H46" s="74">
        <v>1</v>
      </c>
      <c r="I46" s="74">
        <v>0.4</v>
      </c>
      <c r="J46" s="74">
        <v>40</v>
      </c>
      <c r="K46" s="71">
        <f t="shared" si="4"/>
        <v>32</v>
      </c>
      <c r="L46" s="75">
        <v>1</v>
      </c>
      <c r="M46" s="74">
        <f t="shared" si="5"/>
        <v>2</v>
      </c>
    </row>
    <row r="47" spans="1:13" ht="12">
      <c r="A47" s="71"/>
      <c r="B47" s="1" t="s">
        <v>4039</v>
      </c>
      <c r="C47" s="93">
        <v>267</v>
      </c>
      <c r="D47" s="64"/>
      <c r="E47" s="64">
        <v>267.01</v>
      </c>
      <c r="F47" s="74">
        <v>2</v>
      </c>
      <c r="G47" s="74">
        <v>1</v>
      </c>
      <c r="H47" s="74">
        <v>10</v>
      </c>
      <c r="I47" s="74">
        <v>0.9</v>
      </c>
      <c r="J47" s="74">
        <v>3</v>
      </c>
      <c r="K47" s="71">
        <f t="shared" si="4"/>
        <v>54</v>
      </c>
      <c r="L47" s="75">
        <v>1</v>
      </c>
      <c r="M47" s="74">
        <f t="shared" si="5"/>
        <v>20</v>
      </c>
    </row>
    <row r="48" spans="1:13" ht="12">
      <c r="A48" s="71"/>
      <c r="B48" s="1" t="s">
        <v>4046</v>
      </c>
      <c r="C48" s="93">
        <v>268</v>
      </c>
      <c r="D48" s="94"/>
      <c r="E48" s="101">
        <v>268.01</v>
      </c>
      <c r="I48" s="74"/>
    </row>
    <row r="49" spans="1:13" ht="12">
      <c r="A49" s="71"/>
      <c r="B49" s="1" t="s">
        <v>4080</v>
      </c>
      <c r="C49" s="93">
        <v>269</v>
      </c>
      <c r="D49" s="94"/>
      <c r="E49" s="64">
        <v>269.01</v>
      </c>
      <c r="I49" s="74"/>
    </row>
    <row r="50" spans="1:13" ht="12">
      <c r="A50" s="1" t="s">
        <v>2031</v>
      </c>
      <c r="B50" s="81" t="s">
        <v>1935</v>
      </c>
      <c r="C50" s="94">
        <v>281</v>
      </c>
      <c r="D50" s="94"/>
      <c r="E50" s="94">
        <v>281.01</v>
      </c>
      <c r="F50" s="74">
        <v>1</v>
      </c>
      <c r="G50" s="74">
        <v>1</v>
      </c>
      <c r="H50" s="74">
        <v>12</v>
      </c>
      <c r="I50" s="74">
        <v>2.5</v>
      </c>
      <c r="J50" s="74">
        <v>3</v>
      </c>
      <c r="K50" s="71">
        <f t="shared" ref="K50:K62" si="6">F50*G50*H50*J50*I50</f>
        <v>90</v>
      </c>
      <c r="L50" s="75">
        <v>1</v>
      </c>
      <c r="M50" s="74">
        <f t="shared" ref="M50:M62" si="7">F50*G50*H50</f>
        <v>12</v>
      </c>
    </row>
    <row r="51" spans="1:13" ht="12">
      <c r="A51" s="71"/>
      <c r="B51" s="81" t="s">
        <v>1936</v>
      </c>
      <c r="C51" s="94">
        <v>282</v>
      </c>
      <c r="D51" s="94"/>
      <c r="E51" s="94">
        <v>282.01</v>
      </c>
      <c r="F51" s="74">
        <v>1</v>
      </c>
      <c r="G51" s="74">
        <v>2</v>
      </c>
      <c r="H51" s="74">
        <v>18</v>
      </c>
      <c r="I51" s="74">
        <v>0.9</v>
      </c>
      <c r="J51" s="74">
        <v>3</v>
      </c>
      <c r="K51" s="71">
        <f t="shared" si="6"/>
        <v>97.2</v>
      </c>
      <c r="L51" s="75">
        <v>1</v>
      </c>
      <c r="M51" s="74">
        <f t="shared" si="7"/>
        <v>36</v>
      </c>
    </row>
    <row r="52" spans="1:13" ht="12">
      <c r="A52" s="71"/>
      <c r="B52" s="1" t="s">
        <v>4066</v>
      </c>
      <c r="C52" s="94">
        <v>283</v>
      </c>
      <c r="D52" s="94"/>
      <c r="E52" s="94">
        <v>283.01</v>
      </c>
      <c r="F52" s="74">
        <v>1</v>
      </c>
      <c r="G52" s="74">
        <v>2</v>
      </c>
      <c r="H52" s="74">
        <v>18</v>
      </c>
      <c r="I52" s="74">
        <v>0.9</v>
      </c>
      <c r="J52" s="74">
        <v>3</v>
      </c>
      <c r="K52" s="71">
        <f t="shared" si="6"/>
        <v>97.2</v>
      </c>
      <c r="L52" s="75">
        <v>1</v>
      </c>
      <c r="M52" s="74">
        <f t="shared" si="7"/>
        <v>36</v>
      </c>
    </row>
    <row r="53" spans="1:13" ht="12">
      <c r="A53" s="71"/>
      <c r="B53" s="1" t="s">
        <v>4067</v>
      </c>
      <c r="C53" s="94">
        <v>284</v>
      </c>
      <c r="E53" s="93">
        <v>284.01</v>
      </c>
      <c r="F53" s="74">
        <v>1</v>
      </c>
      <c r="G53" s="74">
        <v>1</v>
      </c>
      <c r="H53" s="74">
        <v>5</v>
      </c>
      <c r="I53" s="74">
        <v>0.65</v>
      </c>
      <c r="J53" s="74">
        <v>120</v>
      </c>
      <c r="K53" s="71">
        <f>F53*G53*H53*J53*I53</f>
        <v>390</v>
      </c>
      <c r="L53" s="75">
        <v>1</v>
      </c>
      <c r="M53" s="74">
        <f>F53*G53*H53</f>
        <v>5</v>
      </c>
    </row>
    <row r="54" spans="1:13" ht="12">
      <c r="A54" s="81" t="s">
        <v>2034</v>
      </c>
      <c r="B54" s="1" t="s">
        <v>4105</v>
      </c>
      <c r="C54" s="64">
        <v>301</v>
      </c>
      <c r="D54" s="1" t="s">
        <v>1605</v>
      </c>
      <c r="E54" s="64">
        <v>301.01</v>
      </c>
      <c r="F54" s="74">
        <v>1</v>
      </c>
      <c r="G54" s="74">
        <v>3</v>
      </c>
      <c r="H54" s="74">
        <v>1</v>
      </c>
      <c r="I54" s="74">
        <v>0.15</v>
      </c>
      <c r="J54" s="74">
        <v>60</v>
      </c>
      <c r="K54" s="71">
        <f t="shared" si="6"/>
        <v>27</v>
      </c>
      <c r="L54" s="75">
        <v>1</v>
      </c>
      <c r="M54" s="74">
        <f t="shared" si="7"/>
        <v>3</v>
      </c>
    </row>
    <row r="55" spans="1:13" ht="12">
      <c r="A55" s="71"/>
      <c r="C55" s="64"/>
      <c r="D55" s="1" t="s">
        <v>1599</v>
      </c>
      <c r="E55" s="64">
        <v>301.20999999999998</v>
      </c>
      <c r="F55" s="74">
        <v>1</v>
      </c>
      <c r="G55" s="74">
        <v>3</v>
      </c>
      <c r="H55" s="74">
        <v>1</v>
      </c>
      <c r="I55" s="74">
        <v>0.1</v>
      </c>
      <c r="J55" s="74">
        <v>50</v>
      </c>
      <c r="K55" s="71">
        <f t="shared" si="6"/>
        <v>15</v>
      </c>
      <c r="L55" s="75">
        <v>1</v>
      </c>
      <c r="M55" s="74">
        <f t="shared" si="7"/>
        <v>3</v>
      </c>
    </row>
    <row r="56" spans="1:13" ht="12">
      <c r="A56" s="71"/>
      <c r="C56" s="64"/>
      <c r="D56" s="1" t="s">
        <v>2053</v>
      </c>
      <c r="E56" s="64">
        <v>301.41000000000003</v>
      </c>
      <c r="F56" s="74">
        <v>1</v>
      </c>
      <c r="G56" s="74">
        <v>8</v>
      </c>
      <c r="H56" s="74">
        <v>1</v>
      </c>
      <c r="I56" s="74">
        <v>0.3</v>
      </c>
      <c r="J56" s="74">
        <v>50</v>
      </c>
      <c r="K56" s="71">
        <f t="shared" si="6"/>
        <v>120</v>
      </c>
      <c r="L56" s="75">
        <v>1</v>
      </c>
      <c r="M56" s="74">
        <f t="shared" si="7"/>
        <v>8</v>
      </c>
    </row>
    <row r="57" spans="1:13" ht="12">
      <c r="A57" s="71"/>
      <c r="B57" s="1" t="s">
        <v>4106</v>
      </c>
      <c r="C57" s="64">
        <v>302</v>
      </c>
      <c r="D57" s="1" t="s">
        <v>1602</v>
      </c>
      <c r="E57" s="64">
        <v>302.01</v>
      </c>
      <c r="F57" s="74">
        <v>1</v>
      </c>
      <c r="G57" s="74">
        <v>3</v>
      </c>
      <c r="H57" s="74">
        <v>1</v>
      </c>
      <c r="I57" s="74">
        <v>0.06</v>
      </c>
      <c r="J57" s="74">
        <v>1000</v>
      </c>
      <c r="K57" s="71">
        <f t="shared" si="6"/>
        <v>180</v>
      </c>
      <c r="L57" s="75">
        <v>1</v>
      </c>
      <c r="M57" s="74">
        <f t="shared" si="7"/>
        <v>3</v>
      </c>
    </row>
    <row r="58" spans="1:13" ht="12">
      <c r="A58" s="71"/>
      <c r="C58" s="64"/>
      <c r="D58" s="1" t="s">
        <v>1603</v>
      </c>
      <c r="E58" s="64">
        <v>302.20999999999998</v>
      </c>
      <c r="F58" s="74">
        <v>1</v>
      </c>
      <c r="G58" s="74">
        <v>3</v>
      </c>
      <c r="H58" s="74">
        <v>1</v>
      </c>
      <c r="I58" s="74">
        <v>0.06</v>
      </c>
      <c r="J58" s="74">
        <v>1000</v>
      </c>
      <c r="K58" s="71">
        <f t="shared" si="6"/>
        <v>180</v>
      </c>
      <c r="L58" s="75">
        <v>1</v>
      </c>
      <c r="M58" s="74">
        <f t="shared" si="7"/>
        <v>3</v>
      </c>
    </row>
    <row r="59" spans="1:13" ht="12">
      <c r="A59" s="71"/>
      <c r="C59" s="64"/>
      <c r="D59" s="1" t="s">
        <v>1604</v>
      </c>
      <c r="E59" s="64">
        <v>302.41000000000003</v>
      </c>
      <c r="F59" s="74">
        <v>1</v>
      </c>
      <c r="G59" s="74">
        <v>4</v>
      </c>
      <c r="H59" s="74">
        <v>1</v>
      </c>
      <c r="I59" s="74">
        <v>0.22</v>
      </c>
      <c r="J59" s="74">
        <v>300</v>
      </c>
      <c r="K59" s="71">
        <f t="shared" si="6"/>
        <v>264</v>
      </c>
      <c r="L59" s="75">
        <v>1</v>
      </c>
      <c r="M59" s="74">
        <f t="shared" si="7"/>
        <v>4</v>
      </c>
    </row>
    <row r="60" spans="1:13" ht="12">
      <c r="A60" s="71"/>
      <c r="B60" s="1" t="s">
        <v>1929</v>
      </c>
      <c r="C60" s="64">
        <v>303</v>
      </c>
      <c r="D60" s="1" t="s">
        <v>2051</v>
      </c>
      <c r="E60" s="64">
        <v>303.01</v>
      </c>
      <c r="F60" s="74">
        <v>1</v>
      </c>
      <c r="G60" s="74">
        <v>3</v>
      </c>
      <c r="H60" s="74">
        <v>1</v>
      </c>
      <c r="I60" s="74">
        <v>0.15</v>
      </c>
      <c r="J60" s="74">
        <v>50</v>
      </c>
      <c r="K60" s="71">
        <f t="shared" si="6"/>
        <v>22.5</v>
      </c>
      <c r="L60" s="75">
        <v>1</v>
      </c>
      <c r="M60" s="74">
        <f t="shared" si="7"/>
        <v>3</v>
      </c>
    </row>
    <row r="61" spans="1:13" ht="12">
      <c r="A61" s="71"/>
      <c r="C61" s="64"/>
      <c r="D61" s="1" t="s">
        <v>2050</v>
      </c>
      <c r="E61" s="64">
        <v>303.20999999999998</v>
      </c>
      <c r="F61" s="74">
        <v>1</v>
      </c>
      <c r="G61" s="74">
        <v>3</v>
      </c>
      <c r="H61" s="74">
        <v>1</v>
      </c>
      <c r="I61" s="74">
        <v>0.15</v>
      </c>
      <c r="J61" s="74">
        <v>50</v>
      </c>
      <c r="K61" s="71">
        <f t="shared" si="6"/>
        <v>22.5</v>
      </c>
      <c r="L61" s="75">
        <v>1</v>
      </c>
      <c r="M61" s="74">
        <f t="shared" si="7"/>
        <v>3</v>
      </c>
    </row>
    <row r="62" spans="1:13" ht="12">
      <c r="A62" s="71"/>
      <c r="C62" s="64"/>
      <c r="D62" s="1" t="s">
        <v>2052</v>
      </c>
      <c r="E62" s="64">
        <v>303.41000000000003</v>
      </c>
      <c r="F62" s="74">
        <v>1</v>
      </c>
      <c r="G62" s="74">
        <v>3</v>
      </c>
      <c r="H62" s="74">
        <v>1</v>
      </c>
      <c r="I62" s="74">
        <v>0.15</v>
      </c>
      <c r="J62" s="74">
        <v>50</v>
      </c>
      <c r="K62" s="71">
        <f t="shared" si="6"/>
        <v>22.5</v>
      </c>
      <c r="L62" s="75">
        <v>1</v>
      </c>
      <c r="M62" s="74">
        <f t="shared" si="7"/>
        <v>3</v>
      </c>
    </row>
    <row r="63" spans="1:13" ht="12">
      <c r="A63" s="71"/>
      <c r="B63" s="1" t="s">
        <v>4116</v>
      </c>
      <c r="C63" s="64">
        <v>304</v>
      </c>
      <c r="D63" s="1"/>
      <c r="E63" s="64">
        <v>304.01</v>
      </c>
      <c r="I63" s="74"/>
    </row>
    <row r="64" spans="1:13" ht="12">
      <c r="A64" s="71"/>
      <c r="B64" s="1" t="s">
        <v>2054</v>
      </c>
      <c r="C64" s="64">
        <v>305</v>
      </c>
      <c r="D64" s="1"/>
      <c r="E64" s="64">
        <v>305.01</v>
      </c>
      <c r="I64" s="74"/>
    </row>
    <row r="65" spans="1:13" ht="12">
      <c r="A65" s="71"/>
      <c r="B65" s="104" t="s">
        <v>2767</v>
      </c>
      <c r="C65" s="64">
        <v>306</v>
      </c>
      <c r="D65" s="1"/>
      <c r="E65" s="64">
        <v>306.01</v>
      </c>
      <c r="I65" s="74"/>
    </row>
    <row r="66" spans="1:13" ht="12">
      <c r="A66" s="71"/>
      <c r="B66" s="1" t="s">
        <v>4117</v>
      </c>
      <c r="C66" s="64">
        <v>307</v>
      </c>
      <c r="D66" s="1"/>
      <c r="E66" s="64">
        <v>307.01</v>
      </c>
      <c r="I66" s="74"/>
    </row>
    <row r="67" spans="1:13" ht="12">
      <c r="A67" s="1" t="s">
        <v>4124</v>
      </c>
      <c r="B67" s="1" t="s">
        <v>2042</v>
      </c>
      <c r="C67" s="94">
        <v>315</v>
      </c>
      <c r="D67" s="81"/>
      <c r="E67" s="94">
        <v>315.01</v>
      </c>
      <c r="F67" s="74">
        <v>3</v>
      </c>
      <c r="G67" s="74">
        <v>1</v>
      </c>
      <c r="H67" s="74">
        <v>1</v>
      </c>
      <c r="I67" s="74">
        <v>1.8</v>
      </c>
      <c r="J67" s="74">
        <v>10</v>
      </c>
      <c r="K67" s="71">
        <f>F67*G67*H67*J67*I67</f>
        <v>54</v>
      </c>
      <c r="L67" s="75">
        <v>1</v>
      </c>
      <c r="M67" s="74">
        <f>F67*G67*H67</f>
        <v>3</v>
      </c>
    </row>
    <row r="68" spans="1:13" ht="12">
      <c r="A68" s="1"/>
      <c r="B68" s="1" t="s">
        <v>4125</v>
      </c>
      <c r="C68" s="94">
        <v>316</v>
      </c>
      <c r="D68" s="81"/>
      <c r="E68" s="94">
        <v>316.01</v>
      </c>
      <c r="I68" s="74"/>
    </row>
    <row r="69" spans="1:13" ht="12">
      <c r="A69" s="1" t="s">
        <v>4110</v>
      </c>
      <c r="B69" s="1" t="s">
        <v>1929</v>
      </c>
      <c r="C69" s="94">
        <v>321</v>
      </c>
      <c r="D69" s="81" t="s">
        <v>2035</v>
      </c>
      <c r="E69" s="94">
        <v>321.01</v>
      </c>
      <c r="I69" s="74"/>
    </row>
    <row r="70" spans="1:13" ht="12">
      <c r="A70" s="81"/>
      <c r="B70" s="1"/>
      <c r="C70" s="94"/>
      <c r="D70" s="81" t="s">
        <v>2036</v>
      </c>
      <c r="E70" s="94">
        <v>321.20999999999998</v>
      </c>
      <c r="I70" s="74"/>
    </row>
    <row r="71" spans="1:13" ht="12">
      <c r="A71" s="81"/>
      <c r="B71" s="81" t="s">
        <v>1940</v>
      </c>
      <c r="C71" s="94">
        <v>322</v>
      </c>
      <c r="D71" s="81"/>
      <c r="E71" s="94">
        <v>322.01</v>
      </c>
      <c r="I71" s="74"/>
    </row>
    <row r="72" spans="1:13" ht="12">
      <c r="A72" s="81"/>
      <c r="B72" s="1"/>
      <c r="C72" s="94"/>
      <c r="D72" s="1" t="s">
        <v>3294</v>
      </c>
      <c r="E72" s="94">
        <v>322.41000000000003</v>
      </c>
      <c r="I72" s="74"/>
    </row>
    <row r="73" spans="1:13" ht="12">
      <c r="A73" s="1" t="s">
        <v>4122</v>
      </c>
      <c r="B73" s="1" t="s">
        <v>2038</v>
      </c>
      <c r="C73" s="94">
        <v>331</v>
      </c>
      <c r="D73" s="71"/>
      <c r="E73" s="94">
        <v>331.01</v>
      </c>
      <c r="F73" s="74">
        <v>1</v>
      </c>
      <c r="G73" s="74">
        <v>1</v>
      </c>
      <c r="H73" s="74">
        <v>1</v>
      </c>
      <c r="I73" s="74">
        <v>3</v>
      </c>
      <c r="J73" s="74">
        <v>10</v>
      </c>
      <c r="K73" s="71">
        <f>F73*G73*H73*J73*I73</f>
        <v>30</v>
      </c>
      <c r="L73" s="75">
        <v>2</v>
      </c>
      <c r="M73" s="74">
        <f>F73*G73*H73</f>
        <v>1</v>
      </c>
    </row>
    <row r="74" spans="1:13" ht="12">
      <c r="A74" s="1"/>
      <c r="B74" s="1" t="s">
        <v>2037</v>
      </c>
      <c r="C74" s="94">
        <v>332</v>
      </c>
      <c r="D74" s="71"/>
      <c r="E74" s="94">
        <v>332.01</v>
      </c>
      <c r="I74" s="74"/>
    </row>
    <row r="75" spans="1:13" ht="12">
      <c r="A75" s="81"/>
      <c r="B75" s="81" t="s">
        <v>2039</v>
      </c>
      <c r="C75" s="94">
        <v>333</v>
      </c>
      <c r="D75" s="71"/>
      <c r="E75" s="94">
        <v>333.01</v>
      </c>
      <c r="F75" s="74">
        <v>1</v>
      </c>
      <c r="G75" s="74">
        <v>1</v>
      </c>
      <c r="H75" s="74">
        <v>1</v>
      </c>
      <c r="I75" s="74">
        <v>0.3</v>
      </c>
      <c r="J75" s="74">
        <v>10</v>
      </c>
      <c r="K75" s="71">
        <f>F75*G75*H75*J75*I75</f>
        <v>3</v>
      </c>
      <c r="L75" s="75">
        <v>1</v>
      </c>
      <c r="M75" s="74">
        <f>F75*G75*H75</f>
        <v>1</v>
      </c>
    </row>
    <row r="76" spans="1:13" ht="12">
      <c r="A76" s="81"/>
      <c r="B76" s="81"/>
      <c r="C76" s="94"/>
      <c r="D76" s="1" t="s">
        <v>3296</v>
      </c>
      <c r="E76" s="94">
        <v>333.41</v>
      </c>
      <c r="I76" s="74"/>
    </row>
    <row r="77" spans="1:13" ht="12">
      <c r="A77" s="81"/>
      <c r="B77" s="143" t="s">
        <v>3458</v>
      </c>
      <c r="C77" s="94">
        <v>334</v>
      </c>
      <c r="D77" s="71"/>
      <c r="E77" s="94">
        <v>334.01</v>
      </c>
      <c r="I77" s="74"/>
    </row>
    <row r="78" spans="1:13" ht="12">
      <c r="A78" s="81"/>
      <c r="B78" s="143" t="s">
        <v>3534</v>
      </c>
      <c r="C78" s="94">
        <v>335</v>
      </c>
      <c r="D78" s="71"/>
      <c r="E78" s="94">
        <v>335.01</v>
      </c>
      <c r="I78" s="74"/>
    </row>
    <row r="79" spans="1:13" ht="12">
      <c r="A79" s="71"/>
      <c r="B79" s="1" t="s">
        <v>2040</v>
      </c>
      <c r="C79" s="94">
        <v>338</v>
      </c>
      <c r="D79" s="143" t="s">
        <v>3575</v>
      </c>
      <c r="E79" s="94">
        <v>338.01</v>
      </c>
      <c r="F79" s="74">
        <v>1</v>
      </c>
      <c r="G79" s="74">
        <v>1</v>
      </c>
      <c r="H79" s="74">
        <v>1</v>
      </c>
      <c r="I79" s="74">
        <v>4.5</v>
      </c>
      <c r="J79" s="74">
        <v>10</v>
      </c>
      <c r="K79" s="71">
        <f>F79*G79*H79*J79*I79</f>
        <v>45</v>
      </c>
      <c r="L79" s="75">
        <v>1</v>
      </c>
      <c r="M79" s="74">
        <f>F79*G79*H79</f>
        <v>1</v>
      </c>
    </row>
    <row r="80" spans="1:13" ht="12">
      <c r="A80" s="71"/>
      <c r="B80" s="1"/>
      <c r="C80" s="94"/>
      <c r="D80" s="143" t="s">
        <v>3574</v>
      </c>
      <c r="E80" s="94">
        <v>338.21</v>
      </c>
      <c r="I80" s="74"/>
    </row>
    <row r="81" spans="1:13" ht="12">
      <c r="A81" s="1" t="s">
        <v>2041</v>
      </c>
      <c r="B81" s="1" t="s">
        <v>1941</v>
      </c>
      <c r="C81" s="94">
        <v>351</v>
      </c>
      <c r="D81" s="94"/>
      <c r="E81" s="94">
        <v>351.01</v>
      </c>
      <c r="F81" s="74">
        <v>2</v>
      </c>
      <c r="G81" s="74">
        <v>1</v>
      </c>
      <c r="H81" s="74">
        <v>1</v>
      </c>
      <c r="I81" s="74">
        <v>1.2</v>
      </c>
      <c r="J81" s="74">
        <v>10</v>
      </c>
      <c r="K81" s="71">
        <f>F81*G81*H81*J81*I81</f>
        <v>24</v>
      </c>
      <c r="L81" s="75">
        <v>1</v>
      </c>
      <c r="M81" s="74">
        <f>F81*G81*H81</f>
        <v>2</v>
      </c>
    </row>
    <row r="82" spans="1:13" ht="13.5" customHeight="1">
      <c r="B82" s="81" t="s">
        <v>2043</v>
      </c>
      <c r="C82" s="94">
        <v>352</v>
      </c>
      <c r="D82" s="81"/>
      <c r="E82" s="101">
        <v>352.01</v>
      </c>
      <c r="F82" s="74">
        <v>9</v>
      </c>
      <c r="G82" s="74">
        <v>1</v>
      </c>
      <c r="H82" s="74">
        <v>1</v>
      </c>
      <c r="I82" s="74">
        <v>1</v>
      </c>
      <c r="J82" s="74">
        <v>10</v>
      </c>
      <c r="K82" s="71">
        <f>F82*G82*H82*J82*I82</f>
        <v>90</v>
      </c>
      <c r="L82" s="75">
        <v>1</v>
      </c>
      <c r="M82" s="74">
        <f>F82*G82*H82</f>
        <v>9</v>
      </c>
    </row>
    <row r="83" spans="1:13" ht="13.5" customHeight="1">
      <c r="B83" s="1" t="s">
        <v>4081</v>
      </c>
      <c r="C83" s="94">
        <v>353</v>
      </c>
      <c r="D83" s="81"/>
      <c r="E83" s="94">
        <v>353.01</v>
      </c>
      <c r="I83" s="74"/>
    </row>
    <row r="84" spans="1:13" ht="13.5" customHeight="1">
      <c r="B84" s="143" t="s">
        <v>3574</v>
      </c>
      <c r="C84" s="94">
        <v>354</v>
      </c>
      <c r="D84" s="81"/>
      <c r="E84" s="94">
        <v>354.01</v>
      </c>
      <c r="I84" s="74"/>
    </row>
    <row r="85" spans="1:13" ht="12">
      <c r="A85" s="1" t="s">
        <v>4126</v>
      </c>
      <c r="B85" s="1" t="s">
        <v>1929</v>
      </c>
      <c r="C85" s="94">
        <v>361</v>
      </c>
      <c r="D85" s="81" t="s">
        <v>2035</v>
      </c>
      <c r="E85" s="94">
        <v>361.01</v>
      </c>
      <c r="I85" s="74"/>
    </row>
    <row r="86" spans="1:13" ht="12">
      <c r="A86" s="81"/>
      <c r="C86" s="94"/>
      <c r="D86" s="81" t="s">
        <v>1940</v>
      </c>
      <c r="E86" s="94">
        <v>361.21</v>
      </c>
      <c r="I86" s="74"/>
    </row>
    <row r="87" spans="1:13" ht="12">
      <c r="A87" s="1" t="s">
        <v>2060</v>
      </c>
      <c r="B87" s="94" t="s">
        <v>2061</v>
      </c>
      <c r="C87" s="94">
        <v>381</v>
      </c>
      <c r="D87" s="160"/>
      <c r="E87" s="94">
        <v>381.01</v>
      </c>
      <c r="F87" s="74">
        <v>2</v>
      </c>
      <c r="G87" s="74">
        <v>1</v>
      </c>
      <c r="H87" s="74">
        <v>1</v>
      </c>
      <c r="I87" s="74">
        <v>1.2</v>
      </c>
      <c r="J87" s="74">
        <v>10</v>
      </c>
      <c r="K87" s="71">
        <f>F87*G87*H87*J87*I87</f>
        <v>24</v>
      </c>
      <c r="L87" s="75">
        <v>1</v>
      </c>
      <c r="M87" s="74">
        <f>F87*G87*H87</f>
        <v>2</v>
      </c>
    </row>
    <row r="88" spans="1:13" ht="12">
      <c r="A88" s="1"/>
      <c r="B88" s="164" t="s">
        <v>3754</v>
      </c>
      <c r="C88" s="94">
        <v>382</v>
      </c>
      <c r="D88" s="71"/>
      <c r="E88" s="94">
        <v>382.01</v>
      </c>
      <c r="I88" s="74"/>
    </row>
    <row r="89" spans="1:13" ht="12">
      <c r="A89" s="1"/>
      <c r="B89" s="94" t="s">
        <v>2062</v>
      </c>
      <c r="C89" s="93">
        <v>383</v>
      </c>
      <c r="D89" s="71"/>
      <c r="E89" s="94"/>
      <c r="I89" s="74"/>
    </row>
    <row r="90" spans="1:13" ht="12">
      <c r="A90" s="1" t="s">
        <v>2045</v>
      </c>
      <c r="B90" s="1" t="s">
        <v>4082</v>
      </c>
      <c r="C90" s="94">
        <v>401</v>
      </c>
      <c r="D90" s="71"/>
      <c r="E90" s="94">
        <v>401.01</v>
      </c>
      <c r="F90" s="74">
        <v>10</v>
      </c>
      <c r="G90" s="74">
        <v>1</v>
      </c>
      <c r="H90" s="74">
        <v>1</v>
      </c>
      <c r="I90" s="74">
        <v>3.4</v>
      </c>
      <c r="J90" s="74">
        <v>20</v>
      </c>
      <c r="K90" s="71">
        <f>F90*G90*H90*J90*I90</f>
        <v>680</v>
      </c>
      <c r="L90" s="75">
        <v>1</v>
      </c>
      <c r="M90" s="74">
        <f>F90*G90*H90</f>
        <v>10</v>
      </c>
    </row>
    <row r="91" spans="1:13" ht="12">
      <c r="A91" s="1"/>
      <c r="B91" s="1" t="s">
        <v>4060</v>
      </c>
      <c r="C91" s="94">
        <v>402</v>
      </c>
      <c r="D91" s="94"/>
      <c r="E91" s="94">
        <v>402.01</v>
      </c>
      <c r="I91" s="74"/>
    </row>
    <row r="92" spans="1:13" ht="12">
      <c r="A92" s="71"/>
      <c r="B92" s="1" t="s">
        <v>2046</v>
      </c>
      <c r="C92" s="93">
        <v>403</v>
      </c>
      <c r="D92" s="64" t="s">
        <v>2047</v>
      </c>
      <c r="E92" s="93">
        <v>403.01</v>
      </c>
      <c r="F92" s="74">
        <v>9</v>
      </c>
      <c r="G92" s="74">
        <v>1</v>
      </c>
      <c r="H92" s="74">
        <v>3</v>
      </c>
      <c r="I92" s="74">
        <v>2</v>
      </c>
      <c r="J92" s="74">
        <v>3</v>
      </c>
      <c r="K92" s="71">
        <f>F92*G92*H92*J92*I92</f>
        <v>162</v>
      </c>
      <c r="L92" s="75">
        <v>1</v>
      </c>
      <c r="M92" s="74">
        <f>F92*G92*H92</f>
        <v>27</v>
      </c>
    </row>
    <row r="93" spans="1:13" ht="12">
      <c r="A93" s="81"/>
      <c r="C93" s="93">
        <v>404</v>
      </c>
      <c r="D93" s="1" t="s">
        <v>4083</v>
      </c>
      <c r="E93" s="93">
        <v>404.01</v>
      </c>
      <c r="I93" s="74"/>
    </row>
    <row r="94" spans="1:13" ht="12">
      <c r="A94" s="81"/>
      <c r="B94" s="1" t="s">
        <v>4084</v>
      </c>
      <c r="C94" s="93">
        <v>405</v>
      </c>
      <c r="D94" s="1"/>
      <c r="E94" s="93">
        <v>405.01</v>
      </c>
      <c r="I94" s="74"/>
    </row>
    <row r="95" spans="1:13" ht="12">
      <c r="A95" s="1" t="s">
        <v>2044</v>
      </c>
      <c r="B95" s="71" t="s">
        <v>1030</v>
      </c>
      <c r="C95" s="64">
        <v>501</v>
      </c>
      <c r="D95" s="1" t="s">
        <v>1138</v>
      </c>
      <c r="E95" s="64">
        <v>501.01</v>
      </c>
      <c r="F95" s="74">
        <v>5</v>
      </c>
      <c r="G95" s="74">
        <v>6</v>
      </c>
      <c r="H95" s="74">
        <v>1</v>
      </c>
      <c r="I95" s="74">
        <v>2</v>
      </c>
      <c r="J95" s="74">
        <v>3</v>
      </c>
      <c r="K95" s="71">
        <f>F95*G95*H95*J95*I95</f>
        <v>180</v>
      </c>
      <c r="L95" s="75">
        <v>1</v>
      </c>
      <c r="M95" s="74">
        <f>F95*G95*H95</f>
        <v>30</v>
      </c>
    </row>
    <row r="96" spans="1:13" ht="12">
      <c r="A96" s="71"/>
      <c r="C96" s="98">
        <v>502</v>
      </c>
      <c r="D96" s="85" t="s">
        <v>1139</v>
      </c>
      <c r="E96" s="98">
        <v>502.01</v>
      </c>
      <c r="F96" s="74">
        <v>11</v>
      </c>
      <c r="G96" s="74">
        <v>1</v>
      </c>
      <c r="H96" s="74">
        <v>5</v>
      </c>
      <c r="I96" s="74">
        <v>1.8</v>
      </c>
      <c r="J96" s="74">
        <v>3</v>
      </c>
      <c r="K96" s="71">
        <f>F96*G96*H96*J96*I96</f>
        <v>297</v>
      </c>
      <c r="L96" s="75">
        <v>1</v>
      </c>
      <c r="M96" s="74">
        <f>F96*G96*H96</f>
        <v>55</v>
      </c>
    </row>
    <row r="97" spans="1:13" ht="12">
      <c r="A97" s="71"/>
      <c r="C97" s="64">
        <v>503</v>
      </c>
      <c r="D97" s="84" t="s">
        <v>1232</v>
      </c>
      <c r="E97" s="97">
        <v>503.01</v>
      </c>
      <c r="F97" s="74">
        <v>2</v>
      </c>
      <c r="G97" s="74">
        <v>1</v>
      </c>
      <c r="H97" s="74">
        <v>5</v>
      </c>
      <c r="I97" s="74">
        <v>1.5</v>
      </c>
      <c r="J97" s="74">
        <v>3</v>
      </c>
      <c r="K97" s="71">
        <f>F97*G97*H97*J97*I97</f>
        <v>45</v>
      </c>
      <c r="L97" s="75">
        <v>1</v>
      </c>
      <c r="M97" s="74">
        <f>F97*G97*H97</f>
        <v>10</v>
      </c>
    </row>
    <row r="98" spans="1:13" ht="12">
      <c r="A98" s="71"/>
      <c r="C98" s="98">
        <v>504</v>
      </c>
      <c r="D98" s="104" t="s">
        <v>2859</v>
      </c>
      <c r="E98" s="97">
        <v>504.01</v>
      </c>
      <c r="F98" s="74">
        <v>2</v>
      </c>
      <c r="G98" s="74">
        <v>1</v>
      </c>
      <c r="H98" s="74">
        <v>5</v>
      </c>
      <c r="I98" s="74">
        <v>2.15</v>
      </c>
      <c r="J98" s="74">
        <v>3</v>
      </c>
      <c r="K98" s="71">
        <f>F98*G98*H98*J98*I98</f>
        <v>64.5</v>
      </c>
      <c r="L98" s="75">
        <v>1</v>
      </c>
      <c r="M98" s="74">
        <f>F98*G98*H98</f>
        <v>10</v>
      </c>
    </row>
    <row r="99" spans="1:13" ht="12">
      <c r="A99" s="71"/>
      <c r="B99" s="1" t="s">
        <v>4085</v>
      </c>
      <c r="C99" s="93">
        <v>511</v>
      </c>
      <c r="E99" s="93">
        <v>511.01</v>
      </c>
      <c r="I99" s="74"/>
    </row>
    <row r="100" spans="1:13" ht="12">
      <c r="A100" s="1" t="s">
        <v>3392</v>
      </c>
      <c r="B100" s="1" t="s">
        <v>3393</v>
      </c>
      <c r="C100" s="64">
        <v>601</v>
      </c>
      <c r="D100" s="1"/>
      <c r="E100" s="64">
        <v>601.01</v>
      </c>
      <c r="F100" s="74">
        <v>5</v>
      </c>
      <c r="G100" s="74">
        <v>6</v>
      </c>
      <c r="H100" s="74">
        <v>1</v>
      </c>
      <c r="I100" s="74">
        <v>2</v>
      </c>
      <c r="J100" s="74">
        <v>3</v>
      </c>
      <c r="K100" s="71">
        <f>F100*G100*H100*J100*I100</f>
        <v>180</v>
      </c>
      <c r="L100" s="75">
        <v>1</v>
      </c>
      <c r="M100" s="74">
        <f>F100*G100*H100</f>
        <v>30</v>
      </c>
    </row>
    <row r="101" spans="1:13" s="68" customFormat="1" ht="9.75" customHeight="1">
      <c r="C101" s="99"/>
      <c r="D101" s="99"/>
      <c r="E101" s="99"/>
      <c r="F101" s="69"/>
      <c r="G101" s="69"/>
      <c r="H101" s="69"/>
      <c r="I101" s="69"/>
      <c r="J101" s="69"/>
      <c r="L101" s="70"/>
      <c r="M101" s="69"/>
    </row>
  </sheetData>
  <phoneticPr fontId="2" type="noConversion"/>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I85"/>
  <sheetViews>
    <sheetView topLeftCell="A7" zoomScaleNormal="100" workbookViewId="0">
      <selection activeCell="A20" sqref="A20:IV20"/>
    </sheetView>
  </sheetViews>
  <sheetFormatPr defaultRowHeight="12"/>
  <cols>
    <col min="1" max="1" width="28.875" style="1" customWidth="1"/>
    <col min="2" max="2" width="6.5" style="1" customWidth="1"/>
    <col min="3" max="3" width="10.25" style="1" bestFit="1" customWidth="1"/>
    <col min="4" max="4" width="11.25" style="1" bestFit="1" customWidth="1"/>
    <col min="5" max="5" width="10.25" style="1" bestFit="1" customWidth="1"/>
    <col min="6" max="6" width="7" style="1" customWidth="1"/>
    <col min="7" max="7" width="42.25" style="1" customWidth="1"/>
    <col min="8" max="8" width="39.875" style="64" customWidth="1"/>
    <col min="9" max="9" width="19.125" style="1" customWidth="1"/>
    <col min="10" max="16384" width="9" style="1"/>
  </cols>
  <sheetData>
    <row r="1" spans="1:8" s="3" customFormat="1">
      <c r="B1" s="3" t="s">
        <v>258</v>
      </c>
      <c r="C1" s="3" t="s">
        <v>231</v>
      </c>
      <c r="D1" s="3" t="s">
        <v>9</v>
      </c>
      <c r="E1" s="3" t="s">
        <v>391</v>
      </c>
      <c r="F1" s="3" t="s">
        <v>390</v>
      </c>
      <c r="G1" s="3" t="s">
        <v>259</v>
      </c>
      <c r="H1" s="64"/>
    </row>
    <row r="2" spans="1:8">
      <c r="A2" s="1" t="s">
        <v>4015</v>
      </c>
      <c r="B2" s="25">
        <f>50*40*39/1000000</f>
        <v>7.8E-2</v>
      </c>
      <c r="C2" s="1">
        <v>7</v>
      </c>
      <c r="D2" s="6">
        <f>C2*B2</f>
        <v>0.54600000000000004</v>
      </c>
      <c r="E2" s="34">
        <v>1</v>
      </c>
      <c r="F2" s="34">
        <f t="shared" ref="F2:F29" si="0">E2+C2-1</f>
        <v>7</v>
      </c>
      <c r="G2" s="63" t="s">
        <v>4016</v>
      </c>
      <c r="H2" s="63">
        <v>102</v>
      </c>
    </row>
    <row r="3" spans="1:8">
      <c r="A3" s="1" t="s">
        <v>4015</v>
      </c>
      <c r="B3" s="25">
        <f>50*40*39/1000000</f>
        <v>7.8E-2</v>
      </c>
      <c r="C3" s="1">
        <v>1</v>
      </c>
      <c r="D3" s="6">
        <f>C3*B3</f>
        <v>7.8E-2</v>
      </c>
      <c r="E3" s="34">
        <f t="shared" ref="E3:E30" si="1">F2+1</f>
        <v>8</v>
      </c>
      <c r="F3" s="34">
        <f t="shared" si="0"/>
        <v>8</v>
      </c>
      <c r="G3" s="63" t="s">
        <v>4086</v>
      </c>
      <c r="H3" s="63" t="s">
        <v>4018</v>
      </c>
    </row>
    <row r="4" spans="1:8">
      <c r="A4" s="1" t="s">
        <v>4015</v>
      </c>
      <c r="B4" s="25">
        <f t="shared" ref="B4:B11" si="2">50*40*39/1000000</f>
        <v>7.8E-2</v>
      </c>
      <c r="C4" s="1">
        <v>1</v>
      </c>
      <c r="D4" s="6">
        <f t="shared" ref="D4:D11" si="3">C4*B4</f>
        <v>7.8E-2</v>
      </c>
      <c r="E4" s="34">
        <f t="shared" si="1"/>
        <v>9</v>
      </c>
      <c r="F4" s="34">
        <f t="shared" si="0"/>
        <v>9</v>
      </c>
      <c r="G4" s="63" t="s">
        <v>4024</v>
      </c>
      <c r="H4" s="63" t="s">
        <v>4022</v>
      </c>
    </row>
    <row r="5" spans="1:8">
      <c r="A5" s="1" t="s">
        <v>4015</v>
      </c>
      <c r="B5" s="25">
        <f t="shared" si="2"/>
        <v>7.8E-2</v>
      </c>
      <c r="C5" s="1">
        <v>1</v>
      </c>
      <c r="D5" s="6">
        <f t="shared" si="3"/>
        <v>7.8E-2</v>
      </c>
      <c r="E5" s="34">
        <f t="shared" si="1"/>
        <v>10</v>
      </c>
      <c r="F5" s="34">
        <f t="shared" si="0"/>
        <v>10</v>
      </c>
      <c r="G5" s="63" t="s">
        <v>4027</v>
      </c>
      <c r="H5" s="63" t="s">
        <v>4028</v>
      </c>
    </row>
    <row r="6" spans="1:8">
      <c r="A6" s="1" t="s">
        <v>4015</v>
      </c>
      <c r="B6" s="25">
        <f t="shared" si="2"/>
        <v>7.8E-2</v>
      </c>
      <c r="C6" s="1">
        <v>1</v>
      </c>
      <c r="D6" s="6">
        <f t="shared" si="3"/>
        <v>7.8E-2</v>
      </c>
      <c r="E6" s="34">
        <f t="shared" si="1"/>
        <v>11</v>
      </c>
      <c r="F6" s="34">
        <f t="shared" si="0"/>
        <v>11</v>
      </c>
      <c r="G6" s="63" t="s">
        <v>4087</v>
      </c>
      <c r="H6" s="63" t="s">
        <v>4048</v>
      </c>
    </row>
    <row r="7" spans="1:8">
      <c r="A7" s="1" t="s">
        <v>4015</v>
      </c>
      <c r="B7" s="25">
        <f t="shared" si="2"/>
        <v>7.8E-2</v>
      </c>
      <c r="C7" s="1">
        <v>1</v>
      </c>
      <c r="D7" s="6">
        <f t="shared" si="3"/>
        <v>7.8E-2</v>
      </c>
      <c r="E7" s="34">
        <f t="shared" si="1"/>
        <v>12</v>
      </c>
      <c r="F7" s="34">
        <f t="shared" si="0"/>
        <v>12</v>
      </c>
      <c r="G7" s="63" t="s">
        <v>4088</v>
      </c>
      <c r="H7" s="63" t="s">
        <v>4049</v>
      </c>
    </row>
    <row r="8" spans="1:8">
      <c r="A8" s="1" t="s">
        <v>4015</v>
      </c>
      <c r="B8" s="25">
        <f t="shared" si="2"/>
        <v>7.8E-2</v>
      </c>
      <c r="C8" s="1">
        <v>1</v>
      </c>
      <c r="D8" s="6">
        <f t="shared" si="3"/>
        <v>7.8E-2</v>
      </c>
      <c r="E8" s="34">
        <f t="shared" si="1"/>
        <v>13</v>
      </c>
      <c r="F8" s="34">
        <f t="shared" si="0"/>
        <v>13</v>
      </c>
      <c r="G8" s="63" t="s">
        <v>4089</v>
      </c>
      <c r="H8" s="63" t="s">
        <v>4050</v>
      </c>
    </row>
    <row r="9" spans="1:8">
      <c r="A9" s="1" t="s">
        <v>4015</v>
      </c>
      <c r="B9" s="25">
        <f t="shared" si="2"/>
        <v>7.8E-2</v>
      </c>
      <c r="C9" s="1">
        <v>1</v>
      </c>
      <c r="D9" s="6">
        <f>C9*B9</f>
        <v>7.8E-2</v>
      </c>
      <c r="E9" s="34">
        <f t="shared" si="1"/>
        <v>14</v>
      </c>
      <c r="F9" s="34">
        <f>E9+C9-1</f>
        <v>14</v>
      </c>
      <c r="G9" s="63" t="s">
        <v>4090</v>
      </c>
      <c r="H9" s="63" t="s">
        <v>4055</v>
      </c>
    </row>
    <row r="10" spans="1:8">
      <c r="A10" s="1" t="s">
        <v>4015</v>
      </c>
      <c r="B10" s="25">
        <f t="shared" si="2"/>
        <v>7.8E-2</v>
      </c>
      <c r="C10" s="1">
        <v>1</v>
      </c>
      <c r="D10" s="6">
        <f>C10*B10</f>
        <v>7.8E-2</v>
      </c>
      <c r="E10" s="34">
        <f t="shared" si="1"/>
        <v>15</v>
      </c>
      <c r="F10" s="34">
        <f>E10+C10-1</f>
        <v>15</v>
      </c>
      <c r="G10" s="63" t="s">
        <v>4068</v>
      </c>
      <c r="H10" s="63" t="s">
        <v>4061</v>
      </c>
    </row>
    <row r="11" spans="1:8">
      <c r="A11" s="1" t="s">
        <v>4015</v>
      </c>
      <c r="B11" s="25">
        <f t="shared" si="2"/>
        <v>7.8E-2</v>
      </c>
      <c r="C11" s="1">
        <f>100-SUM(C3:C10)</f>
        <v>92</v>
      </c>
      <c r="D11" s="6">
        <f t="shared" si="3"/>
        <v>7.1760000000000002</v>
      </c>
      <c r="E11" s="34">
        <f t="shared" si="1"/>
        <v>16</v>
      </c>
      <c r="F11" s="34">
        <f t="shared" si="0"/>
        <v>107</v>
      </c>
      <c r="G11" s="63" t="s">
        <v>4017</v>
      </c>
      <c r="H11" s="63">
        <v>101</v>
      </c>
    </row>
    <row r="12" spans="1:8">
      <c r="A12" s="1" t="s">
        <v>4014</v>
      </c>
      <c r="B12" s="25">
        <f>71.5*26.5*34.5/1000000</f>
        <v>6.5368875000000007E-2</v>
      </c>
      <c r="C12" s="1">
        <v>1</v>
      </c>
      <c r="D12" s="6">
        <f>C12*B12</f>
        <v>6.5368875000000007E-2</v>
      </c>
      <c r="E12" s="61">
        <f t="shared" si="1"/>
        <v>108</v>
      </c>
      <c r="F12" s="61">
        <f t="shared" si="0"/>
        <v>108</v>
      </c>
      <c r="G12" s="63" t="s">
        <v>4025</v>
      </c>
      <c r="H12" s="63" t="s">
        <v>4051</v>
      </c>
    </row>
    <row r="13" spans="1:8">
      <c r="A13" s="1" t="s">
        <v>4014</v>
      </c>
      <c r="B13" s="25">
        <f t="shared" ref="B13:B23" si="4">71.5*26.5*34.5/1000000</f>
        <v>6.5368875000000007E-2</v>
      </c>
      <c r="C13" s="1">
        <v>1</v>
      </c>
      <c r="D13" s="6">
        <f t="shared" ref="D13:D22" si="5">C13*B13</f>
        <v>6.5368875000000007E-2</v>
      </c>
      <c r="E13" s="61">
        <f t="shared" si="1"/>
        <v>109</v>
      </c>
      <c r="F13" s="61">
        <f t="shared" ref="F13:F22" si="6">E13+C13-1</f>
        <v>109</v>
      </c>
      <c r="G13" s="63" t="s">
        <v>4026</v>
      </c>
      <c r="H13" s="63" t="s">
        <v>4023</v>
      </c>
    </row>
    <row r="14" spans="1:8">
      <c r="A14" s="1" t="s">
        <v>4014</v>
      </c>
      <c r="B14" s="25">
        <f t="shared" si="4"/>
        <v>6.5368875000000007E-2</v>
      </c>
      <c r="C14" s="1">
        <v>1</v>
      </c>
      <c r="D14" s="6">
        <f t="shared" si="5"/>
        <v>6.5368875000000007E-2</v>
      </c>
      <c r="E14" s="61">
        <f t="shared" si="1"/>
        <v>110</v>
      </c>
      <c r="F14" s="61">
        <f t="shared" si="6"/>
        <v>110</v>
      </c>
      <c r="G14" s="63" t="s">
        <v>4091</v>
      </c>
      <c r="H14" s="63" t="s">
        <v>4052</v>
      </c>
    </row>
    <row r="15" spans="1:8">
      <c r="A15" s="1" t="s">
        <v>4014</v>
      </c>
      <c r="B15" s="25">
        <f t="shared" si="4"/>
        <v>6.5368875000000007E-2</v>
      </c>
      <c r="C15" s="1">
        <v>1</v>
      </c>
      <c r="D15" s="6">
        <f t="shared" si="5"/>
        <v>6.5368875000000007E-2</v>
      </c>
      <c r="E15" s="181">
        <f t="shared" si="1"/>
        <v>111</v>
      </c>
      <c r="F15" s="181">
        <f t="shared" si="6"/>
        <v>111</v>
      </c>
      <c r="G15" s="63" t="s">
        <v>4092</v>
      </c>
      <c r="H15" s="63">
        <v>201.11</v>
      </c>
    </row>
    <row r="16" spans="1:8">
      <c r="A16" s="1" t="s">
        <v>4014</v>
      </c>
      <c r="B16" s="25">
        <f t="shared" si="4"/>
        <v>6.5368875000000007E-2</v>
      </c>
      <c r="C16" s="1">
        <v>1</v>
      </c>
      <c r="D16" s="6">
        <f t="shared" si="5"/>
        <v>6.5368875000000007E-2</v>
      </c>
      <c r="E16" s="181">
        <f t="shared" si="1"/>
        <v>112</v>
      </c>
      <c r="F16" s="181">
        <f t="shared" si="6"/>
        <v>112</v>
      </c>
      <c r="G16" s="63" t="s">
        <v>4093</v>
      </c>
      <c r="H16" s="63" t="s">
        <v>4053</v>
      </c>
    </row>
    <row r="17" spans="1:9">
      <c r="A17" s="1" t="s">
        <v>4014</v>
      </c>
      <c r="B17" s="25">
        <f t="shared" si="4"/>
        <v>6.5368875000000007E-2</v>
      </c>
      <c r="C17" s="1">
        <v>1</v>
      </c>
      <c r="D17" s="6">
        <f t="shared" si="5"/>
        <v>6.5368875000000007E-2</v>
      </c>
      <c r="E17" s="181">
        <f t="shared" si="1"/>
        <v>113</v>
      </c>
      <c r="F17" s="181">
        <f t="shared" si="6"/>
        <v>113</v>
      </c>
      <c r="G17" s="63" t="s">
        <v>4041</v>
      </c>
      <c r="H17" s="63" t="s">
        <v>4054</v>
      </c>
    </row>
    <row r="18" spans="1:9">
      <c r="A18" s="1" t="s">
        <v>4014</v>
      </c>
      <c r="B18" s="25">
        <f t="shared" si="4"/>
        <v>6.5368875000000007E-2</v>
      </c>
      <c r="C18" s="1">
        <v>1</v>
      </c>
      <c r="D18" s="6">
        <f t="shared" si="5"/>
        <v>6.5368875000000007E-2</v>
      </c>
      <c r="E18" s="181">
        <f t="shared" si="1"/>
        <v>114</v>
      </c>
      <c r="F18" s="181">
        <f t="shared" si="6"/>
        <v>114</v>
      </c>
      <c r="G18" s="63" t="s">
        <v>4094</v>
      </c>
      <c r="H18" s="63" t="s">
        <v>4160</v>
      </c>
    </row>
    <row r="19" spans="1:9">
      <c r="A19" s="1" t="s">
        <v>4014</v>
      </c>
      <c r="B19" s="25">
        <f t="shared" si="4"/>
        <v>6.5368875000000007E-2</v>
      </c>
      <c r="C19" s="1">
        <v>1</v>
      </c>
      <c r="D19" s="6">
        <f t="shared" si="5"/>
        <v>6.5368875000000007E-2</v>
      </c>
      <c r="E19" s="181">
        <f t="shared" si="1"/>
        <v>115</v>
      </c>
      <c r="F19" s="181">
        <f t="shared" si="6"/>
        <v>115</v>
      </c>
      <c r="G19" s="63" t="s">
        <v>4104</v>
      </c>
      <c r="H19" s="63" t="s">
        <v>4047</v>
      </c>
    </row>
    <row r="20" spans="1:9">
      <c r="A20" s="1" t="s">
        <v>4014</v>
      </c>
      <c r="B20" s="25">
        <f t="shared" si="4"/>
        <v>6.5368875000000007E-2</v>
      </c>
      <c r="C20" s="1">
        <v>1</v>
      </c>
      <c r="D20" s="6">
        <f t="shared" si="5"/>
        <v>6.5368875000000007E-2</v>
      </c>
      <c r="E20" s="181">
        <f t="shared" si="1"/>
        <v>116</v>
      </c>
      <c r="F20" s="181">
        <f t="shared" si="6"/>
        <v>116</v>
      </c>
      <c r="G20" s="63" t="s">
        <v>4095</v>
      </c>
      <c r="H20" s="63" t="s">
        <v>4073</v>
      </c>
    </row>
    <row r="21" spans="1:9">
      <c r="A21" s="1" t="s">
        <v>4014</v>
      </c>
      <c r="B21" s="25">
        <f t="shared" si="4"/>
        <v>6.5368875000000007E-2</v>
      </c>
      <c r="C21" s="1">
        <v>1</v>
      </c>
      <c r="D21" s="6">
        <f t="shared" si="5"/>
        <v>6.5368875000000007E-2</v>
      </c>
      <c r="E21" s="181">
        <f t="shared" si="1"/>
        <v>117</v>
      </c>
      <c r="F21" s="181">
        <f t="shared" si="6"/>
        <v>117</v>
      </c>
      <c r="G21" s="63" t="s">
        <v>4096</v>
      </c>
      <c r="H21" s="1" t="s">
        <v>4076</v>
      </c>
      <c r="I21" s="1">
        <f>0.75/8.3</f>
        <v>9.0361445783132516E-2</v>
      </c>
    </row>
    <row r="22" spans="1:9">
      <c r="A22" s="1" t="s">
        <v>4014</v>
      </c>
      <c r="B22" s="25">
        <f t="shared" si="4"/>
        <v>6.5368875000000007E-2</v>
      </c>
      <c r="C22" s="1">
        <v>1</v>
      </c>
      <c r="D22" s="6">
        <f t="shared" si="5"/>
        <v>6.5368875000000007E-2</v>
      </c>
      <c r="E22" s="180">
        <f t="shared" si="1"/>
        <v>118</v>
      </c>
      <c r="F22" s="180">
        <f t="shared" si="6"/>
        <v>118</v>
      </c>
      <c r="G22" s="63" t="s">
        <v>4097</v>
      </c>
      <c r="H22" s="63">
        <v>105</v>
      </c>
    </row>
    <row r="23" spans="1:9">
      <c r="A23" s="1" t="s">
        <v>4014</v>
      </c>
      <c r="B23" s="25">
        <f t="shared" si="4"/>
        <v>6.5368875000000007E-2</v>
      </c>
      <c r="C23" s="1">
        <v>1</v>
      </c>
      <c r="D23" s="6">
        <f t="shared" ref="D23:D30" si="7">C23*B23</f>
        <v>6.5368875000000007E-2</v>
      </c>
      <c r="E23" s="180">
        <f t="shared" si="1"/>
        <v>119</v>
      </c>
      <c r="F23" s="180">
        <f>E23+C23-1</f>
        <v>119</v>
      </c>
      <c r="G23" s="63" t="s">
        <v>4100</v>
      </c>
      <c r="H23" s="63" t="s">
        <v>4098</v>
      </c>
    </row>
    <row r="24" spans="1:9">
      <c r="A24" s="1" t="s">
        <v>4004</v>
      </c>
      <c r="B24" s="25">
        <f>44*44*47/1000000</f>
        <v>9.0992000000000003E-2</v>
      </c>
      <c r="C24" s="1">
        <v>1</v>
      </c>
      <c r="D24" s="6">
        <f t="shared" si="7"/>
        <v>9.0992000000000003E-2</v>
      </c>
      <c r="E24" s="180">
        <f t="shared" si="1"/>
        <v>120</v>
      </c>
      <c r="F24" s="180">
        <f t="shared" si="0"/>
        <v>120</v>
      </c>
      <c r="G24" s="1" t="s">
        <v>4021</v>
      </c>
      <c r="H24" s="64">
        <v>261</v>
      </c>
    </row>
    <row r="25" spans="1:9">
      <c r="A25" s="1" t="s">
        <v>4005</v>
      </c>
      <c r="B25" s="25">
        <f>31*38*32/1000000</f>
        <v>3.7696E-2</v>
      </c>
      <c r="C25" s="1">
        <v>1</v>
      </c>
      <c r="D25" s="6">
        <f t="shared" si="7"/>
        <v>3.7696E-2</v>
      </c>
      <c r="E25" s="180">
        <f t="shared" si="1"/>
        <v>121</v>
      </c>
      <c r="F25" s="180">
        <f t="shared" si="0"/>
        <v>121</v>
      </c>
      <c r="G25" s="1" t="s">
        <v>4006</v>
      </c>
      <c r="H25" s="64">
        <v>402.01</v>
      </c>
    </row>
    <row r="26" spans="1:9">
      <c r="A26" s="186" t="s">
        <v>4177</v>
      </c>
      <c r="B26" s="25">
        <f>31*29*42/1000000</f>
        <v>3.7758E-2</v>
      </c>
      <c r="C26" s="1">
        <v>2</v>
      </c>
      <c r="D26" s="6">
        <f t="shared" si="7"/>
        <v>7.5516E-2</v>
      </c>
      <c r="E26" s="180">
        <f t="shared" si="1"/>
        <v>122</v>
      </c>
      <c r="F26" s="180">
        <f t="shared" si="0"/>
        <v>123</v>
      </c>
      <c r="G26" s="1" t="s">
        <v>4007</v>
      </c>
      <c r="H26" s="64">
        <v>201.02</v>
      </c>
    </row>
    <row r="27" spans="1:9">
      <c r="A27" s="1" t="s">
        <v>4008</v>
      </c>
      <c r="B27" s="25">
        <f>29*29*45/1000000</f>
        <v>3.7844999999999997E-2</v>
      </c>
      <c r="C27" s="1">
        <v>1</v>
      </c>
      <c r="D27" s="6">
        <f t="shared" si="7"/>
        <v>3.7844999999999997E-2</v>
      </c>
      <c r="E27" s="180">
        <f t="shared" si="1"/>
        <v>124</v>
      </c>
      <c r="F27" s="180">
        <f t="shared" si="0"/>
        <v>124</v>
      </c>
      <c r="G27" s="1" t="s">
        <v>4009</v>
      </c>
      <c r="H27" s="64" t="s">
        <v>4103</v>
      </c>
    </row>
    <row r="28" spans="1:9">
      <c r="A28" s="1" t="s">
        <v>4010</v>
      </c>
      <c r="B28" s="25">
        <f>51*27*30/1000000</f>
        <v>4.1309999999999999E-2</v>
      </c>
      <c r="C28" s="1">
        <v>1</v>
      </c>
      <c r="D28" s="6">
        <f t="shared" si="7"/>
        <v>4.1309999999999999E-2</v>
      </c>
      <c r="E28" s="180">
        <f t="shared" si="1"/>
        <v>125</v>
      </c>
      <c r="F28" s="180">
        <f t="shared" si="0"/>
        <v>125</v>
      </c>
      <c r="G28" s="1" t="s">
        <v>4011</v>
      </c>
      <c r="H28" s="64">
        <v>403</v>
      </c>
    </row>
    <row r="29" spans="1:9">
      <c r="A29" s="1" t="s">
        <v>4012</v>
      </c>
      <c r="B29" s="25">
        <f>54*27*26/1000000</f>
        <v>3.7907999999999997E-2</v>
      </c>
      <c r="C29" s="1">
        <v>2</v>
      </c>
      <c r="D29" s="6">
        <f t="shared" si="7"/>
        <v>7.5815999999999995E-2</v>
      </c>
      <c r="E29" s="180">
        <f t="shared" si="1"/>
        <v>126</v>
      </c>
      <c r="F29" s="180">
        <f t="shared" si="0"/>
        <v>127</v>
      </c>
      <c r="G29" s="1" t="s">
        <v>4013</v>
      </c>
    </row>
    <row r="30" spans="1:9">
      <c r="A30" s="1" t="s">
        <v>4003</v>
      </c>
      <c r="B30" s="25">
        <f>71.5*26.5*34.5/1000000</f>
        <v>6.5368875000000007E-2</v>
      </c>
      <c r="C30" s="1">
        <v>1</v>
      </c>
      <c r="D30" s="6">
        <f t="shared" si="7"/>
        <v>6.5368875000000007E-2</v>
      </c>
      <c r="E30" s="180">
        <f t="shared" si="1"/>
        <v>128</v>
      </c>
      <c r="F30" s="180">
        <f>E30+C30-1</f>
        <v>128</v>
      </c>
      <c r="G30" s="33" t="s">
        <v>4107</v>
      </c>
      <c r="H30" s="63" t="s">
        <v>4161</v>
      </c>
    </row>
    <row r="31" spans="1:9">
      <c r="A31" s="1" t="s">
        <v>4003</v>
      </c>
      <c r="B31" s="25">
        <f t="shared" ref="B31:B52" si="8">71.5*26.5*34.5/1000000</f>
        <v>6.5368875000000007E-2</v>
      </c>
      <c r="C31" s="1">
        <v>1</v>
      </c>
      <c r="D31" s="6">
        <f t="shared" ref="D31:D43" si="9">C31*B31</f>
        <v>6.5368875000000007E-2</v>
      </c>
      <c r="E31" s="180">
        <f t="shared" ref="E31:E52" si="10">F30+1</f>
        <v>129</v>
      </c>
      <c r="F31" s="180">
        <f t="shared" ref="F31:F43" si="11">E31+C31-1</f>
        <v>129</v>
      </c>
      <c r="G31" s="33" t="s">
        <v>4111</v>
      </c>
      <c r="H31" s="63" t="s">
        <v>4109</v>
      </c>
    </row>
    <row r="32" spans="1:9">
      <c r="A32" s="1" t="s">
        <v>4003</v>
      </c>
      <c r="B32" s="25">
        <f t="shared" si="8"/>
        <v>6.5368875000000007E-2</v>
      </c>
      <c r="C32" s="1">
        <v>1</v>
      </c>
      <c r="D32" s="6">
        <f t="shared" si="9"/>
        <v>6.5368875000000007E-2</v>
      </c>
      <c r="E32" s="180">
        <f t="shared" si="10"/>
        <v>130</v>
      </c>
      <c r="F32" s="180">
        <f t="shared" si="11"/>
        <v>130</v>
      </c>
      <c r="G32" s="33" t="s">
        <v>4112</v>
      </c>
      <c r="H32" s="63" t="s">
        <v>4115</v>
      </c>
    </row>
    <row r="33" spans="1:8">
      <c r="A33" s="1" t="s">
        <v>4003</v>
      </c>
      <c r="B33" s="25">
        <f t="shared" si="8"/>
        <v>6.5368875000000007E-2</v>
      </c>
      <c r="C33" s="1">
        <v>1</v>
      </c>
      <c r="D33" s="6">
        <f t="shared" si="9"/>
        <v>6.5368875000000007E-2</v>
      </c>
      <c r="E33" s="181">
        <f t="shared" si="10"/>
        <v>131</v>
      </c>
      <c r="F33" s="181">
        <f t="shared" si="11"/>
        <v>131</v>
      </c>
      <c r="G33" s="33" t="s">
        <v>4118</v>
      </c>
      <c r="H33" s="63" t="s">
        <v>4162</v>
      </c>
    </row>
    <row r="34" spans="1:8">
      <c r="A34" s="1" t="s">
        <v>4003</v>
      </c>
      <c r="B34" s="25">
        <f t="shared" si="8"/>
        <v>6.5368875000000007E-2</v>
      </c>
      <c r="C34" s="1">
        <v>1</v>
      </c>
      <c r="D34" s="6">
        <f t="shared" si="9"/>
        <v>6.5368875000000007E-2</v>
      </c>
      <c r="E34" s="181">
        <f t="shared" si="10"/>
        <v>132</v>
      </c>
      <c r="F34" s="181">
        <f t="shared" si="11"/>
        <v>132</v>
      </c>
      <c r="G34" s="33" t="s">
        <v>4123</v>
      </c>
      <c r="H34" s="63" t="s">
        <v>4121</v>
      </c>
    </row>
    <row r="35" spans="1:8">
      <c r="A35" s="1" t="s">
        <v>4003</v>
      </c>
      <c r="B35" s="25">
        <f t="shared" si="8"/>
        <v>6.5368875000000007E-2</v>
      </c>
      <c r="C35" s="1">
        <v>1</v>
      </c>
      <c r="D35" s="6">
        <f t="shared" si="9"/>
        <v>6.5368875000000007E-2</v>
      </c>
      <c r="E35" s="181">
        <f t="shared" si="10"/>
        <v>133</v>
      </c>
      <c r="F35" s="181">
        <f t="shared" si="11"/>
        <v>133</v>
      </c>
      <c r="G35" s="33" t="s">
        <v>4127</v>
      </c>
      <c r="H35" s="63" t="s">
        <v>4163</v>
      </c>
    </row>
    <row r="36" spans="1:8">
      <c r="A36" s="1" t="s">
        <v>4003</v>
      </c>
      <c r="B36" s="25">
        <f t="shared" si="8"/>
        <v>6.5368875000000007E-2</v>
      </c>
      <c r="C36" s="1">
        <v>1</v>
      </c>
      <c r="D36" s="6">
        <f t="shared" si="9"/>
        <v>6.5368875000000007E-2</v>
      </c>
      <c r="E36" s="61">
        <f t="shared" si="10"/>
        <v>134</v>
      </c>
      <c r="F36" s="61">
        <f t="shared" si="11"/>
        <v>134</v>
      </c>
      <c r="G36" s="33" t="s">
        <v>4130</v>
      </c>
      <c r="H36" s="63" t="s">
        <v>4131</v>
      </c>
    </row>
    <row r="37" spans="1:8">
      <c r="A37" s="1" t="s">
        <v>4003</v>
      </c>
      <c r="B37" s="25">
        <f t="shared" si="8"/>
        <v>6.5368875000000007E-2</v>
      </c>
      <c r="C37" s="1">
        <v>1</v>
      </c>
      <c r="D37" s="6">
        <f t="shared" si="9"/>
        <v>6.5368875000000007E-2</v>
      </c>
      <c r="E37" s="61">
        <f t="shared" si="10"/>
        <v>135</v>
      </c>
      <c r="F37" s="61">
        <f t="shared" si="11"/>
        <v>135</v>
      </c>
      <c r="G37" s="33" t="s">
        <v>4132</v>
      </c>
      <c r="H37" s="63" t="s">
        <v>4133</v>
      </c>
    </row>
    <row r="38" spans="1:8">
      <c r="A38" s="1" t="s">
        <v>4003</v>
      </c>
      <c r="B38" s="25">
        <f t="shared" si="8"/>
        <v>6.5368875000000007E-2</v>
      </c>
      <c r="C38" s="1">
        <v>1</v>
      </c>
      <c r="D38" s="6">
        <f t="shared" si="9"/>
        <v>6.5368875000000007E-2</v>
      </c>
      <c r="E38" s="61">
        <f t="shared" si="10"/>
        <v>136</v>
      </c>
      <c r="F38" s="61">
        <f t="shared" si="11"/>
        <v>136</v>
      </c>
      <c r="G38" s="33" t="s">
        <v>4134</v>
      </c>
      <c r="H38" s="63" t="s">
        <v>4135</v>
      </c>
    </row>
    <row r="39" spans="1:8">
      <c r="A39" s="1" t="s">
        <v>4003</v>
      </c>
      <c r="B39" s="25">
        <f t="shared" si="8"/>
        <v>6.5368875000000007E-2</v>
      </c>
      <c r="C39" s="1">
        <v>1</v>
      </c>
      <c r="D39" s="6">
        <f t="shared" si="9"/>
        <v>6.5368875000000007E-2</v>
      </c>
      <c r="E39" s="61">
        <f t="shared" si="10"/>
        <v>137</v>
      </c>
      <c r="F39" s="61">
        <f t="shared" si="11"/>
        <v>137</v>
      </c>
      <c r="G39" s="33" t="s">
        <v>4136</v>
      </c>
      <c r="H39" s="63" t="s">
        <v>4137</v>
      </c>
    </row>
    <row r="40" spans="1:8">
      <c r="A40" s="1" t="s">
        <v>4003</v>
      </c>
      <c r="B40" s="25">
        <f t="shared" si="8"/>
        <v>6.5368875000000007E-2</v>
      </c>
      <c r="C40" s="1">
        <v>1</v>
      </c>
      <c r="D40" s="6">
        <f t="shared" si="9"/>
        <v>6.5368875000000007E-2</v>
      </c>
      <c r="E40" s="61">
        <f t="shared" si="10"/>
        <v>138</v>
      </c>
      <c r="F40" s="61">
        <f t="shared" si="11"/>
        <v>138</v>
      </c>
      <c r="G40" s="33" t="s">
        <v>4138</v>
      </c>
      <c r="H40" s="63" t="s">
        <v>4139</v>
      </c>
    </row>
    <row r="41" spans="1:8">
      <c r="A41" s="1" t="s">
        <v>4003</v>
      </c>
      <c r="B41" s="25">
        <f t="shared" si="8"/>
        <v>6.5368875000000007E-2</v>
      </c>
      <c r="C41" s="1">
        <v>1</v>
      </c>
      <c r="D41" s="6">
        <f t="shared" si="9"/>
        <v>6.5368875000000007E-2</v>
      </c>
      <c r="E41" s="61">
        <f t="shared" si="10"/>
        <v>139</v>
      </c>
      <c r="F41" s="61">
        <f t="shared" si="11"/>
        <v>139</v>
      </c>
      <c r="G41" s="33" t="s">
        <v>4144</v>
      </c>
      <c r="H41" s="63" t="s">
        <v>4140</v>
      </c>
    </row>
    <row r="42" spans="1:8">
      <c r="A42" s="1" t="s">
        <v>4003</v>
      </c>
      <c r="B42" s="25">
        <f t="shared" si="8"/>
        <v>6.5368875000000007E-2</v>
      </c>
      <c r="C42" s="1">
        <v>1</v>
      </c>
      <c r="D42" s="6">
        <f t="shared" si="9"/>
        <v>6.5368875000000007E-2</v>
      </c>
      <c r="E42" s="61">
        <f t="shared" si="10"/>
        <v>140</v>
      </c>
      <c r="F42" s="61">
        <f t="shared" si="11"/>
        <v>140</v>
      </c>
      <c r="G42" s="33" t="s">
        <v>4145</v>
      </c>
      <c r="H42" s="63" t="s">
        <v>4141</v>
      </c>
    </row>
    <row r="43" spans="1:8">
      <c r="A43" s="1" t="s">
        <v>4003</v>
      </c>
      <c r="B43" s="25">
        <f t="shared" si="8"/>
        <v>6.5368875000000007E-2</v>
      </c>
      <c r="C43" s="1">
        <v>1</v>
      </c>
      <c r="D43" s="6">
        <f t="shared" si="9"/>
        <v>6.5368875000000007E-2</v>
      </c>
      <c r="E43" s="61">
        <f t="shared" si="10"/>
        <v>141</v>
      </c>
      <c r="F43" s="61">
        <f t="shared" si="11"/>
        <v>141</v>
      </c>
      <c r="G43" s="33" t="s">
        <v>4146</v>
      </c>
      <c r="H43" s="63" t="s">
        <v>4141</v>
      </c>
    </row>
    <row r="44" spans="1:8">
      <c r="A44" s="1" t="s">
        <v>4003</v>
      </c>
      <c r="B44" s="25">
        <f>71.5*26.5*34.5/1000000</f>
        <v>6.5368875000000007E-2</v>
      </c>
      <c r="C44" s="1">
        <v>1</v>
      </c>
      <c r="D44" s="6">
        <f>C44*B44</f>
        <v>6.5368875000000007E-2</v>
      </c>
      <c r="E44" s="61">
        <f>F43+1</f>
        <v>142</v>
      </c>
      <c r="F44" s="61">
        <f>E44+C44-1</f>
        <v>142</v>
      </c>
      <c r="G44" s="33" t="s">
        <v>4147</v>
      </c>
      <c r="H44" s="63" t="s">
        <v>4142</v>
      </c>
    </row>
    <row r="45" spans="1:8">
      <c r="A45" s="1" t="s">
        <v>4003</v>
      </c>
      <c r="B45" s="25">
        <f t="shared" si="8"/>
        <v>6.5368875000000007E-2</v>
      </c>
      <c r="C45" s="1">
        <v>2</v>
      </c>
      <c r="D45" s="6">
        <f t="shared" ref="D45:D52" si="12">C45*B45</f>
        <v>0.13073775000000001</v>
      </c>
      <c r="E45" s="61">
        <f t="shared" si="10"/>
        <v>143</v>
      </c>
      <c r="F45" s="61">
        <f t="shared" ref="F45:F54" si="13">E45+C45-1</f>
        <v>144</v>
      </c>
      <c r="G45" s="33" t="s">
        <v>4148</v>
      </c>
      <c r="H45" s="63" t="s">
        <v>4149</v>
      </c>
    </row>
    <row r="46" spans="1:8">
      <c r="A46" s="1" t="s">
        <v>4003</v>
      </c>
      <c r="B46" s="25">
        <f t="shared" si="8"/>
        <v>6.5368875000000007E-2</v>
      </c>
      <c r="C46" s="1">
        <v>1</v>
      </c>
      <c r="D46" s="6">
        <f t="shared" si="12"/>
        <v>6.5368875000000007E-2</v>
      </c>
      <c r="E46" s="61">
        <f>F45+1</f>
        <v>145</v>
      </c>
      <c r="F46" s="61">
        <f t="shared" si="13"/>
        <v>145</v>
      </c>
      <c r="G46" s="33" t="s">
        <v>4150</v>
      </c>
      <c r="H46" s="63">
        <v>103.13</v>
      </c>
    </row>
    <row r="47" spans="1:8">
      <c r="A47" s="1" t="s">
        <v>4003</v>
      </c>
      <c r="B47" s="25">
        <f t="shared" si="8"/>
        <v>6.5368875000000007E-2</v>
      </c>
      <c r="C47" s="1">
        <v>1</v>
      </c>
      <c r="D47" s="6">
        <f t="shared" si="12"/>
        <v>6.5368875000000007E-2</v>
      </c>
      <c r="E47" s="61">
        <f t="shared" si="10"/>
        <v>146</v>
      </c>
      <c r="F47" s="61">
        <f t="shared" si="13"/>
        <v>146</v>
      </c>
      <c r="G47" s="33" t="s">
        <v>4151</v>
      </c>
      <c r="H47" s="63" t="s">
        <v>4152</v>
      </c>
    </row>
    <row r="48" spans="1:8">
      <c r="A48" s="1" t="s">
        <v>4003</v>
      </c>
      <c r="B48" s="25">
        <f t="shared" si="8"/>
        <v>6.5368875000000007E-2</v>
      </c>
      <c r="C48" s="1">
        <v>1</v>
      </c>
      <c r="D48" s="6">
        <f t="shared" si="12"/>
        <v>6.5368875000000007E-2</v>
      </c>
      <c r="E48" s="61">
        <f t="shared" si="10"/>
        <v>147</v>
      </c>
      <c r="F48" s="61">
        <f t="shared" si="13"/>
        <v>147</v>
      </c>
      <c r="G48" s="33" t="s">
        <v>4153</v>
      </c>
      <c r="H48" s="63" t="s">
        <v>4154</v>
      </c>
    </row>
    <row r="49" spans="1:8">
      <c r="A49" s="1" t="s">
        <v>4003</v>
      </c>
      <c r="B49" s="25">
        <f t="shared" si="8"/>
        <v>6.5368875000000007E-2</v>
      </c>
      <c r="C49" s="1">
        <v>1</v>
      </c>
      <c r="D49" s="6">
        <f t="shared" si="12"/>
        <v>6.5368875000000007E-2</v>
      </c>
      <c r="E49" s="61">
        <f t="shared" si="10"/>
        <v>148</v>
      </c>
      <c r="F49" s="61">
        <f t="shared" si="13"/>
        <v>148</v>
      </c>
      <c r="G49" s="33" t="s">
        <v>4155</v>
      </c>
      <c r="H49" s="63" t="s">
        <v>4156</v>
      </c>
    </row>
    <row r="50" spans="1:8">
      <c r="A50" s="1" t="s">
        <v>4003</v>
      </c>
      <c r="B50" s="25">
        <f t="shared" si="8"/>
        <v>6.5368875000000007E-2</v>
      </c>
      <c r="C50" s="1">
        <v>1</v>
      </c>
      <c r="D50" s="6">
        <f t="shared" si="12"/>
        <v>6.5368875000000007E-2</v>
      </c>
      <c r="E50" s="61">
        <f t="shared" si="10"/>
        <v>149</v>
      </c>
      <c r="F50" s="61">
        <f t="shared" si="13"/>
        <v>149</v>
      </c>
      <c r="G50" s="33" t="s">
        <v>4157</v>
      </c>
      <c r="H50" s="63" t="s">
        <v>4158</v>
      </c>
    </row>
    <row r="51" spans="1:8">
      <c r="A51" s="1" t="s">
        <v>4003</v>
      </c>
      <c r="B51" s="25">
        <f t="shared" si="8"/>
        <v>6.5368875000000007E-2</v>
      </c>
      <c r="C51" s="1">
        <v>1</v>
      </c>
      <c r="D51" s="6">
        <f t="shared" si="12"/>
        <v>6.5368875000000007E-2</v>
      </c>
      <c r="E51" s="61">
        <f t="shared" si="10"/>
        <v>150</v>
      </c>
      <c r="F51" s="61">
        <f t="shared" si="13"/>
        <v>150</v>
      </c>
      <c r="G51" s="33" t="s">
        <v>4159</v>
      </c>
      <c r="H51" s="63">
        <v>103.05</v>
      </c>
    </row>
    <row r="52" spans="1:8">
      <c r="A52" s="1" t="s">
        <v>4003</v>
      </c>
      <c r="B52" s="25">
        <f t="shared" si="8"/>
        <v>6.5368875000000007E-2</v>
      </c>
      <c r="C52" s="1">
        <v>1</v>
      </c>
      <c r="D52" s="6">
        <f t="shared" si="12"/>
        <v>6.5368875000000007E-2</v>
      </c>
      <c r="E52" s="61">
        <f t="shared" si="10"/>
        <v>151</v>
      </c>
      <c r="F52" s="61">
        <f t="shared" si="13"/>
        <v>151</v>
      </c>
      <c r="G52" s="1" t="s">
        <v>4108</v>
      </c>
      <c r="H52" s="63">
        <v>201.01</v>
      </c>
    </row>
    <row r="53" spans="1:8">
      <c r="A53" s="1" t="s">
        <v>4143</v>
      </c>
      <c r="B53" s="25">
        <f>33*39*40/1000000</f>
        <v>5.1479999999999998E-2</v>
      </c>
      <c r="C53" s="1">
        <v>1</v>
      </c>
      <c r="D53" s="6">
        <f>C53*B53</f>
        <v>5.1479999999999998E-2</v>
      </c>
      <c r="E53" s="61">
        <f>F52+1</f>
        <v>152</v>
      </c>
      <c r="F53" s="61">
        <f t="shared" si="13"/>
        <v>152</v>
      </c>
      <c r="G53" s="1" t="s">
        <v>4030</v>
      </c>
      <c r="H53" s="64">
        <v>103.16</v>
      </c>
    </row>
    <row r="54" spans="1:8">
      <c r="A54" s="1" t="s">
        <v>4029</v>
      </c>
      <c r="B54" s="25">
        <f>40*40*40/1000000</f>
        <v>6.4000000000000001E-2</v>
      </c>
      <c r="C54" s="1">
        <v>1</v>
      </c>
      <c r="D54" s="6">
        <f>C54*B54</f>
        <v>6.4000000000000001E-2</v>
      </c>
      <c r="E54" s="61">
        <f>F53+1</f>
        <v>153</v>
      </c>
      <c r="F54" s="61">
        <f t="shared" si="13"/>
        <v>153</v>
      </c>
      <c r="G54" s="1" t="s">
        <v>4031</v>
      </c>
      <c r="H54" s="64">
        <v>103.19</v>
      </c>
    </row>
    <row r="55" spans="1:8">
      <c r="B55" s="25"/>
      <c r="C55" s="2">
        <f>SUM(C2:C54)</f>
        <v>153</v>
      </c>
      <c r="D55" s="6">
        <f>SUM(D2:D54)</f>
        <v>11.173934500000026</v>
      </c>
      <c r="E55" s="34"/>
      <c r="F55" s="34"/>
      <c r="G55" s="63"/>
      <c r="H55" s="63"/>
    </row>
    <row r="56" spans="1:8">
      <c r="B56" s="25"/>
      <c r="D56" s="6"/>
      <c r="E56" s="34"/>
      <c r="F56" s="34"/>
      <c r="G56" s="34"/>
      <c r="H56" s="63"/>
    </row>
    <row r="57" spans="1:8" ht="12.75" thickBot="1">
      <c r="B57" s="64"/>
      <c r="H57" s="1"/>
    </row>
    <row r="58" spans="1:8" ht="39" thickBot="1">
      <c r="A58" s="59">
        <v>31000</v>
      </c>
      <c r="B58" s="49" t="s">
        <v>4173</v>
      </c>
      <c r="C58" s="184">
        <v>1.2E-2</v>
      </c>
      <c r="D58" s="182">
        <f t="shared" ref="D58:D63" si="14">A58*C58</f>
        <v>372</v>
      </c>
      <c r="E58" s="1">
        <v>490</v>
      </c>
      <c r="F58" s="45" t="s">
        <v>4176</v>
      </c>
      <c r="G58" s="185"/>
      <c r="H58" s="1"/>
    </row>
    <row r="59" spans="1:8" ht="39" thickBot="1">
      <c r="A59" s="59">
        <v>330</v>
      </c>
      <c r="B59" s="49" t="s">
        <v>4172</v>
      </c>
      <c r="C59" s="184">
        <v>0.35</v>
      </c>
      <c r="D59" s="182">
        <f t="shared" si="14"/>
        <v>115.49999999999999</v>
      </c>
      <c r="E59" s="1">
        <v>18</v>
      </c>
      <c r="F59" s="46" t="s">
        <v>4178</v>
      </c>
      <c r="G59" s="185"/>
      <c r="H59" s="1"/>
    </row>
    <row r="60" spans="1:8" ht="26.25" thickBot="1">
      <c r="A60" s="59">
        <v>1200</v>
      </c>
      <c r="B60" s="49" t="s">
        <v>4171</v>
      </c>
      <c r="C60" s="184">
        <v>0.22</v>
      </c>
      <c r="D60" s="182">
        <f t="shared" si="14"/>
        <v>264</v>
      </c>
      <c r="E60" s="1">
        <v>55</v>
      </c>
      <c r="F60" s="46" t="s">
        <v>4179</v>
      </c>
      <c r="G60" s="185"/>
      <c r="H60" s="1"/>
    </row>
    <row r="61" spans="1:8" ht="39" thickBot="1">
      <c r="A61" s="59">
        <v>520</v>
      </c>
      <c r="B61" s="49" t="s">
        <v>846</v>
      </c>
      <c r="C61" s="184">
        <v>24.45</v>
      </c>
      <c r="D61" s="182">
        <f t="shared" si="14"/>
        <v>12714</v>
      </c>
      <c r="E61" s="1">
        <v>114</v>
      </c>
      <c r="F61" s="46" t="s">
        <v>4180</v>
      </c>
      <c r="G61" s="185"/>
      <c r="H61" s="1"/>
    </row>
    <row r="62" spans="1:8" ht="26.25" thickBot="1">
      <c r="A62" s="59">
        <v>5500</v>
      </c>
      <c r="B62" s="49" t="s">
        <v>4175</v>
      </c>
      <c r="C62" s="184">
        <v>1.7000000000000001E-2</v>
      </c>
      <c r="D62" s="182">
        <f t="shared" si="14"/>
        <v>93.5</v>
      </c>
      <c r="E62" s="1">
        <v>18</v>
      </c>
      <c r="F62" s="46" t="s">
        <v>4178</v>
      </c>
      <c r="G62" s="185"/>
      <c r="H62" s="1"/>
    </row>
    <row r="63" spans="1:8" ht="26.25" thickBot="1">
      <c r="A63" s="59">
        <v>68000</v>
      </c>
      <c r="B63" s="49" t="s">
        <v>4174</v>
      </c>
      <c r="C63" s="184">
        <v>5.0000000000000001E-3</v>
      </c>
      <c r="D63" s="182">
        <f t="shared" si="14"/>
        <v>340</v>
      </c>
      <c r="E63" s="1">
        <v>168</v>
      </c>
      <c r="F63" s="46" t="s">
        <v>4181</v>
      </c>
      <c r="G63" s="185"/>
      <c r="H63" s="1"/>
    </row>
    <row r="64" spans="1:8" ht="13.5" thickBot="1">
      <c r="B64" s="64"/>
      <c r="C64" s="182">
        <f>D64-D61</f>
        <v>1185</v>
      </c>
      <c r="D64" s="182">
        <f>SUM(D58:D63)</f>
        <v>13899</v>
      </c>
      <c r="E64" s="1">
        <f>SUM(E58:E63)</f>
        <v>863</v>
      </c>
      <c r="F64" s="46" t="s">
        <v>4182</v>
      </c>
      <c r="G64" s="185"/>
      <c r="H64" s="1"/>
    </row>
    <row r="65" spans="2:8">
      <c r="B65" s="64"/>
      <c r="C65" s="183">
        <v>0.28000000000000003</v>
      </c>
      <c r="H65" s="1"/>
    </row>
    <row r="66" spans="2:8">
      <c r="B66" s="64"/>
      <c r="C66" s="182">
        <f>C64*C65</f>
        <v>331.8</v>
      </c>
      <c r="H66" s="1"/>
    </row>
    <row r="67" spans="2:8">
      <c r="B67" s="64"/>
      <c r="H67" s="1"/>
    </row>
    <row r="68" spans="2:8">
      <c r="B68" s="64"/>
      <c r="H68" s="1"/>
    </row>
    <row r="69" spans="2:8">
      <c r="B69" s="64"/>
      <c r="H69" s="1"/>
    </row>
    <row r="70" spans="2:8">
      <c r="B70" s="64"/>
      <c r="H70" s="1"/>
    </row>
    <row r="71" spans="2:8">
      <c r="B71" s="64"/>
      <c r="H71" s="1"/>
    </row>
    <row r="72" spans="2:8">
      <c r="B72" s="64"/>
      <c r="H72" s="1"/>
    </row>
    <row r="73" spans="2:8">
      <c r="B73" s="64"/>
      <c r="H73" s="1"/>
    </row>
    <row r="74" spans="2:8">
      <c r="B74" s="64"/>
      <c r="H74" s="1"/>
    </row>
    <row r="75" spans="2:8">
      <c r="B75" s="64"/>
      <c r="H75" s="1"/>
    </row>
    <row r="76" spans="2:8">
      <c r="B76" s="64"/>
      <c r="H76" s="1"/>
    </row>
    <row r="77" spans="2:8">
      <c r="B77" s="64"/>
      <c r="H77" s="1"/>
    </row>
    <row r="78" spans="2:8">
      <c r="B78" s="64"/>
      <c r="H78" s="1"/>
    </row>
    <row r="79" spans="2:8">
      <c r="B79" s="64"/>
      <c r="H79" s="1"/>
    </row>
    <row r="80" spans="2:8">
      <c r="B80" s="64"/>
      <c r="H80" s="1"/>
    </row>
    <row r="81" spans="2:8">
      <c r="B81" s="64"/>
      <c r="H81" s="1"/>
    </row>
    <row r="82" spans="2:8">
      <c r="B82" s="64"/>
      <c r="H82" s="1"/>
    </row>
    <row r="83" spans="2:8">
      <c r="B83" s="64"/>
      <c r="H83" s="1"/>
    </row>
    <row r="84" spans="2:8">
      <c r="B84" s="64"/>
      <c r="H84" s="1"/>
    </row>
    <row r="85" spans="2:8">
      <c r="B85" s="64"/>
      <c r="H85" s="1"/>
    </row>
  </sheetData>
  <phoneticPr fontId="2" type="noConversion"/>
  <pageMargins left="0.75" right="0.75" top="1" bottom="1" header="0.5" footer="0.5"/>
  <pageSetup paperSize="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3"/>
  <dimension ref="A1:K142"/>
  <sheetViews>
    <sheetView zoomScale="110" zoomScaleNormal="110" workbookViewId="0">
      <pane ySplit="2" topLeftCell="A94" activePane="bottomLeft" state="frozen"/>
      <selection pane="bottomLeft" activeCell="C80" sqref="C80"/>
    </sheetView>
  </sheetViews>
  <sheetFormatPr defaultRowHeight="14.25"/>
  <cols>
    <col min="1" max="1" width="10.25" bestFit="1" customWidth="1"/>
    <col min="2" max="2" width="17.75" style="71" bestFit="1" customWidth="1"/>
    <col min="3" max="3" width="17.5" style="71" customWidth="1"/>
    <col min="4" max="4" width="4.75" style="74" bestFit="1" customWidth="1"/>
    <col min="5" max="6" width="5.875" style="74" bestFit="1" customWidth="1"/>
    <col min="7" max="7" width="6" style="71" bestFit="1" customWidth="1"/>
    <col min="8" max="8" width="6.375" style="74" bestFit="1" customWidth="1"/>
    <col min="9" max="9" width="5.75" style="71" customWidth="1"/>
    <col min="10" max="10" width="5" style="75" bestFit="1" customWidth="1"/>
    <col min="11" max="11" width="5" style="74" bestFit="1" customWidth="1"/>
    <col min="12" max="16384" width="9" style="71"/>
  </cols>
  <sheetData>
    <row r="1" spans="1:11" ht="12">
      <c r="A1" s="71"/>
      <c r="D1" s="74" t="s">
        <v>1090</v>
      </c>
      <c r="E1" s="74" t="s">
        <v>1088</v>
      </c>
      <c r="F1" s="74" t="s">
        <v>1089</v>
      </c>
      <c r="G1" s="74" t="s">
        <v>1092</v>
      </c>
      <c r="H1" s="74" t="s">
        <v>1091</v>
      </c>
      <c r="I1" s="74" t="s">
        <v>1098</v>
      </c>
      <c r="J1" s="74" t="s">
        <v>1094</v>
      </c>
      <c r="K1" s="74" t="s">
        <v>1117</v>
      </c>
    </row>
    <row r="2" spans="1:11" ht="12">
      <c r="A2" s="71"/>
      <c r="D2" s="74">
        <f>SUM(D3:D92)</f>
        <v>172</v>
      </c>
      <c r="E2" s="74">
        <f>SUM(E3:E92)</f>
        <v>285</v>
      </c>
      <c r="F2" s="74">
        <f>SUM(F3:F92)</f>
        <v>278</v>
      </c>
      <c r="G2" s="74"/>
      <c r="I2" s="74">
        <f>SUM(I3:I92)</f>
        <v>21267.350000000002</v>
      </c>
      <c r="J2" s="74">
        <f>SUM(J3:J92)</f>
        <v>191</v>
      </c>
      <c r="K2" s="74">
        <f>SUM(K3:K92)</f>
        <v>919</v>
      </c>
    </row>
    <row r="3" spans="1:11" ht="12">
      <c r="A3" s="81" t="s">
        <v>1909</v>
      </c>
      <c r="B3" s="71" t="s">
        <v>998</v>
      </c>
      <c r="C3" s="71" t="s">
        <v>1040</v>
      </c>
      <c r="D3" s="74">
        <v>1</v>
      </c>
      <c r="E3" s="74">
        <v>11</v>
      </c>
      <c r="F3" s="74">
        <v>1</v>
      </c>
      <c r="G3" s="74">
        <v>0.15</v>
      </c>
      <c r="H3" s="74">
        <v>3200</v>
      </c>
      <c r="I3" s="71">
        <f t="shared" ref="I3:I37" si="0">D3*E3*F3*H3*G3</f>
        <v>5280</v>
      </c>
      <c r="J3" s="75">
        <v>20</v>
      </c>
      <c r="K3" s="74">
        <f t="shared" ref="K3:K8" si="1">D3*E3*F3</f>
        <v>11</v>
      </c>
    </row>
    <row r="4" spans="1:11" ht="12">
      <c r="A4" s="81"/>
      <c r="B4" s="71" t="s">
        <v>999</v>
      </c>
      <c r="C4" s="71" t="s">
        <v>1014</v>
      </c>
      <c r="D4" s="74">
        <v>1</v>
      </c>
      <c r="E4" s="74">
        <v>7</v>
      </c>
      <c r="F4" s="74">
        <v>1</v>
      </c>
      <c r="G4" s="74">
        <v>0.2</v>
      </c>
      <c r="H4" s="74">
        <v>400</v>
      </c>
      <c r="I4" s="71">
        <f t="shared" si="0"/>
        <v>560</v>
      </c>
      <c r="J4" s="75">
        <v>20</v>
      </c>
      <c r="K4" s="74">
        <f t="shared" si="1"/>
        <v>7</v>
      </c>
    </row>
    <row r="5" spans="1:11" ht="12">
      <c r="A5" s="81"/>
      <c r="B5" s="71" t="s">
        <v>1000</v>
      </c>
      <c r="C5" s="71" t="s">
        <v>1101</v>
      </c>
      <c r="D5" s="74">
        <v>1</v>
      </c>
      <c r="E5" s="74">
        <v>16</v>
      </c>
      <c r="F5" s="74">
        <v>1</v>
      </c>
      <c r="G5" s="74">
        <v>0.13</v>
      </c>
      <c r="H5" s="74">
        <v>350</v>
      </c>
      <c r="I5" s="71">
        <f t="shared" si="0"/>
        <v>728</v>
      </c>
      <c r="J5" s="75">
        <v>20</v>
      </c>
      <c r="K5" s="74">
        <f t="shared" si="1"/>
        <v>16</v>
      </c>
    </row>
    <row r="6" spans="1:11" ht="12">
      <c r="A6" s="81"/>
      <c r="B6" s="81" t="s">
        <v>1910</v>
      </c>
      <c r="D6" s="74">
        <v>1</v>
      </c>
      <c r="E6" s="74">
        <v>3</v>
      </c>
      <c r="F6" s="74">
        <v>1</v>
      </c>
      <c r="G6" s="74">
        <v>0.1</v>
      </c>
      <c r="H6" s="74">
        <v>3000</v>
      </c>
      <c r="I6" s="71">
        <f t="shared" si="0"/>
        <v>900</v>
      </c>
      <c r="J6" s="75">
        <v>10</v>
      </c>
      <c r="K6" s="74">
        <f t="shared" si="1"/>
        <v>3</v>
      </c>
    </row>
    <row r="7" spans="1:11" ht="12">
      <c r="A7" s="81"/>
      <c r="B7" s="81" t="s">
        <v>1911</v>
      </c>
      <c r="C7" s="71" t="s">
        <v>1013</v>
      </c>
      <c r="D7" s="74">
        <v>1</v>
      </c>
      <c r="E7" s="74">
        <v>3</v>
      </c>
      <c r="F7" s="74">
        <v>1</v>
      </c>
      <c r="G7" s="74">
        <v>0.1</v>
      </c>
      <c r="H7" s="74">
        <v>3000</v>
      </c>
      <c r="I7" s="71">
        <f t="shared" si="0"/>
        <v>900</v>
      </c>
      <c r="J7" s="75">
        <v>10</v>
      </c>
      <c r="K7" s="74">
        <f t="shared" si="1"/>
        <v>3</v>
      </c>
    </row>
    <row r="8" spans="1:11" ht="12">
      <c r="A8" s="81"/>
      <c r="B8" s="71" t="s">
        <v>1001</v>
      </c>
      <c r="C8" s="71" t="s">
        <v>1041</v>
      </c>
      <c r="D8" s="74">
        <v>1</v>
      </c>
      <c r="E8" s="74">
        <v>10</v>
      </c>
      <c r="F8" s="74">
        <v>1</v>
      </c>
      <c r="G8" s="74">
        <v>0.4</v>
      </c>
      <c r="H8" s="74">
        <v>100</v>
      </c>
      <c r="I8" s="71">
        <f t="shared" si="0"/>
        <v>400</v>
      </c>
      <c r="J8" s="75">
        <v>3</v>
      </c>
      <c r="K8" s="74">
        <f t="shared" si="1"/>
        <v>10</v>
      </c>
    </row>
    <row r="9" spans="1:11" ht="12">
      <c r="A9" s="81"/>
      <c r="B9" s="1" t="s">
        <v>1667</v>
      </c>
      <c r="C9" s="71" t="s">
        <v>1042</v>
      </c>
      <c r="D9" s="74">
        <v>1</v>
      </c>
      <c r="E9" s="74">
        <v>24</v>
      </c>
      <c r="F9" s="74">
        <v>1</v>
      </c>
      <c r="G9" s="74">
        <v>0.05</v>
      </c>
      <c r="H9" s="74">
        <v>500</v>
      </c>
      <c r="I9" s="71">
        <f t="shared" si="0"/>
        <v>600</v>
      </c>
      <c r="J9" s="75">
        <v>3</v>
      </c>
      <c r="K9" s="74">
        <f t="shared" ref="K9:K43" si="2">D9*E9*F9</f>
        <v>24</v>
      </c>
    </row>
    <row r="10" spans="1:11" ht="12">
      <c r="A10" s="81"/>
      <c r="B10" s="1" t="s">
        <v>1666</v>
      </c>
      <c r="C10" s="1" t="s">
        <v>1668</v>
      </c>
      <c r="D10" s="74">
        <v>1</v>
      </c>
      <c r="E10" s="74">
        <v>22</v>
      </c>
      <c r="F10" s="74">
        <v>1</v>
      </c>
      <c r="G10" s="74">
        <v>0.03</v>
      </c>
      <c r="H10" s="74">
        <v>500</v>
      </c>
      <c r="I10" s="71">
        <f>D10*E10*F10*H10*G10</f>
        <v>330</v>
      </c>
      <c r="J10" s="75">
        <v>3</v>
      </c>
      <c r="K10" s="74">
        <f t="shared" si="2"/>
        <v>22</v>
      </c>
    </row>
    <row r="11" spans="1:11" ht="12">
      <c r="A11" s="81"/>
      <c r="B11" s="71" t="s">
        <v>1003</v>
      </c>
      <c r="C11" s="71" t="s">
        <v>1102</v>
      </c>
      <c r="D11" s="74">
        <v>1</v>
      </c>
      <c r="E11" s="74">
        <v>10</v>
      </c>
      <c r="F11" s="74">
        <v>1</v>
      </c>
      <c r="G11" s="74">
        <v>0.05</v>
      </c>
      <c r="H11" s="74">
        <v>1000</v>
      </c>
      <c r="I11" s="71">
        <f t="shared" si="0"/>
        <v>500</v>
      </c>
      <c r="J11" s="75">
        <v>3</v>
      </c>
      <c r="K11" s="74">
        <f t="shared" si="2"/>
        <v>10</v>
      </c>
    </row>
    <row r="12" spans="1:11" ht="12">
      <c r="A12" s="81"/>
      <c r="B12" s="81" t="s">
        <v>1912</v>
      </c>
      <c r="C12" s="71" t="s">
        <v>1102</v>
      </c>
      <c r="D12" s="74">
        <v>1</v>
      </c>
      <c r="E12" s="74">
        <v>2</v>
      </c>
      <c r="F12" s="74">
        <v>1</v>
      </c>
      <c r="G12" s="74">
        <v>0.02</v>
      </c>
      <c r="H12" s="74">
        <v>40000</v>
      </c>
      <c r="I12" s="71">
        <f>D12*E12*F12*H12*G12</f>
        <v>1600</v>
      </c>
      <c r="J12" s="75">
        <v>3</v>
      </c>
      <c r="K12" s="74">
        <f t="shared" si="2"/>
        <v>2</v>
      </c>
    </row>
    <row r="13" spans="1:11" ht="12">
      <c r="A13" s="81"/>
      <c r="B13" s="81" t="s">
        <v>1913</v>
      </c>
      <c r="C13" s="71" t="s">
        <v>1102</v>
      </c>
      <c r="D13" s="74">
        <v>1</v>
      </c>
      <c r="E13" s="74">
        <v>4</v>
      </c>
      <c r="F13" s="74">
        <v>5</v>
      </c>
      <c r="G13" s="74">
        <v>0.05</v>
      </c>
      <c r="H13" s="74">
        <v>100</v>
      </c>
      <c r="I13" s="71">
        <f>D13*E13*F13*H13*G13</f>
        <v>100</v>
      </c>
      <c r="J13" s="75">
        <v>3</v>
      </c>
      <c r="K13" s="74">
        <f t="shared" si="2"/>
        <v>20</v>
      </c>
    </row>
    <row r="14" spans="1:11" ht="12">
      <c r="A14" s="81"/>
      <c r="B14" s="71" t="s">
        <v>1004</v>
      </c>
      <c r="C14" s="71" t="s">
        <v>1012</v>
      </c>
      <c r="D14" s="74">
        <v>1</v>
      </c>
      <c r="E14" s="74">
        <v>6</v>
      </c>
      <c r="F14" s="74">
        <v>6</v>
      </c>
      <c r="G14" s="74">
        <v>0.1</v>
      </c>
      <c r="H14" s="74">
        <v>100</v>
      </c>
      <c r="I14" s="71">
        <f t="shared" si="0"/>
        <v>360</v>
      </c>
      <c r="J14" s="75">
        <v>3</v>
      </c>
      <c r="K14" s="74">
        <f t="shared" si="2"/>
        <v>36</v>
      </c>
    </row>
    <row r="15" spans="1:11" ht="12">
      <c r="A15" s="81" t="s">
        <v>1914</v>
      </c>
      <c r="B15" s="81" t="s">
        <v>1915</v>
      </c>
      <c r="C15" s="71" t="s">
        <v>1009</v>
      </c>
      <c r="D15" s="74">
        <v>1</v>
      </c>
      <c r="E15" s="74">
        <v>3</v>
      </c>
      <c r="F15" s="74">
        <v>2</v>
      </c>
      <c r="G15" s="74">
        <v>0.8</v>
      </c>
      <c r="H15" s="74">
        <v>25</v>
      </c>
      <c r="I15" s="71">
        <f t="shared" si="0"/>
        <v>120</v>
      </c>
      <c r="J15" s="75">
        <v>10</v>
      </c>
      <c r="K15" s="74">
        <f t="shared" si="2"/>
        <v>6</v>
      </c>
    </row>
    <row r="16" spans="1:11" ht="12">
      <c r="A16" s="71"/>
      <c r="B16" s="81" t="s">
        <v>1916</v>
      </c>
      <c r="D16" s="74">
        <v>1</v>
      </c>
      <c r="E16" s="74">
        <v>4</v>
      </c>
      <c r="F16" s="74">
        <v>2</v>
      </c>
      <c r="G16" s="74">
        <v>1</v>
      </c>
      <c r="H16" s="74">
        <v>3</v>
      </c>
      <c r="I16" s="71">
        <f t="shared" si="0"/>
        <v>24</v>
      </c>
      <c r="J16" s="75">
        <v>1</v>
      </c>
      <c r="K16" s="74">
        <f t="shared" si="2"/>
        <v>8</v>
      </c>
    </row>
    <row r="17" spans="1:11" ht="12">
      <c r="A17" s="71"/>
      <c r="B17" s="81" t="s">
        <v>1917</v>
      </c>
      <c r="D17" s="74">
        <v>1</v>
      </c>
      <c r="E17" s="74">
        <v>3</v>
      </c>
      <c r="F17" s="74">
        <v>1</v>
      </c>
      <c r="G17" s="74">
        <v>0.35</v>
      </c>
      <c r="H17" s="74">
        <v>25</v>
      </c>
      <c r="I17" s="71">
        <f t="shared" si="0"/>
        <v>26.25</v>
      </c>
      <c r="J17" s="75">
        <v>5</v>
      </c>
      <c r="K17" s="74">
        <f t="shared" si="2"/>
        <v>3</v>
      </c>
    </row>
    <row r="18" spans="1:11" ht="12">
      <c r="A18" s="71"/>
      <c r="B18" s="81" t="s">
        <v>1918</v>
      </c>
      <c r="D18" s="74">
        <v>1</v>
      </c>
      <c r="E18" s="74">
        <v>3</v>
      </c>
      <c r="F18" s="74">
        <v>1</v>
      </c>
      <c r="G18" s="74">
        <v>0.7</v>
      </c>
      <c r="H18" s="74">
        <v>10</v>
      </c>
      <c r="I18" s="71">
        <f>D18*E18*F18*H18*G18</f>
        <v>21</v>
      </c>
      <c r="J18" s="75">
        <v>2</v>
      </c>
      <c r="K18" s="74">
        <f t="shared" si="2"/>
        <v>3</v>
      </c>
    </row>
    <row r="19" spans="1:11" ht="12">
      <c r="A19" s="71"/>
      <c r="B19" s="81" t="s">
        <v>1919</v>
      </c>
      <c r="D19" s="74">
        <v>3</v>
      </c>
      <c r="E19" s="74">
        <v>2</v>
      </c>
      <c r="F19" s="74">
        <v>5</v>
      </c>
      <c r="G19" s="74">
        <v>0.22</v>
      </c>
      <c r="H19" s="74">
        <v>20</v>
      </c>
      <c r="I19" s="71">
        <f>D19*E19*F19*H19*G19</f>
        <v>132</v>
      </c>
      <c r="J19" s="75">
        <v>1</v>
      </c>
      <c r="K19" s="74">
        <f t="shared" si="2"/>
        <v>30</v>
      </c>
    </row>
    <row r="20" spans="1:11" ht="12">
      <c r="A20" s="71"/>
      <c r="B20" s="81" t="s">
        <v>1921</v>
      </c>
      <c r="C20" s="71" t="s">
        <v>1061</v>
      </c>
      <c r="D20" s="74">
        <v>1</v>
      </c>
      <c r="E20" s="74">
        <v>1</v>
      </c>
      <c r="F20" s="74">
        <v>1</v>
      </c>
      <c r="G20" s="74">
        <v>1.2250000000000001</v>
      </c>
      <c r="H20" s="74">
        <v>200</v>
      </c>
      <c r="I20" s="71">
        <f t="shared" si="0"/>
        <v>245.00000000000003</v>
      </c>
      <c r="J20" s="75">
        <v>2</v>
      </c>
      <c r="K20" s="74">
        <f t="shared" si="2"/>
        <v>1</v>
      </c>
    </row>
    <row r="21" spans="1:11" ht="12">
      <c r="A21" s="71"/>
      <c r="B21" s="81" t="s">
        <v>1920</v>
      </c>
      <c r="D21" s="74">
        <v>1</v>
      </c>
      <c r="E21" s="74">
        <v>1</v>
      </c>
      <c r="F21" s="74">
        <v>1</v>
      </c>
      <c r="G21" s="74">
        <v>1.65</v>
      </c>
      <c r="H21" s="74">
        <v>30</v>
      </c>
      <c r="I21" s="71">
        <f t="shared" si="0"/>
        <v>49.5</v>
      </c>
      <c r="J21" s="75">
        <v>1</v>
      </c>
      <c r="K21" s="74">
        <f t="shared" si="2"/>
        <v>1</v>
      </c>
    </row>
    <row r="22" spans="1:11" ht="12">
      <c r="A22" s="71"/>
      <c r="B22" s="1" t="s">
        <v>1238</v>
      </c>
      <c r="C22" s="71" t="s">
        <v>1016</v>
      </c>
      <c r="D22" s="74">
        <v>1</v>
      </c>
      <c r="E22" s="74">
        <v>2</v>
      </c>
      <c r="F22" s="74">
        <v>1</v>
      </c>
      <c r="G22" s="74">
        <v>0.4</v>
      </c>
      <c r="H22" s="74">
        <v>40</v>
      </c>
      <c r="I22" s="71">
        <f t="shared" si="0"/>
        <v>32</v>
      </c>
      <c r="J22" s="75">
        <v>1</v>
      </c>
      <c r="K22" s="74">
        <f t="shared" si="2"/>
        <v>2</v>
      </c>
    </row>
    <row r="23" spans="1:11" ht="12">
      <c r="A23" s="71"/>
      <c r="B23" s="71" t="s">
        <v>1036</v>
      </c>
      <c r="C23" s="71" t="s">
        <v>1037</v>
      </c>
      <c r="D23" s="74">
        <v>9</v>
      </c>
      <c r="E23" s="74">
        <v>1</v>
      </c>
      <c r="F23" s="74">
        <v>3</v>
      </c>
      <c r="G23" s="74">
        <v>2</v>
      </c>
      <c r="H23" s="74">
        <v>3</v>
      </c>
      <c r="I23" s="71">
        <f t="shared" si="0"/>
        <v>162</v>
      </c>
      <c r="J23" s="75">
        <v>1</v>
      </c>
      <c r="K23" s="74">
        <f t="shared" si="2"/>
        <v>27</v>
      </c>
    </row>
    <row r="24" spans="1:11" ht="12">
      <c r="A24" s="71"/>
      <c r="B24" s="81" t="s">
        <v>1922</v>
      </c>
      <c r="C24" s="71" t="s">
        <v>1018</v>
      </c>
      <c r="D24" s="74">
        <v>1</v>
      </c>
      <c r="E24" s="74">
        <v>2</v>
      </c>
      <c r="F24" s="74">
        <v>8</v>
      </c>
      <c r="G24" s="74">
        <v>1</v>
      </c>
      <c r="H24" s="74">
        <v>10</v>
      </c>
      <c r="I24" s="71">
        <f t="shared" si="0"/>
        <v>160</v>
      </c>
      <c r="J24" s="75">
        <v>1</v>
      </c>
      <c r="K24" s="74">
        <f t="shared" si="2"/>
        <v>16</v>
      </c>
    </row>
    <row r="25" spans="1:11" ht="12">
      <c r="A25" s="71"/>
      <c r="B25" s="81" t="s">
        <v>1923</v>
      </c>
      <c r="D25" s="74">
        <v>1</v>
      </c>
      <c r="E25" s="74">
        <v>2</v>
      </c>
      <c r="F25" s="74">
        <v>1</v>
      </c>
      <c r="G25" s="74">
        <v>1.9</v>
      </c>
      <c r="H25" s="74">
        <v>10</v>
      </c>
      <c r="I25" s="71">
        <f t="shared" si="0"/>
        <v>38</v>
      </c>
      <c r="J25" s="75">
        <v>1</v>
      </c>
      <c r="K25" s="74">
        <f t="shared" si="2"/>
        <v>2</v>
      </c>
    </row>
    <row r="26" spans="1:11" ht="12">
      <c r="A26" s="71"/>
      <c r="B26" s="1" t="s">
        <v>1308</v>
      </c>
      <c r="C26" s="71" t="s">
        <v>1023</v>
      </c>
      <c r="D26" s="74">
        <v>1</v>
      </c>
      <c r="E26" s="74">
        <v>4</v>
      </c>
      <c r="F26" s="74">
        <v>1</v>
      </c>
      <c r="G26" s="74">
        <v>3</v>
      </c>
      <c r="H26" s="74">
        <v>3</v>
      </c>
      <c r="I26" s="71">
        <f t="shared" si="0"/>
        <v>36</v>
      </c>
      <c r="J26" s="75">
        <v>1</v>
      </c>
      <c r="K26" s="74">
        <f t="shared" si="2"/>
        <v>4</v>
      </c>
    </row>
    <row r="27" spans="1:11" ht="12">
      <c r="A27" s="71"/>
      <c r="B27" s="71" t="s">
        <v>1025</v>
      </c>
      <c r="C27" s="71" t="s">
        <v>1024</v>
      </c>
      <c r="D27" s="74">
        <v>2</v>
      </c>
      <c r="E27" s="74">
        <v>4</v>
      </c>
      <c r="F27" s="74">
        <v>1</v>
      </c>
      <c r="G27" s="74">
        <v>3</v>
      </c>
      <c r="H27" s="74">
        <v>3</v>
      </c>
      <c r="I27" s="71">
        <f t="shared" si="0"/>
        <v>72</v>
      </c>
      <c r="J27" s="75">
        <v>1</v>
      </c>
      <c r="K27" s="74">
        <f t="shared" si="2"/>
        <v>8</v>
      </c>
    </row>
    <row r="28" spans="1:11" ht="12">
      <c r="A28" s="71"/>
      <c r="B28" s="71" t="s">
        <v>1027</v>
      </c>
      <c r="C28" s="71" t="s">
        <v>1026</v>
      </c>
      <c r="D28" s="74">
        <v>1</v>
      </c>
      <c r="E28" s="74">
        <v>2</v>
      </c>
      <c r="F28" s="74">
        <v>1</v>
      </c>
      <c r="G28" s="74">
        <v>2.2999999999999998</v>
      </c>
      <c r="H28" s="74">
        <v>10</v>
      </c>
      <c r="I28" s="71">
        <f t="shared" si="0"/>
        <v>46</v>
      </c>
      <c r="J28" s="75">
        <v>1</v>
      </c>
      <c r="K28" s="74">
        <f t="shared" si="2"/>
        <v>2</v>
      </c>
    </row>
    <row r="29" spans="1:11" ht="12">
      <c r="A29" s="71"/>
      <c r="B29" s="71" t="s">
        <v>1022</v>
      </c>
      <c r="C29" s="71" t="s">
        <v>1021</v>
      </c>
      <c r="D29" s="74">
        <v>1</v>
      </c>
      <c r="E29" s="74">
        <v>1</v>
      </c>
      <c r="F29" s="74">
        <v>5</v>
      </c>
      <c r="G29" s="74">
        <v>0.65</v>
      </c>
      <c r="H29" s="74">
        <v>120</v>
      </c>
      <c r="I29" s="71">
        <f t="shared" si="0"/>
        <v>390</v>
      </c>
      <c r="J29" s="75">
        <v>1</v>
      </c>
      <c r="K29" s="74">
        <f t="shared" si="2"/>
        <v>5</v>
      </c>
    </row>
    <row r="30" spans="1:11" ht="12">
      <c r="A30" s="71"/>
      <c r="B30" s="71" t="s">
        <v>1020</v>
      </c>
      <c r="C30" s="71" t="s">
        <v>1019</v>
      </c>
      <c r="D30" s="74">
        <v>1</v>
      </c>
      <c r="E30" s="74">
        <v>1</v>
      </c>
      <c r="F30" s="74">
        <v>20</v>
      </c>
      <c r="G30" s="74">
        <v>0.72</v>
      </c>
      <c r="H30" s="74">
        <v>8</v>
      </c>
      <c r="I30" s="71">
        <f>D30*E30*F30*H30*G30</f>
        <v>115.19999999999999</v>
      </c>
      <c r="J30" s="75">
        <v>2</v>
      </c>
      <c r="K30" s="74">
        <f t="shared" si="2"/>
        <v>20</v>
      </c>
    </row>
    <row r="31" spans="1:11" ht="12">
      <c r="A31" s="71"/>
      <c r="B31" s="71" t="s">
        <v>1103</v>
      </c>
      <c r="C31" s="71" t="s">
        <v>1028</v>
      </c>
      <c r="D31" s="74">
        <v>1</v>
      </c>
      <c r="E31" s="74">
        <v>2</v>
      </c>
      <c r="F31" s="74">
        <v>2</v>
      </c>
      <c r="G31" s="74">
        <v>1.4</v>
      </c>
      <c r="H31" s="74">
        <v>20</v>
      </c>
      <c r="I31" s="71">
        <f t="shared" si="0"/>
        <v>112</v>
      </c>
      <c r="J31" s="75">
        <v>1</v>
      </c>
      <c r="K31" s="74">
        <f t="shared" si="2"/>
        <v>4</v>
      </c>
    </row>
    <row r="32" spans="1:11" ht="12">
      <c r="A32" s="71"/>
      <c r="B32" s="81" t="s">
        <v>1935</v>
      </c>
      <c r="C32" s="71" t="s">
        <v>1111</v>
      </c>
      <c r="D32" s="74">
        <v>1</v>
      </c>
      <c r="E32" s="74">
        <v>1</v>
      </c>
      <c r="F32" s="74">
        <v>12</v>
      </c>
      <c r="G32" s="74">
        <v>2.5</v>
      </c>
      <c r="H32" s="74">
        <v>3</v>
      </c>
      <c r="I32" s="71">
        <f t="shared" si="0"/>
        <v>90</v>
      </c>
      <c r="J32" s="75">
        <v>1</v>
      </c>
      <c r="K32" s="74">
        <f t="shared" si="2"/>
        <v>12</v>
      </c>
    </row>
    <row r="33" spans="1:11" ht="12">
      <c r="A33" s="71"/>
      <c r="B33" s="81" t="s">
        <v>1936</v>
      </c>
      <c r="C33" s="71" t="s">
        <v>1112</v>
      </c>
      <c r="D33" s="74">
        <v>1</v>
      </c>
      <c r="E33" s="74">
        <v>2</v>
      </c>
      <c r="F33" s="74">
        <v>18</v>
      </c>
      <c r="G33" s="74">
        <v>0.9</v>
      </c>
      <c r="H33" s="74">
        <v>3</v>
      </c>
      <c r="I33" s="71">
        <f t="shared" si="0"/>
        <v>97.2</v>
      </c>
      <c r="J33" s="75">
        <v>1</v>
      </c>
      <c r="K33" s="74">
        <f t="shared" si="2"/>
        <v>36</v>
      </c>
    </row>
    <row r="34" spans="1:11" ht="12">
      <c r="A34" s="71"/>
      <c r="B34" s="81" t="s">
        <v>1937</v>
      </c>
      <c r="C34" s="71" t="s">
        <v>1112</v>
      </c>
      <c r="D34" s="74">
        <v>1</v>
      </c>
      <c r="E34" s="74">
        <v>2</v>
      </c>
      <c r="F34" s="74">
        <v>18</v>
      </c>
      <c r="G34" s="74">
        <v>0.9</v>
      </c>
      <c r="H34" s="74">
        <v>3</v>
      </c>
      <c r="I34" s="71">
        <f>D34*E34*F34*H34*G34</f>
        <v>97.2</v>
      </c>
      <c r="J34" s="75">
        <v>1</v>
      </c>
      <c r="K34" s="74">
        <f t="shared" si="2"/>
        <v>36</v>
      </c>
    </row>
    <row r="35" spans="1:11" ht="12">
      <c r="A35" s="71"/>
      <c r="B35" s="81" t="s">
        <v>1938</v>
      </c>
      <c r="C35" s="71" t="s">
        <v>1112</v>
      </c>
      <c r="D35" s="74">
        <v>1</v>
      </c>
      <c r="E35" s="74">
        <v>2</v>
      </c>
      <c r="F35" s="74">
        <v>18</v>
      </c>
      <c r="G35" s="74">
        <v>0.9</v>
      </c>
      <c r="H35" s="74">
        <v>3</v>
      </c>
      <c r="I35" s="71">
        <f>D35*E35*F35*H35*G35</f>
        <v>97.2</v>
      </c>
      <c r="J35" s="75">
        <v>1</v>
      </c>
      <c r="K35" s="74">
        <f t="shared" si="2"/>
        <v>36</v>
      </c>
    </row>
    <row r="36" spans="1:11" ht="12">
      <c r="A36" s="71"/>
      <c r="B36" s="73" t="s">
        <v>1326</v>
      </c>
      <c r="C36" s="71" t="s">
        <v>1105</v>
      </c>
      <c r="D36" s="74">
        <v>1</v>
      </c>
      <c r="E36" s="74">
        <v>2</v>
      </c>
      <c r="F36" s="74">
        <v>10</v>
      </c>
      <c r="G36" s="74">
        <v>1.75</v>
      </c>
      <c r="H36" s="74">
        <v>3</v>
      </c>
      <c r="I36" s="71">
        <f t="shared" si="0"/>
        <v>105</v>
      </c>
      <c r="J36" s="75">
        <v>1</v>
      </c>
      <c r="K36" s="74">
        <f t="shared" si="2"/>
        <v>20</v>
      </c>
    </row>
    <row r="37" spans="1:11" ht="12">
      <c r="A37" s="71"/>
      <c r="B37" s="81" t="s">
        <v>1924</v>
      </c>
      <c r="D37" s="74">
        <v>1</v>
      </c>
      <c r="E37" s="3">
        <v>2</v>
      </c>
      <c r="F37" s="74">
        <v>3</v>
      </c>
      <c r="G37" s="74">
        <v>0.4</v>
      </c>
      <c r="H37" s="74">
        <v>100</v>
      </c>
      <c r="I37" s="71">
        <f t="shared" si="0"/>
        <v>240</v>
      </c>
      <c r="J37" s="75">
        <v>1</v>
      </c>
      <c r="K37" s="74">
        <f t="shared" si="2"/>
        <v>6</v>
      </c>
    </row>
    <row r="38" spans="1:11" ht="12">
      <c r="A38" s="71"/>
      <c r="B38" s="71" t="s">
        <v>1106</v>
      </c>
      <c r="C38" s="71" t="s">
        <v>1107</v>
      </c>
      <c r="D38" s="74">
        <v>1</v>
      </c>
      <c r="E38" s="74">
        <v>1</v>
      </c>
      <c r="F38" s="74">
        <v>10</v>
      </c>
      <c r="G38" s="74">
        <v>2.8</v>
      </c>
      <c r="H38" s="74">
        <v>5</v>
      </c>
      <c r="I38" s="71">
        <f t="shared" ref="I38:I43" si="3">D38*E38*F38*H38*G38</f>
        <v>140</v>
      </c>
      <c r="J38" s="75">
        <v>1</v>
      </c>
      <c r="K38" s="74">
        <f t="shared" si="2"/>
        <v>10</v>
      </c>
    </row>
    <row r="39" spans="1:11" ht="12">
      <c r="A39" s="71"/>
      <c r="B39" s="83" t="s">
        <v>1301</v>
      </c>
      <c r="C39" s="71" t="s">
        <v>1108</v>
      </c>
      <c r="D39" s="74">
        <v>1</v>
      </c>
      <c r="E39" s="74">
        <v>2</v>
      </c>
      <c r="F39" s="74">
        <v>8</v>
      </c>
      <c r="G39" s="74">
        <v>1.6</v>
      </c>
      <c r="H39" s="74">
        <v>3</v>
      </c>
      <c r="I39" s="71">
        <f t="shared" si="3"/>
        <v>76.800000000000011</v>
      </c>
      <c r="J39" s="75">
        <v>1</v>
      </c>
      <c r="K39" s="74">
        <f t="shared" si="2"/>
        <v>16</v>
      </c>
    </row>
    <row r="40" spans="1:11" ht="12">
      <c r="A40" s="71"/>
      <c r="B40" s="81" t="s">
        <v>1925</v>
      </c>
      <c r="C40" s="71" t="s">
        <v>1110</v>
      </c>
      <c r="D40" s="74">
        <v>1</v>
      </c>
      <c r="E40" s="74">
        <v>7</v>
      </c>
      <c r="F40" s="74">
        <v>1</v>
      </c>
      <c r="G40" s="74">
        <v>2</v>
      </c>
      <c r="H40" s="74">
        <v>3</v>
      </c>
      <c r="I40" s="71">
        <f t="shared" si="3"/>
        <v>42</v>
      </c>
      <c r="J40" s="75">
        <v>1</v>
      </c>
      <c r="K40" s="74">
        <f t="shared" si="2"/>
        <v>7</v>
      </c>
    </row>
    <row r="41" spans="1:11" ht="12">
      <c r="A41" s="71"/>
      <c r="B41" s="81" t="s">
        <v>1926</v>
      </c>
      <c r="D41" s="74">
        <v>1</v>
      </c>
      <c r="E41" s="74">
        <v>5</v>
      </c>
      <c r="F41" s="74">
        <v>1</v>
      </c>
      <c r="G41" s="74">
        <v>2</v>
      </c>
      <c r="H41" s="74">
        <v>3</v>
      </c>
      <c r="I41" s="71">
        <f t="shared" si="3"/>
        <v>30</v>
      </c>
      <c r="J41" s="75">
        <v>1</v>
      </c>
      <c r="K41" s="74">
        <f t="shared" si="2"/>
        <v>5</v>
      </c>
    </row>
    <row r="42" spans="1:11" ht="12">
      <c r="A42" s="71"/>
      <c r="B42" s="81" t="s">
        <v>1927</v>
      </c>
      <c r="D42" s="74">
        <v>1</v>
      </c>
      <c r="E42" s="74">
        <v>4</v>
      </c>
      <c r="F42" s="74">
        <v>1</v>
      </c>
      <c r="G42" s="74">
        <v>3</v>
      </c>
      <c r="H42" s="74">
        <v>3</v>
      </c>
      <c r="I42" s="71">
        <f t="shared" si="3"/>
        <v>36</v>
      </c>
      <c r="J42" s="75">
        <v>1</v>
      </c>
      <c r="K42" s="74">
        <f t="shared" si="2"/>
        <v>4</v>
      </c>
    </row>
    <row r="43" spans="1:11" ht="12">
      <c r="A43" s="71"/>
      <c r="B43" s="81" t="s">
        <v>1928</v>
      </c>
      <c r="D43" s="74">
        <v>1</v>
      </c>
      <c r="E43" s="74">
        <v>2</v>
      </c>
      <c r="F43" s="74">
        <v>3</v>
      </c>
      <c r="G43" s="74">
        <v>1.8</v>
      </c>
      <c r="H43" s="74">
        <v>50</v>
      </c>
      <c r="I43" s="71">
        <f t="shared" si="3"/>
        <v>540</v>
      </c>
      <c r="J43" s="75">
        <v>1</v>
      </c>
      <c r="K43" s="74">
        <f t="shared" si="2"/>
        <v>6</v>
      </c>
    </row>
    <row r="44" spans="1:11" ht="12">
      <c r="A44" s="71"/>
      <c r="B44" s="81" t="s">
        <v>1932</v>
      </c>
      <c r="G44" s="74"/>
    </row>
    <row r="45" spans="1:11" ht="12">
      <c r="A45" s="71"/>
      <c r="B45" s="81" t="s">
        <v>1934</v>
      </c>
      <c r="G45" s="74"/>
    </row>
    <row r="46" spans="1:11" ht="12">
      <c r="A46" s="71"/>
      <c r="B46" s="81" t="s">
        <v>1933</v>
      </c>
      <c r="G46" s="74"/>
    </row>
    <row r="47" spans="1:11" ht="12">
      <c r="A47" s="71"/>
      <c r="B47" s="71" t="s">
        <v>1015</v>
      </c>
      <c r="C47" s="71" t="s">
        <v>1113</v>
      </c>
      <c r="D47" s="74">
        <v>1</v>
      </c>
      <c r="E47" s="74">
        <v>1</v>
      </c>
      <c r="F47" s="74">
        <v>1</v>
      </c>
      <c r="G47" s="74">
        <v>1</v>
      </c>
      <c r="H47" s="74">
        <v>1</v>
      </c>
      <c r="I47" s="71">
        <f t="shared" ref="I47:I55" si="4">D47*E47*F47*H47*G47</f>
        <v>1</v>
      </c>
      <c r="J47" s="75">
        <v>1</v>
      </c>
      <c r="K47" s="74">
        <f t="shared" ref="K47:K55" si="5">D47*E47*F47</f>
        <v>1</v>
      </c>
    </row>
    <row r="48" spans="1:11" ht="12">
      <c r="A48" s="71"/>
      <c r="B48" s="1" t="s">
        <v>1390</v>
      </c>
      <c r="C48" s="1" t="s">
        <v>1389</v>
      </c>
      <c r="D48" s="74">
        <v>2</v>
      </c>
      <c r="E48" s="74">
        <v>2</v>
      </c>
      <c r="F48" s="74">
        <v>3</v>
      </c>
      <c r="G48" s="74">
        <v>0.7</v>
      </c>
      <c r="H48" s="74">
        <v>10</v>
      </c>
      <c r="I48" s="71">
        <f t="shared" si="4"/>
        <v>84</v>
      </c>
      <c r="J48" s="75">
        <v>1</v>
      </c>
      <c r="K48" s="74">
        <f t="shared" si="5"/>
        <v>12</v>
      </c>
    </row>
    <row r="49" spans="1:11" ht="12">
      <c r="A49" s="71"/>
      <c r="B49" s="1" t="s">
        <v>1388</v>
      </c>
      <c r="D49" s="74">
        <v>1</v>
      </c>
      <c r="E49" s="74">
        <v>1</v>
      </c>
      <c r="F49" s="74">
        <v>1</v>
      </c>
      <c r="G49" s="74">
        <v>0.5</v>
      </c>
      <c r="H49" s="74">
        <v>10</v>
      </c>
      <c r="I49" s="71">
        <f t="shared" si="4"/>
        <v>5</v>
      </c>
      <c r="J49" s="75">
        <v>1</v>
      </c>
      <c r="K49" s="74">
        <f t="shared" si="5"/>
        <v>1</v>
      </c>
    </row>
    <row r="50" spans="1:11" ht="12">
      <c r="A50" s="71"/>
      <c r="B50" s="1" t="s">
        <v>1391</v>
      </c>
      <c r="D50" s="74">
        <v>2</v>
      </c>
      <c r="E50" s="74">
        <v>1</v>
      </c>
      <c r="F50" s="74">
        <v>10</v>
      </c>
      <c r="G50" s="74">
        <v>0.9</v>
      </c>
      <c r="H50" s="74">
        <v>3</v>
      </c>
      <c r="I50" s="71">
        <f t="shared" si="4"/>
        <v>54</v>
      </c>
      <c r="J50" s="75">
        <v>1</v>
      </c>
      <c r="K50" s="74">
        <f t="shared" si="5"/>
        <v>20</v>
      </c>
    </row>
    <row r="51" spans="1:11" ht="12">
      <c r="A51" s="71"/>
      <c r="B51" s="84" t="s">
        <v>1213</v>
      </c>
      <c r="C51" s="71" t="s">
        <v>1109</v>
      </c>
      <c r="D51" s="74">
        <v>1</v>
      </c>
      <c r="E51" s="74">
        <v>6</v>
      </c>
      <c r="F51" s="74">
        <v>11</v>
      </c>
      <c r="G51" s="74">
        <v>0.8</v>
      </c>
      <c r="H51" s="74">
        <v>10</v>
      </c>
      <c r="I51" s="71">
        <f t="shared" si="4"/>
        <v>528</v>
      </c>
      <c r="J51" s="75">
        <v>1</v>
      </c>
      <c r="K51" s="74">
        <f t="shared" si="5"/>
        <v>66</v>
      </c>
    </row>
    <row r="52" spans="1:11" ht="12">
      <c r="A52" s="71"/>
      <c r="B52" s="71" t="s">
        <v>1006</v>
      </c>
      <c r="C52" s="71" t="s">
        <v>1010</v>
      </c>
      <c r="D52" s="74">
        <v>1</v>
      </c>
      <c r="E52" s="74">
        <v>4</v>
      </c>
      <c r="F52" s="74">
        <v>6</v>
      </c>
      <c r="G52" s="74">
        <v>0.01</v>
      </c>
      <c r="H52" s="74">
        <v>1000</v>
      </c>
      <c r="I52" s="71">
        <f t="shared" si="4"/>
        <v>240</v>
      </c>
      <c r="J52" s="75">
        <v>1</v>
      </c>
      <c r="K52" s="74">
        <f t="shared" si="5"/>
        <v>24</v>
      </c>
    </row>
    <row r="53" spans="1:11" ht="12">
      <c r="A53" s="71"/>
      <c r="B53" s="71" t="s">
        <v>1008</v>
      </c>
      <c r="C53" s="71" t="s">
        <v>1011</v>
      </c>
      <c r="D53" s="74">
        <v>1</v>
      </c>
      <c r="E53" s="74">
        <v>5</v>
      </c>
      <c r="F53" s="74">
        <v>1</v>
      </c>
      <c r="G53" s="74">
        <v>0.22</v>
      </c>
      <c r="H53" s="74">
        <v>300</v>
      </c>
      <c r="I53" s="71">
        <f t="shared" si="4"/>
        <v>330</v>
      </c>
      <c r="J53" s="75">
        <v>1</v>
      </c>
      <c r="K53" s="74">
        <f t="shared" si="5"/>
        <v>5</v>
      </c>
    </row>
    <row r="54" spans="1:11" ht="12">
      <c r="A54" s="71"/>
      <c r="B54" s="81" t="s">
        <v>1930</v>
      </c>
      <c r="C54" s="71" t="s">
        <v>1010</v>
      </c>
      <c r="D54" s="74">
        <v>1</v>
      </c>
      <c r="E54" s="74">
        <v>4</v>
      </c>
      <c r="F54" s="74">
        <v>6</v>
      </c>
      <c r="G54" s="74">
        <v>0.01</v>
      </c>
      <c r="H54" s="74">
        <v>1000</v>
      </c>
      <c r="I54" s="71">
        <f t="shared" si="4"/>
        <v>240</v>
      </c>
      <c r="J54" s="75">
        <v>1</v>
      </c>
      <c r="K54" s="74">
        <f t="shared" si="5"/>
        <v>24</v>
      </c>
    </row>
    <row r="55" spans="1:11" ht="12">
      <c r="A55" s="81" t="s">
        <v>1950</v>
      </c>
      <c r="B55" s="71" t="s">
        <v>1029</v>
      </c>
      <c r="C55" s="71" t="s">
        <v>1044</v>
      </c>
      <c r="D55" s="74">
        <v>1</v>
      </c>
      <c r="E55" s="74">
        <v>9</v>
      </c>
      <c r="F55" s="74">
        <v>2</v>
      </c>
      <c r="G55" s="74">
        <v>0.22</v>
      </c>
      <c r="H55" s="74">
        <v>100</v>
      </c>
      <c r="I55" s="71">
        <f t="shared" si="4"/>
        <v>396</v>
      </c>
      <c r="J55" s="75">
        <v>1</v>
      </c>
      <c r="K55" s="74">
        <f t="shared" si="5"/>
        <v>18</v>
      </c>
    </row>
    <row r="56" spans="1:11" ht="12">
      <c r="A56" s="71"/>
      <c r="B56" s="81" t="s">
        <v>1939</v>
      </c>
      <c r="G56" s="74"/>
    </row>
    <row r="57" spans="1:11" ht="12">
      <c r="A57" s="71"/>
      <c r="B57" s="71" t="s">
        <v>1007</v>
      </c>
      <c r="C57" s="71" t="s">
        <v>1005</v>
      </c>
      <c r="D57" s="74">
        <v>4</v>
      </c>
      <c r="E57" s="74">
        <v>1</v>
      </c>
      <c r="F57" s="74">
        <v>6</v>
      </c>
      <c r="G57" s="74">
        <v>1.5</v>
      </c>
      <c r="H57" s="74">
        <v>3</v>
      </c>
      <c r="I57" s="71">
        <f t="shared" ref="I57:I91" si="6">D57*E57*F57*H57*G57</f>
        <v>108</v>
      </c>
      <c r="J57" s="75">
        <v>1</v>
      </c>
      <c r="K57" s="74">
        <f t="shared" ref="K57:K91" si="7">D57*E57*F57</f>
        <v>24</v>
      </c>
    </row>
    <row r="58" spans="1:11" ht="12">
      <c r="A58" s="81" t="s">
        <v>1951</v>
      </c>
      <c r="B58" s="1" t="s">
        <v>1605</v>
      </c>
      <c r="C58" s="1" t="s">
        <v>1600</v>
      </c>
      <c r="D58" s="74">
        <v>1</v>
      </c>
      <c r="E58" s="74">
        <v>3</v>
      </c>
      <c r="F58" s="74">
        <v>1</v>
      </c>
      <c r="G58" s="74">
        <v>0.15</v>
      </c>
      <c r="H58" s="74">
        <v>60</v>
      </c>
      <c r="I58" s="71">
        <f t="shared" si="6"/>
        <v>27</v>
      </c>
      <c r="J58" s="75">
        <v>1</v>
      </c>
      <c r="K58" s="74">
        <f t="shared" si="7"/>
        <v>3</v>
      </c>
    </row>
    <row r="59" spans="1:11" ht="12">
      <c r="A59" s="71"/>
      <c r="B59" s="1" t="s">
        <v>1599</v>
      </c>
      <c r="C59" s="1"/>
      <c r="D59" s="74">
        <v>1</v>
      </c>
      <c r="E59" s="74">
        <v>3</v>
      </c>
      <c r="F59" s="74">
        <v>1</v>
      </c>
      <c r="G59" s="74">
        <v>0.1</v>
      </c>
      <c r="H59" s="74">
        <v>50</v>
      </c>
      <c r="I59" s="71">
        <f t="shared" si="6"/>
        <v>15</v>
      </c>
      <c r="J59" s="75">
        <v>1</v>
      </c>
      <c r="K59" s="74">
        <f t="shared" si="7"/>
        <v>3</v>
      </c>
    </row>
    <row r="60" spans="1:11" ht="12">
      <c r="A60" s="71"/>
      <c r="B60" s="1" t="s">
        <v>1602</v>
      </c>
      <c r="C60" s="1"/>
      <c r="D60" s="74">
        <v>1</v>
      </c>
      <c r="E60" s="74">
        <v>3</v>
      </c>
      <c r="F60" s="74">
        <v>1</v>
      </c>
      <c r="G60" s="74">
        <v>0.06</v>
      </c>
      <c r="H60" s="74">
        <v>1000</v>
      </c>
      <c r="I60" s="71">
        <f t="shared" si="6"/>
        <v>180</v>
      </c>
      <c r="J60" s="75">
        <v>1</v>
      </c>
      <c r="K60" s="74">
        <f t="shared" si="7"/>
        <v>3</v>
      </c>
    </row>
    <row r="61" spans="1:11" ht="12">
      <c r="A61" s="71"/>
      <c r="B61" s="1" t="s">
        <v>1603</v>
      </c>
      <c r="C61" s="1"/>
      <c r="D61" s="74">
        <v>1</v>
      </c>
      <c r="E61" s="74">
        <v>3</v>
      </c>
      <c r="F61" s="74">
        <v>1</v>
      </c>
      <c r="G61" s="74">
        <v>0.06</v>
      </c>
      <c r="H61" s="74">
        <v>1000</v>
      </c>
      <c r="I61" s="71">
        <f t="shared" si="6"/>
        <v>180</v>
      </c>
      <c r="J61" s="75">
        <v>1</v>
      </c>
      <c r="K61" s="74">
        <f t="shared" si="7"/>
        <v>3</v>
      </c>
    </row>
    <row r="62" spans="1:11" ht="12">
      <c r="A62" s="71"/>
      <c r="B62" s="1" t="s">
        <v>1604</v>
      </c>
      <c r="D62" s="74">
        <v>1</v>
      </c>
      <c r="E62" s="74">
        <v>4</v>
      </c>
      <c r="F62" s="74">
        <v>1</v>
      </c>
      <c r="G62" s="74">
        <v>0.22</v>
      </c>
      <c r="H62" s="74">
        <v>300</v>
      </c>
      <c r="I62" s="71">
        <f t="shared" si="6"/>
        <v>264</v>
      </c>
      <c r="J62" s="75">
        <v>1</v>
      </c>
      <c r="K62" s="74">
        <f t="shared" si="7"/>
        <v>4</v>
      </c>
    </row>
    <row r="63" spans="1:11" ht="12">
      <c r="A63" s="71"/>
      <c r="B63" s="1" t="s">
        <v>1606</v>
      </c>
      <c r="C63" s="1" t="s">
        <v>1601</v>
      </c>
      <c r="D63" s="74">
        <v>1</v>
      </c>
      <c r="E63" s="74">
        <v>3</v>
      </c>
      <c r="F63" s="74">
        <v>1</v>
      </c>
      <c r="G63" s="74">
        <v>0.15</v>
      </c>
      <c r="H63" s="74">
        <v>50</v>
      </c>
      <c r="I63" s="71">
        <f t="shared" si="6"/>
        <v>22.5</v>
      </c>
      <c r="J63" s="75">
        <v>1</v>
      </c>
      <c r="K63" s="74">
        <f t="shared" si="7"/>
        <v>3</v>
      </c>
    </row>
    <row r="64" spans="1:11" ht="12">
      <c r="A64" s="71"/>
      <c r="B64" s="1" t="s">
        <v>1607</v>
      </c>
      <c r="C64" s="1"/>
      <c r="D64" s="74">
        <v>1</v>
      </c>
      <c r="E64" s="74">
        <v>3</v>
      </c>
      <c r="F64" s="74">
        <v>1</v>
      </c>
      <c r="G64" s="74">
        <v>0.15</v>
      </c>
      <c r="H64" s="74">
        <v>50</v>
      </c>
      <c r="I64" s="71">
        <f t="shared" si="6"/>
        <v>22.5</v>
      </c>
      <c r="J64" s="75">
        <v>1</v>
      </c>
      <c r="K64" s="74">
        <f t="shared" si="7"/>
        <v>3</v>
      </c>
    </row>
    <row r="65" spans="1:11" ht="12">
      <c r="A65" s="71"/>
      <c r="B65" s="1" t="s">
        <v>1608</v>
      </c>
      <c r="C65" s="1"/>
      <c r="D65" s="74">
        <v>1</v>
      </c>
      <c r="E65" s="74">
        <v>3</v>
      </c>
      <c r="F65" s="74">
        <v>1</v>
      </c>
      <c r="G65" s="74">
        <v>0.15</v>
      </c>
      <c r="H65" s="74">
        <v>50</v>
      </c>
      <c r="I65" s="71">
        <f t="shared" si="6"/>
        <v>22.5</v>
      </c>
      <c r="J65" s="75">
        <v>1</v>
      </c>
      <c r="K65" s="74">
        <f t="shared" si="7"/>
        <v>3</v>
      </c>
    </row>
    <row r="66" spans="1:11" ht="12">
      <c r="A66" s="71"/>
      <c r="B66" s="1" t="s">
        <v>1609</v>
      </c>
      <c r="D66" s="74">
        <v>1</v>
      </c>
      <c r="E66" s="74">
        <v>8</v>
      </c>
      <c r="F66" s="74">
        <v>1</v>
      </c>
      <c r="G66" s="74">
        <v>0.3</v>
      </c>
      <c r="H66" s="74">
        <v>50</v>
      </c>
      <c r="I66" s="71">
        <f t="shared" si="6"/>
        <v>120</v>
      </c>
      <c r="J66" s="75">
        <v>1</v>
      </c>
      <c r="K66" s="74">
        <f t="shared" si="7"/>
        <v>8</v>
      </c>
    </row>
    <row r="67" spans="1:11" ht="12">
      <c r="A67" s="81"/>
      <c r="B67" s="81" t="s">
        <v>1945</v>
      </c>
      <c r="C67" s="71" t="s">
        <v>1115</v>
      </c>
      <c r="D67" s="74">
        <v>4</v>
      </c>
      <c r="E67" s="74">
        <v>1</v>
      </c>
      <c r="F67" s="74">
        <v>1</v>
      </c>
      <c r="G67" s="74">
        <v>0.1</v>
      </c>
      <c r="H67" s="74">
        <v>500</v>
      </c>
      <c r="I67" s="71">
        <f t="shared" si="6"/>
        <v>200</v>
      </c>
      <c r="J67" s="75">
        <v>1</v>
      </c>
      <c r="K67" s="74">
        <f t="shared" si="7"/>
        <v>4</v>
      </c>
    </row>
    <row r="68" spans="1:11" ht="12">
      <c r="A68" s="71"/>
      <c r="B68" s="81" t="s">
        <v>1946</v>
      </c>
      <c r="D68" s="74">
        <v>2</v>
      </c>
      <c r="E68" s="74">
        <v>1</v>
      </c>
      <c r="F68" s="74">
        <v>6</v>
      </c>
      <c r="G68" s="74">
        <v>0.06</v>
      </c>
      <c r="H68" s="74">
        <v>500</v>
      </c>
      <c r="I68" s="71">
        <f t="shared" si="6"/>
        <v>360</v>
      </c>
      <c r="J68" s="75">
        <v>1</v>
      </c>
      <c r="K68" s="74">
        <f t="shared" si="7"/>
        <v>12</v>
      </c>
    </row>
    <row r="69" spans="1:11" ht="12">
      <c r="A69" s="71"/>
      <c r="B69" s="81" t="s">
        <v>1947</v>
      </c>
      <c r="D69" s="74">
        <v>3</v>
      </c>
      <c r="E69" s="74">
        <v>1</v>
      </c>
      <c r="F69" s="74">
        <v>1</v>
      </c>
      <c r="G69" s="74">
        <v>1.8</v>
      </c>
      <c r="H69" s="74">
        <v>10</v>
      </c>
      <c r="I69" s="71">
        <f t="shared" si="6"/>
        <v>54</v>
      </c>
      <c r="J69" s="75">
        <v>1</v>
      </c>
      <c r="K69" s="74">
        <f t="shared" si="7"/>
        <v>3</v>
      </c>
    </row>
    <row r="70" spans="1:11" ht="12">
      <c r="A70" s="71"/>
      <c r="B70" s="81" t="s">
        <v>1949</v>
      </c>
      <c r="D70" s="74">
        <v>1</v>
      </c>
      <c r="E70" s="74">
        <v>1</v>
      </c>
      <c r="F70" s="74">
        <v>1</v>
      </c>
      <c r="G70" s="74">
        <v>3</v>
      </c>
      <c r="H70" s="74">
        <v>10</v>
      </c>
      <c r="I70" s="71">
        <f t="shared" si="6"/>
        <v>30</v>
      </c>
      <c r="J70" s="75">
        <v>2</v>
      </c>
      <c r="K70" s="74">
        <f t="shared" si="7"/>
        <v>1</v>
      </c>
    </row>
    <row r="71" spans="1:11" ht="12">
      <c r="A71" s="71"/>
      <c r="B71" s="81" t="s">
        <v>1948</v>
      </c>
      <c r="D71" s="74">
        <v>3</v>
      </c>
      <c r="E71" s="74">
        <v>1</v>
      </c>
      <c r="F71" s="74">
        <v>1</v>
      </c>
      <c r="G71" s="74">
        <v>1.5</v>
      </c>
      <c r="H71" s="74">
        <v>10</v>
      </c>
      <c r="I71" s="71">
        <f t="shared" si="6"/>
        <v>45</v>
      </c>
      <c r="J71" s="75">
        <v>1</v>
      </c>
      <c r="K71" s="74">
        <f t="shared" si="7"/>
        <v>3</v>
      </c>
    </row>
    <row r="72" spans="1:11" ht="12">
      <c r="A72" s="81" t="s">
        <v>1952</v>
      </c>
      <c r="B72" s="81" t="s">
        <v>1957</v>
      </c>
      <c r="D72" s="74">
        <v>1</v>
      </c>
      <c r="E72" s="74">
        <v>1</v>
      </c>
      <c r="F72" s="74">
        <v>1</v>
      </c>
      <c r="G72" s="74">
        <v>0.3</v>
      </c>
      <c r="H72" s="74">
        <v>10</v>
      </c>
      <c r="I72" s="71">
        <f t="shared" si="6"/>
        <v>3</v>
      </c>
      <c r="J72" s="75">
        <v>1</v>
      </c>
      <c r="K72" s="74">
        <f t="shared" si="7"/>
        <v>1</v>
      </c>
    </row>
    <row r="73" spans="1:11" ht="12">
      <c r="A73" s="71"/>
      <c r="B73" s="81" t="s">
        <v>1958</v>
      </c>
      <c r="D73" s="74">
        <v>1</v>
      </c>
      <c r="E73" s="74">
        <v>1</v>
      </c>
      <c r="F73" s="74">
        <v>1</v>
      </c>
      <c r="G73" s="74">
        <v>4.5</v>
      </c>
      <c r="H73" s="74">
        <v>10</v>
      </c>
      <c r="I73" s="71">
        <f t="shared" si="6"/>
        <v>45</v>
      </c>
      <c r="J73" s="75">
        <v>1</v>
      </c>
      <c r="K73" s="74">
        <f t="shared" si="7"/>
        <v>1</v>
      </c>
    </row>
    <row r="74" spans="1:11" ht="12">
      <c r="A74" s="71"/>
      <c r="B74" s="81" t="s">
        <v>1959</v>
      </c>
      <c r="D74" s="74">
        <v>2</v>
      </c>
      <c r="E74" s="74">
        <v>1</v>
      </c>
      <c r="F74" s="74">
        <v>1</v>
      </c>
      <c r="G74" s="74">
        <v>1.2</v>
      </c>
      <c r="H74" s="74">
        <v>10</v>
      </c>
      <c r="I74" s="71">
        <f t="shared" si="6"/>
        <v>24</v>
      </c>
      <c r="J74" s="75">
        <v>1</v>
      </c>
      <c r="K74" s="74">
        <f t="shared" si="7"/>
        <v>2</v>
      </c>
    </row>
    <row r="75" spans="1:11" ht="12">
      <c r="A75" s="71"/>
      <c r="B75" s="81" t="s">
        <v>1960</v>
      </c>
      <c r="D75" s="74">
        <v>2</v>
      </c>
      <c r="E75" s="74">
        <v>1</v>
      </c>
      <c r="F75" s="74">
        <v>1</v>
      </c>
      <c r="G75" s="74">
        <v>0.3</v>
      </c>
      <c r="H75" s="74">
        <v>10</v>
      </c>
      <c r="I75" s="71">
        <f t="shared" si="6"/>
        <v>6</v>
      </c>
      <c r="J75" s="75">
        <v>1</v>
      </c>
      <c r="K75" s="74">
        <f t="shared" si="7"/>
        <v>2</v>
      </c>
    </row>
    <row r="76" spans="1:11" ht="12">
      <c r="A76" s="71"/>
      <c r="B76" s="81" t="s">
        <v>1961</v>
      </c>
      <c r="D76" s="74">
        <v>2</v>
      </c>
      <c r="E76" s="74">
        <v>1</v>
      </c>
      <c r="F76" s="74">
        <v>1</v>
      </c>
      <c r="G76" s="74">
        <v>1.4</v>
      </c>
      <c r="H76" s="74">
        <v>10</v>
      </c>
      <c r="I76" s="71">
        <f t="shared" si="6"/>
        <v>28</v>
      </c>
      <c r="J76" s="75">
        <v>1</v>
      </c>
      <c r="K76" s="74">
        <f t="shared" si="7"/>
        <v>2</v>
      </c>
    </row>
    <row r="77" spans="1:11" ht="12">
      <c r="A77" s="71"/>
      <c r="B77" s="81" t="s">
        <v>1962</v>
      </c>
      <c r="D77" s="74">
        <v>1</v>
      </c>
      <c r="E77" s="74">
        <v>1</v>
      </c>
      <c r="F77" s="74">
        <v>1</v>
      </c>
      <c r="G77" s="74">
        <v>2.1</v>
      </c>
      <c r="H77" s="74">
        <v>10</v>
      </c>
      <c r="I77" s="71">
        <f t="shared" si="6"/>
        <v>21</v>
      </c>
      <c r="J77" s="75">
        <v>1</v>
      </c>
      <c r="K77" s="74">
        <f t="shared" si="7"/>
        <v>1</v>
      </c>
    </row>
    <row r="78" spans="1:11" ht="12">
      <c r="A78" s="71"/>
      <c r="B78" s="81" t="s">
        <v>1956</v>
      </c>
      <c r="D78" s="74">
        <v>10</v>
      </c>
      <c r="E78" s="74">
        <v>1</v>
      </c>
      <c r="F78" s="74">
        <v>1</v>
      </c>
      <c r="G78" s="74">
        <v>0.5</v>
      </c>
      <c r="H78" s="74">
        <v>20</v>
      </c>
      <c r="I78" s="71">
        <f t="shared" si="6"/>
        <v>100</v>
      </c>
      <c r="J78" s="75">
        <v>1</v>
      </c>
      <c r="K78" s="74">
        <f t="shared" si="7"/>
        <v>10</v>
      </c>
    </row>
    <row r="79" spans="1:11" ht="12">
      <c r="A79" s="71"/>
      <c r="B79" s="81" t="s">
        <v>2023</v>
      </c>
      <c r="C79" s="81" t="s">
        <v>2024</v>
      </c>
      <c r="D79" s="74">
        <v>1</v>
      </c>
      <c r="E79" s="74">
        <v>1</v>
      </c>
      <c r="F79" s="74">
        <v>1</v>
      </c>
      <c r="G79" s="74">
        <v>2.9</v>
      </c>
      <c r="H79" s="74">
        <v>10</v>
      </c>
      <c r="I79" s="71">
        <f t="shared" si="6"/>
        <v>29</v>
      </c>
      <c r="J79" s="75">
        <v>1</v>
      </c>
      <c r="K79" s="74">
        <f t="shared" si="7"/>
        <v>1</v>
      </c>
    </row>
    <row r="80" spans="1:11" ht="12">
      <c r="A80" s="71"/>
      <c r="B80" s="81" t="s">
        <v>1953</v>
      </c>
      <c r="C80" s="71" t="s">
        <v>1116</v>
      </c>
      <c r="D80" s="74">
        <v>12</v>
      </c>
      <c r="E80" s="74">
        <v>1</v>
      </c>
      <c r="F80" s="74">
        <v>1</v>
      </c>
      <c r="G80" s="74">
        <v>2</v>
      </c>
      <c r="H80" s="74">
        <v>10</v>
      </c>
      <c r="I80" s="71">
        <f t="shared" si="6"/>
        <v>240</v>
      </c>
      <c r="J80" s="75">
        <v>1</v>
      </c>
      <c r="K80" s="74">
        <f t="shared" si="7"/>
        <v>12</v>
      </c>
    </row>
    <row r="81" spans="1:11" ht="12">
      <c r="A81" s="71"/>
      <c r="B81" s="81" t="s">
        <v>1955</v>
      </c>
      <c r="D81" s="74">
        <v>2</v>
      </c>
      <c r="E81" s="74">
        <v>1</v>
      </c>
      <c r="F81" s="74">
        <v>1</v>
      </c>
      <c r="G81" s="74">
        <v>3.5</v>
      </c>
      <c r="H81" s="74">
        <v>10</v>
      </c>
      <c r="I81" s="71">
        <f t="shared" si="6"/>
        <v>70</v>
      </c>
      <c r="J81" s="75">
        <v>1</v>
      </c>
      <c r="K81" s="74">
        <f t="shared" si="7"/>
        <v>2</v>
      </c>
    </row>
    <row r="82" spans="1:11" ht="12">
      <c r="A82" s="71"/>
      <c r="B82" s="81" t="s">
        <v>1954</v>
      </c>
      <c r="D82" s="74">
        <v>7</v>
      </c>
      <c r="E82" s="74">
        <v>1</v>
      </c>
      <c r="F82" s="74">
        <v>1</v>
      </c>
      <c r="G82" s="74">
        <v>0.8</v>
      </c>
      <c r="H82" s="74">
        <v>10</v>
      </c>
      <c r="I82" s="71">
        <f t="shared" si="6"/>
        <v>56</v>
      </c>
      <c r="J82" s="75">
        <v>1</v>
      </c>
      <c r="K82" s="74">
        <f t="shared" si="7"/>
        <v>7</v>
      </c>
    </row>
    <row r="83" spans="1:11">
      <c r="B83" s="81" t="s">
        <v>1963</v>
      </c>
      <c r="C83" s="71" t="s">
        <v>1085</v>
      </c>
      <c r="D83" s="74">
        <v>9</v>
      </c>
      <c r="E83" s="74">
        <v>1</v>
      </c>
      <c r="F83" s="74">
        <v>1</v>
      </c>
      <c r="G83" s="74">
        <v>1</v>
      </c>
      <c r="H83" s="74">
        <v>10</v>
      </c>
      <c r="I83" s="71">
        <f t="shared" si="6"/>
        <v>90</v>
      </c>
      <c r="J83" s="75">
        <v>1</v>
      </c>
      <c r="K83" s="74">
        <f t="shared" si="7"/>
        <v>9</v>
      </c>
    </row>
    <row r="84" spans="1:11" ht="12">
      <c r="A84" s="81" t="s">
        <v>1944</v>
      </c>
      <c r="B84" s="71" t="s">
        <v>1058</v>
      </c>
      <c r="C84" s="71" t="s">
        <v>1059</v>
      </c>
      <c r="D84" s="74">
        <v>1</v>
      </c>
      <c r="E84" s="74">
        <v>1</v>
      </c>
      <c r="F84" s="74">
        <v>1</v>
      </c>
      <c r="G84" s="74">
        <v>1</v>
      </c>
      <c r="H84" s="74">
        <v>1</v>
      </c>
      <c r="I84" s="71">
        <f t="shared" si="6"/>
        <v>1</v>
      </c>
      <c r="J84" s="75">
        <v>1</v>
      </c>
      <c r="K84" s="74">
        <f t="shared" si="7"/>
        <v>1</v>
      </c>
    </row>
    <row r="85" spans="1:11" ht="12">
      <c r="A85" s="81" t="s">
        <v>1942</v>
      </c>
      <c r="B85" s="81" t="s">
        <v>1931</v>
      </c>
      <c r="C85" s="71" t="s">
        <v>1087</v>
      </c>
      <c r="D85" s="74">
        <v>1</v>
      </c>
      <c r="E85" s="74">
        <v>1</v>
      </c>
      <c r="F85" s="74">
        <v>1</v>
      </c>
      <c r="G85" s="74">
        <v>2.6</v>
      </c>
      <c r="H85" s="74">
        <v>30</v>
      </c>
      <c r="I85" s="71">
        <f t="shared" si="6"/>
        <v>78</v>
      </c>
      <c r="J85" s="75">
        <v>1</v>
      </c>
      <c r="K85" s="74">
        <f t="shared" si="7"/>
        <v>1</v>
      </c>
    </row>
    <row r="86" spans="1:11" ht="12">
      <c r="A86" s="71"/>
      <c r="B86" s="71" t="s">
        <v>1114</v>
      </c>
      <c r="D86" s="74">
        <v>1</v>
      </c>
      <c r="E86" s="74">
        <v>1</v>
      </c>
      <c r="F86" s="74">
        <v>1</v>
      </c>
      <c r="G86" s="74">
        <v>1.7</v>
      </c>
      <c r="H86" s="74">
        <v>30</v>
      </c>
      <c r="I86" s="71">
        <f t="shared" si="6"/>
        <v>51</v>
      </c>
      <c r="J86" s="75">
        <v>1</v>
      </c>
      <c r="K86" s="74">
        <f t="shared" si="7"/>
        <v>1</v>
      </c>
    </row>
    <row r="87" spans="1:11">
      <c r="A87" s="92"/>
      <c r="B87" s="81" t="s">
        <v>1943</v>
      </c>
      <c r="C87" s="71" t="s">
        <v>1086</v>
      </c>
      <c r="D87" s="74">
        <v>10</v>
      </c>
      <c r="E87" s="74">
        <v>1</v>
      </c>
      <c r="F87" s="74">
        <v>1</v>
      </c>
      <c r="G87" s="74">
        <v>3.4</v>
      </c>
      <c r="H87" s="74">
        <v>20</v>
      </c>
      <c r="I87" s="71">
        <f t="shared" si="6"/>
        <v>680</v>
      </c>
      <c r="J87" s="75">
        <v>1</v>
      </c>
      <c r="K87" s="74">
        <f t="shared" si="7"/>
        <v>10</v>
      </c>
    </row>
    <row r="88" spans="1:11" ht="12">
      <c r="A88" s="71" t="s">
        <v>1030</v>
      </c>
      <c r="B88" s="1" t="s">
        <v>1138</v>
      </c>
      <c r="C88" s="71" t="s">
        <v>1043</v>
      </c>
      <c r="D88" s="74">
        <v>5</v>
      </c>
      <c r="E88" s="74">
        <v>6</v>
      </c>
      <c r="F88" s="74">
        <v>1</v>
      </c>
      <c r="G88" s="74">
        <v>2</v>
      </c>
      <c r="H88" s="74">
        <v>3</v>
      </c>
      <c r="I88" s="71">
        <f t="shared" si="6"/>
        <v>180</v>
      </c>
      <c r="J88" s="75">
        <v>1</v>
      </c>
      <c r="K88" s="74">
        <f t="shared" si="7"/>
        <v>30</v>
      </c>
    </row>
    <row r="89" spans="1:11" ht="12">
      <c r="A89" s="71"/>
      <c r="B89" s="85" t="s">
        <v>1139</v>
      </c>
      <c r="D89" s="74">
        <v>11</v>
      </c>
      <c r="E89" s="74">
        <v>1</v>
      </c>
      <c r="F89" s="74">
        <v>5</v>
      </c>
      <c r="G89" s="74">
        <v>1.8</v>
      </c>
      <c r="H89" s="74">
        <v>3</v>
      </c>
      <c r="I89" s="71">
        <f t="shared" si="6"/>
        <v>297</v>
      </c>
      <c r="J89" s="75">
        <v>1</v>
      </c>
      <c r="K89" s="74">
        <f t="shared" si="7"/>
        <v>55</v>
      </c>
    </row>
    <row r="90" spans="1:11" ht="12">
      <c r="A90" s="71"/>
      <c r="B90" s="84" t="s">
        <v>1211</v>
      </c>
      <c r="D90" s="74">
        <v>2</v>
      </c>
      <c r="E90" s="74">
        <v>1</v>
      </c>
      <c r="F90" s="74">
        <v>5</v>
      </c>
      <c r="G90" s="74">
        <v>2.15</v>
      </c>
      <c r="H90" s="74">
        <v>3</v>
      </c>
      <c r="I90" s="71">
        <f t="shared" si="6"/>
        <v>64.5</v>
      </c>
      <c r="J90" s="75">
        <v>1</v>
      </c>
      <c r="K90" s="74">
        <f t="shared" si="7"/>
        <v>10</v>
      </c>
    </row>
    <row r="91" spans="1:11" ht="12">
      <c r="A91" s="71"/>
      <c r="B91" s="84" t="s">
        <v>1232</v>
      </c>
      <c r="D91" s="74">
        <v>2</v>
      </c>
      <c r="E91" s="74">
        <v>1</v>
      </c>
      <c r="F91" s="74">
        <v>5</v>
      </c>
      <c r="G91" s="74">
        <v>1.5</v>
      </c>
      <c r="H91" s="74">
        <v>3</v>
      </c>
      <c r="I91" s="71">
        <f t="shared" si="6"/>
        <v>45</v>
      </c>
      <c r="J91" s="75">
        <v>1</v>
      </c>
      <c r="K91" s="74">
        <f t="shared" si="7"/>
        <v>10</v>
      </c>
    </row>
    <row r="92" spans="1:11" s="68" customFormat="1" ht="9.75" customHeight="1">
      <c r="D92" s="69"/>
      <c r="E92" s="69"/>
      <c r="F92" s="69"/>
      <c r="G92" s="69"/>
      <c r="H92" s="69"/>
      <c r="J92" s="70"/>
      <c r="K92" s="69"/>
    </row>
    <row r="93" spans="1:11" ht="12">
      <c r="A93" s="86">
        <v>43827</v>
      </c>
      <c r="B93" s="71">
        <v>23</v>
      </c>
      <c r="D93" s="87" t="s">
        <v>1597</v>
      </c>
      <c r="E93" s="88">
        <f>2.54/16*10</f>
        <v>1.5874999999999999</v>
      </c>
      <c r="F93" s="89">
        <v>0.5</v>
      </c>
      <c r="H93" s="74">
        <v>4.33</v>
      </c>
      <c r="I93" s="71">
        <f>H93*2.54</f>
        <v>10.998200000000001</v>
      </c>
    </row>
    <row r="94" spans="1:11" ht="12">
      <c r="A94" s="86">
        <v>43828</v>
      </c>
      <c r="B94" s="71">
        <v>15</v>
      </c>
      <c r="D94" s="90" t="s">
        <v>1319</v>
      </c>
      <c r="E94" s="88">
        <f>2.54/8*10</f>
        <v>3.1749999999999998</v>
      </c>
      <c r="F94" s="89">
        <v>1</v>
      </c>
      <c r="H94" s="74">
        <v>5.91</v>
      </c>
      <c r="I94" s="71">
        <f t="shared" ref="I94:I99" si="8">H94*2.54</f>
        <v>15.0114</v>
      </c>
    </row>
    <row r="95" spans="1:11">
      <c r="D95" s="87" t="s">
        <v>1598</v>
      </c>
      <c r="E95" s="88">
        <f>2.54/16*30</f>
        <v>4.7625000000000002</v>
      </c>
      <c r="F95" s="89">
        <v>0.5</v>
      </c>
      <c r="H95" s="74">
        <v>7.09</v>
      </c>
      <c r="I95" s="71">
        <f t="shared" si="8"/>
        <v>18.008600000000001</v>
      </c>
    </row>
    <row r="96" spans="1:11">
      <c r="D96" s="91" t="s">
        <v>1320</v>
      </c>
      <c r="E96" s="88">
        <f t="shared" ref="E96:E112" si="9">F96*E$94</f>
        <v>6.35</v>
      </c>
      <c r="F96" s="89">
        <v>2</v>
      </c>
      <c r="H96" s="74">
        <v>9.06</v>
      </c>
      <c r="I96" s="71">
        <f t="shared" si="8"/>
        <v>23.012400000000003</v>
      </c>
    </row>
    <row r="97" spans="1:10">
      <c r="D97" s="90" t="s">
        <v>1321</v>
      </c>
      <c r="E97" s="88">
        <f t="shared" si="9"/>
        <v>9.5249999999999986</v>
      </c>
      <c r="F97" s="89">
        <v>3</v>
      </c>
      <c r="I97" s="71">
        <f t="shared" si="8"/>
        <v>0</v>
      </c>
    </row>
    <row r="98" spans="1:10">
      <c r="D98" s="90" t="s">
        <v>1322</v>
      </c>
      <c r="E98" s="88">
        <f t="shared" si="9"/>
        <v>12.7</v>
      </c>
      <c r="F98" s="89">
        <v>4</v>
      </c>
      <c r="I98" s="71">
        <f t="shared" si="8"/>
        <v>0</v>
      </c>
    </row>
    <row r="99" spans="1:10" ht="12">
      <c r="A99" s="1" t="s">
        <v>1670</v>
      </c>
      <c r="D99" s="90" t="s">
        <v>1323</v>
      </c>
      <c r="E99" s="88">
        <f t="shared" si="9"/>
        <v>15.875</v>
      </c>
      <c r="F99" s="89">
        <v>5</v>
      </c>
      <c r="I99" s="71">
        <f t="shared" si="8"/>
        <v>0</v>
      </c>
    </row>
    <row r="100" spans="1:10">
      <c r="B100" s="1" t="s">
        <v>1669</v>
      </c>
      <c r="D100" s="87" t="s">
        <v>1809</v>
      </c>
      <c r="E100" s="88">
        <f t="shared" si="9"/>
        <v>17.462499999999999</v>
      </c>
      <c r="F100" s="89">
        <v>5.5</v>
      </c>
    </row>
    <row r="101" spans="1:10">
      <c r="B101" s="1" t="s">
        <v>1610</v>
      </c>
      <c r="D101" s="90" t="s">
        <v>1324</v>
      </c>
      <c r="E101" s="88">
        <f>F101*E$94</f>
        <v>19.049999999999997</v>
      </c>
      <c r="F101" s="89">
        <v>6</v>
      </c>
    </row>
    <row r="102" spans="1:10">
      <c r="B102" s="1" t="s">
        <v>1611</v>
      </c>
      <c r="D102" s="90" t="s">
        <v>1325</v>
      </c>
      <c r="E102" s="88">
        <f t="shared" si="9"/>
        <v>22.224999999999998</v>
      </c>
      <c r="F102" s="89">
        <v>7</v>
      </c>
      <c r="H102" s="63" t="s">
        <v>1734</v>
      </c>
    </row>
    <row r="103" spans="1:10">
      <c r="B103" s="1" t="s">
        <v>1671</v>
      </c>
      <c r="D103" s="76">
        <v>1</v>
      </c>
      <c r="E103" s="88">
        <f t="shared" si="9"/>
        <v>25.4</v>
      </c>
      <c r="F103" s="89">
        <v>8</v>
      </c>
      <c r="H103" s="74">
        <f>56/300</f>
        <v>0.18666666666666668</v>
      </c>
    </row>
    <row r="104" spans="1:10">
      <c r="B104" s="71" t="s">
        <v>1002</v>
      </c>
      <c r="D104" s="76">
        <v>1.25</v>
      </c>
      <c r="E104" s="88">
        <f t="shared" si="9"/>
        <v>31.75</v>
      </c>
      <c r="F104" s="89">
        <v>10</v>
      </c>
      <c r="H104" s="74">
        <f>7*950</f>
        <v>6650</v>
      </c>
      <c r="J104" s="71"/>
    </row>
    <row r="105" spans="1:10" ht="12">
      <c r="A105" s="71"/>
      <c r="B105" s="81" t="s">
        <v>1964</v>
      </c>
      <c r="D105" s="76">
        <v>1.5</v>
      </c>
      <c r="E105" s="88">
        <f t="shared" si="9"/>
        <v>38.099999999999994</v>
      </c>
      <c r="F105" s="89">
        <v>12</v>
      </c>
      <c r="H105" s="74">
        <f>50*39*40/1000000</f>
        <v>7.8E-2</v>
      </c>
    </row>
    <row r="106" spans="1:10" ht="12">
      <c r="A106" s="71"/>
      <c r="B106" s="81" t="s">
        <v>1965</v>
      </c>
      <c r="D106" s="76">
        <v>1.75</v>
      </c>
      <c r="E106" s="88">
        <f t="shared" si="9"/>
        <v>44.449999999999996</v>
      </c>
      <c r="F106" s="89">
        <v>14</v>
      </c>
      <c r="H106" s="74">
        <f>1/H105</f>
        <v>12.820512820512821</v>
      </c>
    </row>
    <row r="107" spans="1:10" ht="12">
      <c r="A107" s="71"/>
      <c r="B107" s="81" t="s">
        <v>1966</v>
      </c>
      <c r="D107" s="76">
        <v>2</v>
      </c>
      <c r="E107" s="88">
        <f t="shared" si="9"/>
        <v>50.8</v>
      </c>
      <c r="F107" s="89">
        <v>16</v>
      </c>
      <c r="H107" s="74">
        <f>H106*60</f>
        <v>769.23076923076928</v>
      </c>
    </row>
    <row r="108" spans="1:10" ht="12">
      <c r="A108" s="71"/>
      <c r="B108" s="81" t="s">
        <v>1967</v>
      </c>
      <c r="D108" s="76">
        <v>2.5</v>
      </c>
      <c r="E108" s="88">
        <f t="shared" si="9"/>
        <v>63.5</v>
      </c>
      <c r="F108" s="89">
        <v>20</v>
      </c>
      <c r="H108" s="74">
        <f>55/450</f>
        <v>0.12222222222222222</v>
      </c>
    </row>
    <row r="109" spans="1:10" ht="12">
      <c r="A109" s="71"/>
      <c r="B109" s="81" t="s">
        <v>1968</v>
      </c>
      <c r="D109" s="76">
        <v>3</v>
      </c>
      <c r="E109" s="88">
        <f t="shared" si="9"/>
        <v>76.199999999999989</v>
      </c>
      <c r="F109" s="89">
        <v>24</v>
      </c>
    </row>
    <row r="110" spans="1:10" ht="12">
      <c r="A110" s="71"/>
      <c r="D110" s="76">
        <v>3.5</v>
      </c>
      <c r="E110" s="88">
        <f t="shared" si="9"/>
        <v>88.899999999999991</v>
      </c>
      <c r="F110" s="89">
        <v>28</v>
      </c>
    </row>
    <row r="111" spans="1:10" ht="12">
      <c r="A111" s="71"/>
      <c r="D111" s="76">
        <v>4</v>
      </c>
      <c r="E111" s="88">
        <f t="shared" si="9"/>
        <v>101.6</v>
      </c>
      <c r="F111" s="89">
        <v>32</v>
      </c>
    </row>
    <row r="112" spans="1:10" ht="12">
      <c r="A112" s="71"/>
      <c r="D112" s="76">
        <v>4.5</v>
      </c>
      <c r="E112" s="88">
        <f t="shared" si="9"/>
        <v>114.3</v>
      </c>
      <c r="F112" s="89">
        <v>36</v>
      </c>
    </row>
    <row r="113" spans="1:7" ht="12">
      <c r="A113" s="71"/>
      <c r="D113" s="76">
        <v>5</v>
      </c>
      <c r="E113" s="88">
        <f t="shared" ref="E113:E142" si="10">F113*E$94</f>
        <v>127</v>
      </c>
      <c r="F113" s="89">
        <f t="shared" ref="F113:F135" si="11">D113*8</f>
        <v>40</v>
      </c>
    </row>
    <row r="114" spans="1:7" ht="12">
      <c r="A114" s="71"/>
      <c r="D114" s="76">
        <v>5.5</v>
      </c>
      <c r="E114" s="88">
        <f t="shared" si="10"/>
        <v>139.69999999999999</v>
      </c>
      <c r="F114" s="89">
        <f t="shared" si="11"/>
        <v>44</v>
      </c>
    </row>
    <row r="115" spans="1:7" ht="12">
      <c r="A115" s="71"/>
      <c r="D115" s="76">
        <v>6</v>
      </c>
      <c r="E115" s="88">
        <f t="shared" si="10"/>
        <v>152.39999999999998</v>
      </c>
      <c r="F115" s="89">
        <f t="shared" si="11"/>
        <v>48</v>
      </c>
    </row>
    <row r="116" spans="1:7" ht="12">
      <c r="A116" s="71"/>
      <c r="D116" s="76">
        <v>6.5</v>
      </c>
      <c r="E116" s="88">
        <f t="shared" si="10"/>
        <v>165.1</v>
      </c>
      <c r="F116" s="89">
        <f t="shared" si="11"/>
        <v>52</v>
      </c>
    </row>
    <row r="117" spans="1:7" ht="12">
      <c r="A117" s="71"/>
      <c r="D117" s="76">
        <v>7</v>
      </c>
      <c r="E117" s="88">
        <f t="shared" si="10"/>
        <v>177.79999999999998</v>
      </c>
      <c r="F117" s="89">
        <f t="shared" si="11"/>
        <v>56</v>
      </c>
    </row>
    <row r="118" spans="1:7" ht="12">
      <c r="A118" s="71"/>
      <c r="D118" s="76">
        <v>7.5</v>
      </c>
      <c r="E118" s="88">
        <f t="shared" si="10"/>
        <v>190.5</v>
      </c>
      <c r="F118" s="89">
        <f>D118*8</f>
        <v>60</v>
      </c>
    </row>
    <row r="119" spans="1:7" ht="12">
      <c r="A119" s="71"/>
      <c r="D119" s="76">
        <v>8</v>
      </c>
      <c r="E119" s="88">
        <f t="shared" si="10"/>
        <v>203.2</v>
      </c>
      <c r="F119" s="89">
        <f t="shared" si="11"/>
        <v>64</v>
      </c>
    </row>
    <row r="120" spans="1:7" ht="12">
      <c r="A120" s="71"/>
      <c r="D120" s="76">
        <v>8.5</v>
      </c>
      <c r="E120" s="88">
        <f t="shared" si="10"/>
        <v>215.89999999999998</v>
      </c>
      <c r="F120" s="89">
        <f t="shared" si="11"/>
        <v>68</v>
      </c>
      <c r="G120" s="74"/>
    </row>
    <row r="121" spans="1:7" ht="12">
      <c r="A121" s="71"/>
      <c r="C121" s="1"/>
      <c r="D121" s="76">
        <v>9</v>
      </c>
      <c r="E121" s="88">
        <f t="shared" si="10"/>
        <v>228.6</v>
      </c>
      <c r="F121" s="89">
        <f t="shared" si="11"/>
        <v>72</v>
      </c>
    </row>
    <row r="122" spans="1:7" ht="12">
      <c r="A122" s="71"/>
      <c r="D122" s="76">
        <v>10</v>
      </c>
      <c r="E122" s="88">
        <f t="shared" si="10"/>
        <v>254</v>
      </c>
      <c r="F122" s="89">
        <f t="shared" si="11"/>
        <v>80</v>
      </c>
    </row>
    <row r="123" spans="1:7" ht="12">
      <c r="A123" s="71"/>
      <c r="D123" s="76">
        <v>10.5</v>
      </c>
      <c r="E123" s="88">
        <f t="shared" si="10"/>
        <v>266.7</v>
      </c>
      <c r="F123" s="89">
        <f>D123*8</f>
        <v>84</v>
      </c>
    </row>
    <row r="124" spans="1:7" ht="12">
      <c r="A124" s="71"/>
      <c r="D124" s="76">
        <v>11</v>
      </c>
      <c r="E124" s="88">
        <f t="shared" si="10"/>
        <v>279.39999999999998</v>
      </c>
      <c r="F124" s="89">
        <f t="shared" si="11"/>
        <v>88</v>
      </c>
    </row>
    <row r="125" spans="1:7" ht="12">
      <c r="A125" s="71"/>
      <c r="D125" s="76">
        <v>12</v>
      </c>
      <c r="E125" s="74">
        <f t="shared" si="10"/>
        <v>304.79999999999995</v>
      </c>
      <c r="F125" s="74">
        <f t="shared" si="11"/>
        <v>96</v>
      </c>
    </row>
    <row r="126" spans="1:7" ht="12">
      <c r="A126" s="71"/>
      <c r="D126" s="76">
        <v>13</v>
      </c>
      <c r="E126" s="74">
        <f t="shared" si="10"/>
        <v>330.2</v>
      </c>
      <c r="F126" s="74">
        <f t="shared" si="11"/>
        <v>104</v>
      </c>
    </row>
    <row r="127" spans="1:7" ht="12">
      <c r="A127" s="71"/>
      <c r="D127" s="76">
        <v>14</v>
      </c>
      <c r="E127" s="74">
        <f t="shared" si="10"/>
        <v>355.59999999999997</v>
      </c>
      <c r="F127" s="74">
        <f t="shared" si="11"/>
        <v>112</v>
      </c>
    </row>
    <row r="128" spans="1:7" ht="12">
      <c r="A128" s="71"/>
      <c r="D128" s="76">
        <v>14.5</v>
      </c>
      <c r="E128" s="74">
        <f t="shared" si="10"/>
        <v>368.29999999999995</v>
      </c>
      <c r="F128" s="74">
        <f>D128*8</f>
        <v>116</v>
      </c>
    </row>
    <row r="129" spans="1:6" ht="12">
      <c r="A129" s="71"/>
      <c r="D129" s="76">
        <v>15</v>
      </c>
      <c r="E129" s="74">
        <f t="shared" si="10"/>
        <v>381</v>
      </c>
      <c r="F129" s="74">
        <f t="shared" si="11"/>
        <v>120</v>
      </c>
    </row>
    <row r="130" spans="1:6" ht="12">
      <c r="A130" s="71"/>
      <c r="D130" s="76">
        <v>15.5</v>
      </c>
      <c r="E130" s="74">
        <f t="shared" si="10"/>
        <v>393.7</v>
      </c>
      <c r="F130" s="74">
        <f>D130*8</f>
        <v>124</v>
      </c>
    </row>
    <row r="131" spans="1:6" ht="12">
      <c r="A131" s="71"/>
      <c r="D131" s="76">
        <v>16</v>
      </c>
      <c r="E131" s="74">
        <f t="shared" si="10"/>
        <v>406.4</v>
      </c>
      <c r="F131" s="74">
        <f t="shared" si="11"/>
        <v>128</v>
      </c>
    </row>
    <row r="132" spans="1:6" ht="12">
      <c r="A132" s="71"/>
      <c r="D132" s="76">
        <v>17</v>
      </c>
      <c r="E132" s="74">
        <f t="shared" si="10"/>
        <v>431.79999999999995</v>
      </c>
      <c r="F132" s="74">
        <f t="shared" si="11"/>
        <v>136</v>
      </c>
    </row>
    <row r="133" spans="1:6" ht="12">
      <c r="A133" s="71"/>
      <c r="D133" s="76">
        <v>18</v>
      </c>
      <c r="E133" s="74">
        <f t="shared" si="10"/>
        <v>457.2</v>
      </c>
      <c r="F133" s="74">
        <f t="shared" si="11"/>
        <v>144</v>
      </c>
    </row>
    <row r="134" spans="1:6" ht="12">
      <c r="A134" s="71"/>
      <c r="D134" s="76">
        <v>19</v>
      </c>
      <c r="E134" s="74">
        <f t="shared" si="10"/>
        <v>482.59999999999997</v>
      </c>
      <c r="F134" s="74">
        <f t="shared" si="11"/>
        <v>152</v>
      </c>
    </row>
    <row r="135" spans="1:6" ht="12">
      <c r="A135" s="71"/>
      <c r="D135" s="76">
        <v>20</v>
      </c>
      <c r="E135" s="74">
        <f t="shared" si="10"/>
        <v>508</v>
      </c>
      <c r="F135" s="74">
        <f t="shared" si="11"/>
        <v>160</v>
      </c>
    </row>
    <row r="136" spans="1:6" ht="12">
      <c r="A136" s="71"/>
      <c r="D136" s="76">
        <v>21</v>
      </c>
      <c r="E136" s="74">
        <f t="shared" si="10"/>
        <v>533.4</v>
      </c>
      <c r="F136" s="74">
        <f t="shared" ref="F136:F141" si="12">D136*8</f>
        <v>168</v>
      </c>
    </row>
    <row r="137" spans="1:6" ht="12">
      <c r="A137" s="71"/>
      <c r="D137" s="76">
        <v>22</v>
      </c>
      <c r="E137" s="74">
        <f t="shared" si="10"/>
        <v>558.79999999999995</v>
      </c>
      <c r="F137" s="74">
        <f t="shared" si="12"/>
        <v>176</v>
      </c>
    </row>
    <row r="138" spans="1:6" ht="12">
      <c r="A138" s="71"/>
      <c r="D138" s="76">
        <v>23</v>
      </c>
      <c r="E138" s="74">
        <f t="shared" si="10"/>
        <v>584.19999999999993</v>
      </c>
      <c r="F138" s="74">
        <f t="shared" si="12"/>
        <v>184</v>
      </c>
    </row>
    <row r="139" spans="1:6" ht="12">
      <c r="A139" s="71"/>
      <c r="D139" s="76">
        <v>24</v>
      </c>
      <c r="E139" s="74">
        <f t="shared" si="10"/>
        <v>609.59999999999991</v>
      </c>
      <c r="F139" s="74">
        <f t="shared" si="12"/>
        <v>192</v>
      </c>
    </row>
    <row r="140" spans="1:6" ht="12">
      <c r="A140" s="71"/>
      <c r="D140" s="76">
        <v>27</v>
      </c>
      <c r="E140" s="74">
        <f t="shared" si="10"/>
        <v>685.8</v>
      </c>
      <c r="F140" s="74">
        <f t="shared" si="12"/>
        <v>216</v>
      </c>
    </row>
    <row r="141" spans="1:6" ht="12">
      <c r="A141" s="71"/>
      <c r="D141" s="76">
        <v>28</v>
      </c>
      <c r="E141" s="74">
        <f t="shared" si="10"/>
        <v>711.19999999999993</v>
      </c>
      <c r="F141" s="74">
        <f t="shared" si="12"/>
        <v>224</v>
      </c>
    </row>
    <row r="142" spans="1:6" ht="12">
      <c r="A142" s="71"/>
      <c r="D142" s="76">
        <v>36</v>
      </c>
      <c r="E142" s="74">
        <f t="shared" si="10"/>
        <v>914.4</v>
      </c>
      <c r="F142" s="74">
        <f>D142*8</f>
        <v>288</v>
      </c>
    </row>
  </sheetData>
  <phoneticPr fontId="2" type="noConversion"/>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1084"/>
  <sheetViews>
    <sheetView topLeftCell="A571" workbookViewId="0">
      <selection activeCell="I584" sqref="I584"/>
    </sheetView>
  </sheetViews>
  <sheetFormatPr defaultRowHeight="12"/>
  <cols>
    <col min="1" max="1" width="10.625" style="7" bestFit="1" customWidth="1"/>
    <col min="2" max="2" width="10.25" style="7" bestFit="1" customWidth="1"/>
    <col min="3" max="3" width="8.75" style="7" customWidth="1"/>
    <col min="4" max="4" width="27" style="7" customWidth="1"/>
    <col min="5" max="5" width="6.5" style="7" customWidth="1"/>
    <col min="6" max="6" width="6.875" style="7" customWidth="1"/>
    <col min="7" max="7" width="7.875" style="7" bestFit="1" customWidth="1"/>
    <col min="8" max="8" width="4.625" style="7" customWidth="1"/>
    <col min="9" max="9" width="10.625" style="7" bestFit="1" customWidth="1"/>
    <col min="10" max="10" width="26.5" style="7" bestFit="1" customWidth="1"/>
    <col min="11" max="16384" width="9" style="7"/>
  </cols>
  <sheetData>
    <row r="1" spans="1:10" s="9" customFormat="1">
      <c r="A1" s="8" t="s">
        <v>35</v>
      </c>
      <c r="B1" s="8" t="s">
        <v>36</v>
      </c>
      <c r="C1" s="8" t="s">
        <v>15</v>
      </c>
      <c r="D1" s="8" t="s">
        <v>18</v>
      </c>
      <c r="E1" s="8" t="s">
        <v>12</v>
      </c>
      <c r="F1" s="9" t="s">
        <v>868</v>
      </c>
      <c r="G1" s="8" t="s">
        <v>7</v>
      </c>
      <c r="H1" s="8" t="s">
        <v>21</v>
      </c>
      <c r="I1" s="8" t="s">
        <v>41</v>
      </c>
      <c r="J1" s="8" t="s">
        <v>14</v>
      </c>
    </row>
    <row r="2" spans="1:10">
      <c r="A2" s="10">
        <v>40947</v>
      </c>
      <c r="B2" s="10">
        <v>40948</v>
      </c>
      <c r="C2" s="7" t="s">
        <v>23</v>
      </c>
      <c r="D2" s="7" t="s">
        <v>24</v>
      </c>
      <c r="E2" s="7">
        <v>100</v>
      </c>
      <c r="F2" s="7">
        <v>0.5</v>
      </c>
      <c r="G2" s="7">
        <f>E2*F2</f>
        <v>50</v>
      </c>
      <c r="I2" s="7" t="s">
        <v>40</v>
      </c>
    </row>
    <row r="3" spans="1:10">
      <c r="A3" s="10"/>
      <c r="B3" s="10"/>
      <c r="D3" s="7" t="s">
        <v>28</v>
      </c>
      <c r="E3" s="7">
        <v>5</v>
      </c>
      <c r="F3" s="7">
        <v>7.2</v>
      </c>
      <c r="G3" s="7">
        <f t="shared" ref="G3:G9" si="0">E3*F3</f>
        <v>36</v>
      </c>
    </row>
    <row r="4" spans="1:10">
      <c r="A4" s="10"/>
      <c r="B4" s="10"/>
      <c r="D4" s="7" t="s">
        <v>29</v>
      </c>
      <c r="E4" s="7">
        <v>10</v>
      </c>
      <c r="F4" s="7">
        <v>2.75</v>
      </c>
      <c r="G4" s="7">
        <f t="shared" si="0"/>
        <v>27.5</v>
      </c>
    </row>
    <row r="5" spans="1:10">
      <c r="A5" s="10"/>
      <c r="B5" s="10"/>
      <c r="D5" s="7" t="s">
        <v>30</v>
      </c>
      <c r="E5" s="7">
        <v>5</v>
      </c>
      <c r="F5" s="7">
        <v>17.100000000000001</v>
      </c>
      <c r="G5" s="7">
        <f t="shared" si="0"/>
        <v>85.5</v>
      </c>
    </row>
    <row r="6" spans="1:10">
      <c r="A6" s="10"/>
      <c r="B6" s="10"/>
      <c r="D6" s="7" t="s">
        <v>31</v>
      </c>
      <c r="E6" s="7">
        <v>20</v>
      </c>
      <c r="F6" s="7">
        <v>0.78</v>
      </c>
      <c r="G6" s="7">
        <f t="shared" si="0"/>
        <v>15.600000000000001</v>
      </c>
    </row>
    <row r="7" spans="1:10">
      <c r="A7" s="10"/>
      <c r="B7" s="10"/>
      <c r="D7" s="7" t="s">
        <v>32</v>
      </c>
      <c r="E7" s="7">
        <v>20</v>
      </c>
      <c r="F7" s="7">
        <v>0.38</v>
      </c>
      <c r="G7" s="7">
        <f t="shared" si="0"/>
        <v>7.6</v>
      </c>
    </row>
    <row r="8" spans="1:10">
      <c r="A8" s="10"/>
      <c r="B8" s="10"/>
      <c r="D8" s="7" t="s">
        <v>33</v>
      </c>
      <c r="E8" s="7">
        <v>20</v>
      </c>
      <c r="F8" s="7">
        <v>0.6</v>
      </c>
      <c r="G8" s="7">
        <f t="shared" si="0"/>
        <v>12</v>
      </c>
    </row>
    <row r="9" spans="1:10">
      <c r="A9" s="10"/>
      <c r="B9" s="10"/>
      <c r="D9" s="7" t="s">
        <v>34</v>
      </c>
      <c r="E9" s="7">
        <v>10</v>
      </c>
      <c r="F9" s="7">
        <v>0.65</v>
      </c>
      <c r="G9" s="7">
        <f t="shared" si="0"/>
        <v>6.5</v>
      </c>
    </row>
    <row r="10" spans="1:10" s="4" customFormat="1">
      <c r="A10" s="12"/>
      <c r="B10" s="12"/>
      <c r="G10" s="4">
        <f>SUM(G2:G9)</f>
        <v>240.7</v>
      </c>
      <c r="J10" s="13"/>
    </row>
    <row r="11" spans="1:10">
      <c r="A11" s="10">
        <v>40961</v>
      </c>
      <c r="B11" s="10">
        <v>40962</v>
      </c>
      <c r="C11" s="1" t="s">
        <v>19</v>
      </c>
      <c r="D11" s="7" t="s">
        <v>13</v>
      </c>
      <c r="E11" s="7">
        <v>4000</v>
      </c>
      <c r="F11" s="7">
        <v>0.24</v>
      </c>
      <c r="G11" s="7">
        <f>E11*F11</f>
        <v>960</v>
      </c>
      <c r="H11" s="7">
        <v>0</v>
      </c>
      <c r="I11" s="7" t="s">
        <v>40</v>
      </c>
      <c r="J11" s="11" t="s">
        <v>16</v>
      </c>
    </row>
    <row r="12" spans="1:10" s="4" customFormat="1">
      <c r="A12" s="12"/>
      <c r="B12" s="12"/>
      <c r="J12" s="13"/>
    </row>
    <row r="13" spans="1:10">
      <c r="A13" s="10">
        <v>40966</v>
      </c>
      <c r="B13" s="10">
        <v>40966</v>
      </c>
      <c r="C13" s="7" t="s">
        <v>17</v>
      </c>
      <c r="D13" s="7" t="s">
        <v>20</v>
      </c>
      <c r="E13" s="7">
        <v>50</v>
      </c>
      <c r="F13" s="7">
        <v>1.9</v>
      </c>
      <c r="G13" s="7">
        <f>E13*F13</f>
        <v>95</v>
      </c>
      <c r="H13" s="7">
        <v>8</v>
      </c>
      <c r="I13" s="7" t="s">
        <v>40</v>
      </c>
    </row>
    <row r="14" spans="1:10">
      <c r="A14" s="10">
        <v>40964</v>
      </c>
      <c r="B14" s="10">
        <v>40968</v>
      </c>
      <c r="C14" s="7" t="s">
        <v>17</v>
      </c>
      <c r="D14" s="7" t="s">
        <v>20</v>
      </c>
      <c r="E14" s="7">
        <v>1050</v>
      </c>
      <c r="F14" s="7">
        <v>1.9</v>
      </c>
      <c r="G14" s="7">
        <f>E14*F14</f>
        <v>1995</v>
      </c>
      <c r="H14" s="7">
        <v>105</v>
      </c>
      <c r="I14" s="7" t="s">
        <v>22</v>
      </c>
      <c r="J14" s="7" t="s">
        <v>73</v>
      </c>
    </row>
    <row r="15" spans="1:10" s="4" customFormat="1">
      <c r="A15" s="12"/>
      <c r="B15" s="12"/>
      <c r="G15" s="4">
        <f>SUM(G13:G14)</f>
        <v>2090</v>
      </c>
      <c r="J15" s="13"/>
    </row>
    <row r="16" spans="1:10">
      <c r="A16" s="10">
        <v>40966</v>
      </c>
      <c r="B16" s="10">
        <v>40969</v>
      </c>
      <c r="C16" s="7" t="s">
        <v>25</v>
      </c>
      <c r="D16" s="7" t="s">
        <v>26</v>
      </c>
      <c r="E16" s="7">
        <v>192</v>
      </c>
      <c r="F16" s="7">
        <v>17</v>
      </c>
      <c r="G16" s="7">
        <f>E16*F16</f>
        <v>3264</v>
      </c>
      <c r="H16" s="7">
        <v>850</v>
      </c>
      <c r="I16" s="7" t="s">
        <v>37</v>
      </c>
      <c r="J16" s="7" t="s">
        <v>38</v>
      </c>
    </row>
    <row r="17" spans="1:10">
      <c r="A17" s="10"/>
      <c r="B17" s="10"/>
      <c r="D17" s="7" t="s">
        <v>27</v>
      </c>
      <c r="E17" s="7">
        <v>280</v>
      </c>
      <c r="F17" s="7">
        <v>11</v>
      </c>
      <c r="G17" s="7">
        <f>E17*F17</f>
        <v>3080</v>
      </c>
    </row>
    <row r="18" spans="1:10">
      <c r="A18" s="10"/>
      <c r="B18" s="10"/>
      <c r="D18" s="7" t="s">
        <v>874</v>
      </c>
      <c r="E18" s="7">
        <v>500</v>
      </c>
      <c r="F18" s="7">
        <v>5.5</v>
      </c>
      <c r="G18" s="7">
        <f>E18*F18</f>
        <v>2750</v>
      </c>
    </row>
    <row r="19" spans="1:10" s="4" customFormat="1">
      <c r="A19" s="12"/>
      <c r="B19" s="12"/>
      <c r="G19" s="4">
        <f>SUM(G16:G18)</f>
        <v>9094</v>
      </c>
      <c r="J19" s="13" t="s">
        <v>46</v>
      </c>
    </row>
    <row r="20" spans="1:10">
      <c r="A20" s="10">
        <v>40966</v>
      </c>
      <c r="B20" s="10">
        <v>40967</v>
      </c>
      <c r="C20" s="7" t="s">
        <v>23</v>
      </c>
      <c r="D20" s="7" t="s">
        <v>24</v>
      </c>
      <c r="E20" s="7">
        <v>120</v>
      </c>
      <c r="F20" s="7">
        <v>0.5</v>
      </c>
      <c r="G20" s="7">
        <f>E20*F20</f>
        <v>60</v>
      </c>
      <c r="H20" s="7">
        <v>10</v>
      </c>
      <c r="I20" s="7" t="s">
        <v>40</v>
      </c>
    </row>
    <row r="21" spans="1:10">
      <c r="A21" s="10"/>
      <c r="B21" s="10"/>
      <c r="D21" s="7" t="s">
        <v>39</v>
      </c>
      <c r="E21" s="7">
        <v>10</v>
      </c>
      <c r="F21" s="7">
        <v>55</v>
      </c>
      <c r="G21" s="7">
        <f>E21*F21</f>
        <v>550</v>
      </c>
    </row>
    <row r="22" spans="1:10" s="4" customFormat="1">
      <c r="A22" s="12"/>
      <c r="B22" s="12"/>
      <c r="G22" s="4">
        <f>SUM(G20:G21)</f>
        <v>610</v>
      </c>
      <c r="J22" s="13"/>
    </row>
    <row r="23" spans="1:10">
      <c r="A23" s="10">
        <v>40967</v>
      </c>
      <c r="B23" s="10">
        <v>40973</v>
      </c>
      <c r="C23" s="7" t="s">
        <v>11</v>
      </c>
      <c r="D23" s="7" t="s">
        <v>42</v>
      </c>
      <c r="E23" s="7">
        <v>20</v>
      </c>
      <c r="F23" s="7">
        <v>950</v>
      </c>
      <c r="G23" s="7">
        <f>E23*F23</f>
        <v>19000</v>
      </c>
      <c r="H23" s="7">
        <v>0</v>
      </c>
      <c r="I23" s="7" t="s">
        <v>37</v>
      </c>
      <c r="J23" s="7" t="s">
        <v>54</v>
      </c>
    </row>
    <row r="24" spans="1:10" s="4" customFormat="1">
      <c r="A24" s="12"/>
      <c r="B24" s="12"/>
      <c r="J24" s="13"/>
    </row>
    <row r="25" spans="1:10">
      <c r="A25" s="10">
        <v>40973</v>
      </c>
      <c r="B25" s="10">
        <v>40977</v>
      </c>
      <c r="C25" s="7" t="s">
        <v>47</v>
      </c>
      <c r="D25" s="1" t="s">
        <v>0</v>
      </c>
      <c r="E25" s="7">
        <v>6000</v>
      </c>
      <c r="F25" s="7">
        <v>0.38</v>
      </c>
      <c r="G25" s="7">
        <f t="shared" ref="G25:G31" si="1">E25*F25</f>
        <v>2280</v>
      </c>
      <c r="H25" s="7">
        <v>60</v>
      </c>
      <c r="I25" s="7" t="s">
        <v>53</v>
      </c>
    </row>
    <row r="26" spans="1:10">
      <c r="A26" s="10"/>
      <c r="B26" s="10"/>
      <c r="D26" s="1" t="s">
        <v>32</v>
      </c>
      <c r="E26" s="7">
        <v>2500</v>
      </c>
      <c r="F26" s="7">
        <v>0.28999999999999998</v>
      </c>
      <c r="G26" s="7">
        <f t="shared" si="1"/>
        <v>725</v>
      </c>
    </row>
    <row r="27" spans="1:10">
      <c r="A27" s="10"/>
      <c r="B27" s="10"/>
      <c r="D27" s="1" t="s">
        <v>48</v>
      </c>
      <c r="E27" s="7">
        <v>500</v>
      </c>
      <c r="F27" s="7">
        <v>0.28999999999999998</v>
      </c>
      <c r="G27" s="7">
        <f t="shared" si="1"/>
        <v>145</v>
      </c>
    </row>
    <row r="28" spans="1:10">
      <c r="A28" s="10"/>
      <c r="B28" s="10"/>
      <c r="D28" s="1" t="s">
        <v>49</v>
      </c>
      <c r="E28" s="7">
        <v>1000</v>
      </c>
      <c r="F28" s="7">
        <v>1.5</v>
      </c>
      <c r="G28" s="7">
        <f t="shared" si="1"/>
        <v>1500</v>
      </c>
    </row>
    <row r="29" spans="1:10">
      <c r="A29" s="10"/>
      <c r="B29" s="10"/>
      <c r="D29" s="1" t="s">
        <v>50</v>
      </c>
      <c r="E29" s="7">
        <v>1000</v>
      </c>
      <c r="F29" s="7">
        <v>0.28999999999999998</v>
      </c>
      <c r="G29" s="7">
        <f t="shared" si="1"/>
        <v>290</v>
      </c>
    </row>
    <row r="30" spans="1:10">
      <c r="A30" s="10"/>
      <c r="B30" s="10"/>
      <c r="D30" s="1" t="s">
        <v>3</v>
      </c>
      <c r="E30" s="7">
        <v>1000</v>
      </c>
      <c r="F30" s="7">
        <v>0.28999999999999998</v>
      </c>
      <c r="G30" s="7">
        <f t="shared" si="1"/>
        <v>290</v>
      </c>
    </row>
    <row r="31" spans="1:10">
      <c r="A31" s="10"/>
      <c r="B31" s="10"/>
      <c r="D31" s="1" t="s">
        <v>51</v>
      </c>
      <c r="E31" s="7">
        <v>500</v>
      </c>
      <c r="F31" s="7">
        <v>0.18</v>
      </c>
      <c r="G31" s="7">
        <f t="shared" si="1"/>
        <v>90</v>
      </c>
    </row>
    <row r="32" spans="1:10" s="4" customFormat="1">
      <c r="A32" s="12"/>
      <c r="B32" s="12"/>
      <c r="G32" s="4">
        <f>SUM(G25:G31)</f>
        <v>5320</v>
      </c>
      <c r="J32" s="13" t="s">
        <v>52</v>
      </c>
    </row>
    <row r="33" spans="1:10">
      <c r="A33" s="10">
        <v>40974</v>
      </c>
      <c r="B33" s="10">
        <v>40977</v>
      </c>
      <c r="C33" s="7" t="s">
        <v>43</v>
      </c>
      <c r="D33" s="7" t="s">
        <v>660</v>
      </c>
      <c r="E33" s="7">
        <v>1100</v>
      </c>
      <c r="F33" s="7">
        <v>2.4</v>
      </c>
      <c r="G33" s="7">
        <f>E33*F33</f>
        <v>2640</v>
      </c>
      <c r="H33" s="7">
        <v>100</v>
      </c>
      <c r="I33" s="7" t="s">
        <v>53</v>
      </c>
    </row>
    <row r="34" spans="1:10">
      <c r="A34" s="10"/>
      <c r="B34" s="10"/>
      <c r="D34" s="7" t="s">
        <v>215</v>
      </c>
      <c r="E34" s="7">
        <v>500</v>
      </c>
      <c r="F34" s="7">
        <v>3.2</v>
      </c>
      <c r="G34" s="7">
        <f>E34*F34</f>
        <v>1600</v>
      </c>
    </row>
    <row r="35" spans="1:10">
      <c r="A35" s="10"/>
      <c r="B35" s="10"/>
      <c r="D35" s="7" t="s">
        <v>44</v>
      </c>
      <c r="E35" s="7">
        <v>2000</v>
      </c>
      <c r="F35" s="7">
        <v>1.7</v>
      </c>
      <c r="G35" s="7">
        <f>E35*F35</f>
        <v>3400</v>
      </c>
    </row>
    <row r="36" spans="1:10" s="4" customFormat="1">
      <c r="A36" s="12"/>
      <c r="B36" s="12"/>
      <c r="G36" s="4">
        <f>SUM(G33:G35)</f>
        <v>7640</v>
      </c>
      <c r="J36" s="13" t="s">
        <v>45</v>
      </c>
    </row>
    <row r="37" spans="1:10">
      <c r="A37" s="10">
        <v>40978</v>
      </c>
      <c r="B37" s="10">
        <v>40980</v>
      </c>
      <c r="C37" s="7" t="s">
        <v>59</v>
      </c>
      <c r="D37" s="7" t="s">
        <v>232</v>
      </c>
      <c r="E37" s="7">
        <v>3000</v>
      </c>
      <c r="F37" s="7">
        <v>0.25</v>
      </c>
      <c r="G37" s="7">
        <f>E37*F37</f>
        <v>750</v>
      </c>
      <c r="H37" s="7">
        <v>66</v>
      </c>
      <c r="I37" s="7" t="s">
        <v>61</v>
      </c>
    </row>
    <row r="38" spans="1:10">
      <c r="A38" s="10"/>
      <c r="B38" s="10"/>
      <c r="D38" s="7" t="s">
        <v>60</v>
      </c>
      <c r="E38" s="7">
        <v>600</v>
      </c>
      <c r="F38" s="7">
        <v>0.78</v>
      </c>
      <c r="G38" s="7">
        <f>E38*F38</f>
        <v>468</v>
      </c>
    </row>
    <row r="39" spans="1:10">
      <c r="A39" s="10"/>
      <c r="B39" s="10"/>
      <c r="D39" s="1" t="s">
        <v>33</v>
      </c>
      <c r="E39" s="7">
        <v>2000</v>
      </c>
      <c r="F39" s="7">
        <v>0.23</v>
      </c>
      <c r="G39" s="7">
        <f>E39*F39</f>
        <v>460</v>
      </c>
    </row>
    <row r="40" spans="1:10">
      <c r="B40" s="10">
        <v>40981</v>
      </c>
      <c r="D40" s="15" t="s">
        <v>33</v>
      </c>
      <c r="E40" s="7">
        <v>-2000</v>
      </c>
      <c r="J40" s="7" t="s">
        <v>907</v>
      </c>
    </row>
    <row r="41" spans="1:10">
      <c r="A41" s="10"/>
      <c r="B41" s="10">
        <v>40989</v>
      </c>
      <c r="D41" s="1" t="s">
        <v>33</v>
      </c>
      <c r="E41" s="7">
        <v>2000</v>
      </c>
      <c r="J41" s="7" t="s">
        <v>908</v>
      </c>
    </row>
    <row r="42" spans="1:10" s="4" customFormat="1">
      <c r="A42" s="12"/>
      <c r="B42" s="12"/>
      <c r="G42" s="4">
        <f>SUM(G37:G39)</f>
        <v>1678</v>
      </c>
      <c r="J42" s="13"/>
    </row>
    <row r="43" spans="1:10">
      <c r="A43" s="10">
        <v>40982</v>
      </c>
      <c r="B43" s="10">
        <v>40982</v>
      </c>
      <c r="C43" s="7" t="s">
        <v>55</v>
      </c>
      <c r="D43" s="7" t="s">
        <v>56</v>
      </c>
      <c r="E43" s="7">
        <v>1000</v>
      </c>
      <c r="F43" s="7">
        <v>3.1</v>
      </c>
      <c r="G43" s="7">
        <f>E43*F43</f>
        <v>3100</v>
      </c>
      <c r="I43" s="7" t="s">
        <v>57</v>
      </c>
    </row>
    <row r="44" spans="1:10">
      <c r="A44" s="10"/>
      <c r="B44" s="10"/>
      <c r="D44" s="7" t="s">
        <v>6</v>
      </c>
      <c r="E44" s="7">
        <v>1000</v>
      </c>
      <c r="F44" s="7">
        <v>3.2</v>
      </c>
      <c r="G44" s="7">
        <f>E44*F44</f>
        <v>3200</v>
      </c>
    </row>
    <row r="45" spans="1:10">
      <c r="A45" s="10"/>
      <c r="B45" s="10"/>
      <c r="D45" s="7" t="s">
        <v>58</v>
      </c>
      <c r="E45" s="7">
        <v>1500</v>
      </c>
      <c r="F45" s="7">
        <v>2</v>
      </c>
      <c r="G45" s="7">
        <f>E45*F45</f>
        <v>3000</v>
      </c>
    </row>
    <row r="46" spans="1:10" s="4" customFormat="1">
      <c r="A46" s="12"/>
      <c r="B46" s="12"/>
      <c r="G46" s="4">
        <f>SUM(G43:G45)</f>
        <v>9300</v>
      </c>
      <c r="J46" s="13"/>
    </row>
    <row r="47" spans="1:10">
      <c r="A47" s="10">
        <v>40983</v>
      </c>
      <c r="B47" s="10">
        <v>40983</v>
      </c>
      <c r="C47" s="7" t="s">
        <v>525</v>
      </c>
      <c r="D47" s="7" t="s">
        <v>63</v>
      </c>
      <c r="E47" s="7">
        <v>1000</v>
      </c>
      <c r="F47" s="7">
        <v>3.8</v>
      </c>
      <c r="G47" s="7">
        <f>E47*F47</f>
        <v>3800</v>
      </c>
      <c r="I47" s="7" t="s">
        <v>57</v>
      </c>
    </row>
    <row r="48" spans="1:10">
      <c r="A48" s="10"/>
      <c r="B48" s="10"/>
      <c r="D48" s="7" t="s">
        <v>64</v>
      </c>
      <c r="E48" s="7">
        <v>500</v>
      </c>
      <c r="F48" s="7">
        <v>4.4000000000000004</v>
      </c>
      <c r="G48" s="7">
        <f>E48*F48</f>
        <v>2200</v>
      </c>
    </row>
    <row r="49" spans="1:10" s="4" customFormat="1">
      <c r="A49" s="12"/>
      <c r="B49" s="12"/>
      <c r="G49" s="4">
        <f>SUM(G47:G48)</f>
        <v>6000</v>
      </c>
      <c r="J49" s="13"/>
    </row>
    <row r="50" spans="1:10">
      <c r="A50" s="10">
        <v>40980</v>
      </c>
      <c r="B50" s="10">
        <v>40983</v>
      </c>
      <c r="C50" s="7" t="s">
        <v>65</v>
      </c>
      <c r="D50" s="7" t="s">
        <v>69</v>
      </c>
      <c r="E50" s="7">
        <v>1865</v>
      </c>
      <c r="F50" s="7">
        <v>4.2</v>
      </c>
      <c r="G50" s="7">
        <f>E50*F50</f>
        <v>7833</v>
      </c>
      <c r="H50" s="7">
        <v>300</v>
      </c>
      <c r="I50" s="7" t="s">
        <v>66</v>
      </c>
      <c r="J50" s="7" t="s">
        <v>125</v>
      </c>
    </row>
    <row r="51" spans="1:10">
      <c r="A51" s="10"/>
      <c r="B51" s="10"/>
      <c r="D51" s="7" t="s">
        <v>68</v>
      </c>
      <c r="G51" s="7">
        <v>80</v>
      </c>
    </row>
    <row r="52" spans="1:10" s="4" customFormat="1">
      <c r="A52" s="12"/>
      <c r="B52" s="12"/>
      <c r="G52" s="4">
        <f>SUM(G50:G51)</f>
        <v>7913</v>
      </c>
      <c r="J52" s="13" t="s">
        <v>67</v>
      </c>
    </row>
    <row r="53" spans="1:10">
      <c r="A53" s="10">
        <v>40991</v>
      </c>
      <c r="B53" s="10">
        <v>40992</v>
      </c>
      <c r="C53" s="1" t="s">
        <v>17</v>
      </c>
      <c r="D53" s="7" t="s">
        <v>70</v>
      </c>
      <c r="E53" s="7">
        <v>5000</v>
      </c>
      <c r="F53" s="7">
        <v>0.26</v>
      </c>
      <c r="G53" s="7">
        <f>E53*F53</f>
        <v>1300</v>
      </c>
      <c r="H53" s="7">
        <v>62</v>
      </c>
      <c r="I53" s="7" t="s">
        <v>71</v>
      </c>
      <c r="J53" s="7" t="s">
        <v>74</v>
      </c>
    </row>
    <row r="54" spans="1:10" s="4" customFormat="1">
      <c r="A54" s="12"/>
      <c r="B54" s="12"/>
      <c r="J54" s="13" t="s">
        <v>72</v>
      </c>
    </row>
    <row r="55" spans="1:10">
      <c r="A55" s="10">
        <v>40965</v>
      </c>
      <c r="B55" s="10">
        <v>40966</v>
      </c>
      <c r="C55" s="1" t="s">
        <v>19</v>
      </c>
      <c r="D55" s="7" t="s">
        <v>13</v>
      </c>
      <c r="E55" s="7">
        <v>3600</v>
      </c>
      <c r="F55" s="7">
        <v>0.24</v>
      </c>
      <c r="G55" s="7">
        <f>E55*F55</f>
        <v>864</v>
      </c>
      <c r="H55" s="7">
        <v>0</v>
      </c>
      <c r="I55" s="7" t="s">
        <v>40</v>
      </c>
      <c r="J55" s="11" t="s">
        <v>75</v>
      </c>
    </row>
    <row r="56" spans="1:10" s="4" customFormat="1">
      <c r="A56" s="12"/>
      <c r="B56" s="12"/>
      <c r="J56" s="13"/>
    </row>
    <row r="57" spans="1:10">
      <c r="A57" s="10">
        <v>40998</v>
      </c>
      <c r="B57" s="10">
        <v>40999</v>
      </c>
      <c r="C57" s="1" t="s">
        <v>80</v>
      </c>
      <c r="D57" s="7" t="s">
        <v>76</v>
      </c>
      <c r="E57" s="7">
        <v>5000</v>
      </c>
      <c r="F57" s="7">
        <v>0.3</v>
      </c>
      <c r="G57" s="7">
        <f>E57*F57</f>
        <v>1500</v>
      </c>
      <c r="I57" s="7" t="s">
        <v>57</v>
      </c>
    </row>
    <row r="58" spans="1:10" s="4" customFormat="1">
      <c r="A58" s="12"/>
      <c r="B58" s="12"/>
      <c r="J58" s="13"/>
    </row>
    <row r="59" spans="1:10">
      <c r="A59" s="10">
        <v>40993</v>
      </c>
      <c r="B59" s="10">
        <v>41001</v>
      </c>
      <c r="C59" s="1" t="s">
        <v>79</v>
      </c>
      <c r="D59" s="7" t="s">
        <v>77</v>
      </c>
      <c r="E59" s="7">
        <v>500</v>
      </c>
      <c r="F59" s="7">
        <v>3.5</v>
      </c>
      <c r="G59" s="7">
        <f>E59*F59</f>
        <v>1750</v>
      </c>
      <c r="I59" s="7" t="s">
        <v>57</v>
      </c>
    </row>
    <row r="60" spans="1:10">
      <c r="A60" s="10"/>
      <c r="B60" s="10"/>
      <c r="C60" s="1"/>
      <c r="D60" s="7" t="s">
        <v>78</v>
      </c>
      <c r="E60" s="7">
        <v>100</v>
      </c>
      <c r="F60" s="7">
        <v>3.4</v>
      </c>
      <c r="G60" s="7">
        <f>E60*F60</f>
        <v>340</v>
      </c>
    </row>
    <row r="61" spans="1:10" s="4" customFormat="1">
      <c r="A61" s="12"/>
      <c r="B61" s="12"/>
      <c r="G61" s="4">
        <f>SUM(G59:G60)</f>
        <v>2090</v>
      </c>
      <c r="J61" s="13"/>
    </row>
    <row r="62" spans="1:10">
      <c r="A62" s="10">
        <v>41001</v>
      </c>
      <c r="B62" s="10">
        <v>41004</v>
      </c>
      <c r="C62" s="7" t="s">
        <v>81</v>
      </c>
      <c r="D62" s="7" t="s">
        <v>82</v>
      </c>
      <c r="E62" s="7">
        <v>500</v>
      </c>
      <c r="F62" s="7">
        <v>1.2</v>
      </c>
      <c r="G62" s="7">
        <f>E62*F62</f>
        <v>600</v>
      </c>
      <c r="H62" s="7">
        <v>20</v>
      </c>
      <c r="I62" s="7" t="s">
        <v>84</v>
      </c>
      <c r="J62" s="7" t="s">
        <v>85</v>
      </c>
    </row>
    <row r="63" spans="1:10">
      <c r="A63" s="10"/>
      <c r="B63" s="10"/>
      <c r="D63" s="7" t="s">
        <v>83</v>
      </c>
      <c r="E63" s="7">
        <v>500</v>
      </c>
      <c r="F63" s="7">
        <v>2</v>
      </c>
      <c r="G63" s="7">
        <f>E63*F63</f>
        <v>1000</v>
      </c>
    </row>
    <row r="64" spans="1:10" s="4" customFormat="1">
      <c r="A64" s="12"/>
      <c r="B64" s="12"/>
      <c r="G64" s="4">
        <f>SUM(G62:G63)</f>
        <v>1600</v>
      </c>
      <c r="J64" s="13"/>
    </row>
    <row r="65" spans="1:10">
      <c r="A65" s="10">
        <v>41001</v>
      </c>
      <c r="B65" s="10">
        <v>41011</v>
      </c>
      <c r="C65" s="7" t="s">
        <v>87</v>
      </c>
      <c r="D65" s="7" t="s">
        <v>88</v>
      </c>
      <c r="E65" s="7">
        <v>500</v>
      </c>
      <c r="F65" s="7">
        <v>1.5</v>
      </c>
      <c r="G65" s="7">
        <f>E65*F65</f>
        <v>750</v>
      </c>
      <c r="H65" s="7">
        <v>40</v>
      </c>
      <c r="I65" s="7" t="s">
        <v>89</v>
      </c>
    </row>
    <row r="66" spans="1:10" s="4" customFormat="1">
      <c r="A66" s="12"/>
      <c r="B66" s="12"/>
      <c r="J66" s="13" t="s">
        <v>90</v>
      </c>
    </row>
    <row r="67" spans="1:10">
      <c r="A67" s="10">
        <v>41010</v>
      </c>
      <c r="B67" s="10">
        <v>41011</v>
      </c>
      <c r="C67" s="7" t="s">
        <v>59</v>
      </c>
      <c r="D67" s="7" t="s">
        <v>232</v>
      </c>
      <c r="E67" s="7">
        <v>200</v>
      </c>
      <c r="F67" s="7">
        <v>0.23</v>
      </c>
      <c r="G67" s="7">
        <f>E67*F67</f>
        <v>46</v>
      </c>
      <c r="H67" s="7">
        <v>16</v>
      </c>
      <c r="I67" s="7" t="s">
        <v>61</v>
      </c>
      <c r="J67" s="7" t="s">
        <v>85</v>
      </c>
    </row>
    <row r="68" spans="1:10">
      <c r="A68" s="10"/>
      <c r="B68" s="10"/>
      <c r="D68" s="7" t="s">
        <v>91</v>
      </c>
      <c r="E68" s="7">
        <v>1000</v>
      </c>
      <c r="F68" s="7">
        <v>0.23</v>
      </c>
      <c r="G68" s="7">
        <f>E68*F68</f>
        <v>230</v>
      </c>
    </row>
    <row r="69" spans="1:10" s="4" customFormat="1">
      <c r="A69" s="12"/>
      <c r="B69" s="12"/>
      <c r="G69" s="4">
        <f>SUM(G67:G68)</f>
        <v>276</v>
      </c>
      <c r="J69" s="13"/>
    </row>
    <row r="70" spans="1:10">
      <c r="A70" s="10">
        <v>41013</v>
      </c>
      <c r="B70" s="10">
        <v>41014</v>
      </c>
      <c r="C70" s="7" t="s">
        <v>96</v>
      </c>
      <c r="D70" s="7" t="s">
        <v>97</v>
      </c>
      <c r="E70" s="7">
        <v>30</v>
      </c>
      <c r="F70" s="7">
        <v>36</v>
      </c>
      <c r="G70" s="7">
        <f>E70*F70</f>
        <v>1080</v>
      </c>
      <c r="H70" s="7">
        <v>10</v>
      </c>
      <c r="I70" s="7" t="s">
        <v>71</v>
      </c>
      <c r="J70" s="7" t="s">
        <v>85</v>
      </c>
    </row>
    <row r="71" spans="1:10" s="4" customFormat="1">
      <c r="A71" s="12"/>
      <c r="B71" s="12"/>
      <c r="J71" s="13"/>
    </row>
    <row r="72" spans="1:10">
      <c r="A72" s="10">
        <v>41001</v>
      </c>
      <c r="B72" s="10">
        <v>41016</v>
      </c>
      <c r="C72" s="7" t="s">
        <v>98</v>
      </c>
      <c r="D72" s="7" t="s">
        <v>99</v>
      </c>
      <c r="E72" s="7">
        <v>616</v>
      </c>
      <c r="F72" s="7">
        <v>8</v>
      </c>
      <c r="G72" s="7">
        <f>E72*F72</f>
        <v>4928</v>
      </c>
      <c r="H72" s="7">
        <v>165</v>
      </c>
      <c r="I72" s="7" t="s">
        <v>101</v>
      </c>
    </row>
    <row r="73" spans="1:10" s="4" customFormat="1">
      <c r="A73" s="12"/>
      <c r="B73" s="12"/>
      <c r="J73" s="13" t="s">
        <v>100</v>
      </c>
    </row>
    <row r="74" spans="1:10">
      <c r="A74" s="10">
        <v>41010</v>
      </c>
      <c r="B74" s="10">
        <v>41018</v>
      </c>
      <c r="C74" s="7" t="s">
        <v>25</v>
      </c>
      <c r="D74" s="7" t="s">
        <v>26</v>
      </c>
      <c r="E74" s="7">
        <v>120</v>
      </c>
      <c r="F74" s="7">
        <v>17</v>
      </c>
      <c r="G74" s="7">
        <f>E74*F74</f>
        <v>2040</v>
      </c>
      <c r="H74" s="7">
        <v>700</v>
      </c>
      <c r="I74" s="7" t="s">
        <v>37</v>
      </c>
      <c r="J74" s="7" t="s">
        <v>104</v>
      </c>
    </row>
    <row r="75" spans="1:10">
      <c r="A75" s="10"/>
      <c r="B75" s="10"/>
      <c r="D75" s="7" t="s">
        <v>27</v>
      </c>
      <c r="E75" s="7">
        <f>28*8</f>
        <v>224</v>
      </c>
      <c r="F75" s="7">
        <v>11</v>
      </c>
      <c r="G75" s="7">
        <f>E75*F75</f>
        <v>2464</v>
      </c>
    </row>
    <row r="76" spans="1:10">
      <c r="A76" s="10"/>
      <c r="B76" s="10"/>
      <c r="D76" s="7" t="s">
        <v>874</v>
      </c>
      <c r="E76" s="7">
        <v>500</v>
      </c>
      <c r="F76" s="7">
        <v>5.5</v>
      </c>
      <c r="G76" s="7">
        <f>E76*F76</f>
        <v>2750</v>
      </c>
    </row>
    <row r="77" spans="1:10">
      <c r="A77" s="10"/>
      <c r="B77" s="10"/>
      <c r="D77" s="7" t="s">
        <v>102</v>
      </c>
      <c r="E77" s="7">
        <v>1000</v>
      </c>
      <c r="F77" s="7">
        <v>2.5</v>
      </c>
      <c r="G77" s="7">
        <f>E77*F77</f>
        <v>2500</v>
      </c>
    </row>
    <row r="78" spans="1:10" s="4" customFormat="1">
      <c r="A78" s="12"/>
      <c r="B78" s="12"/>
      <c r="G78" s="4">
        <f>SUM(G74:G77)</f>
        <v>9754</v>
      </c>
      <c r="J78" s="13" t="s">
        <v>103</v>
      </c>
    </row>
    <row r="79" spans="1:10">
      <c r="A79" s="10">
        <v>41014</v>
      </c>
      <c r="B79" s="10">
        <v>41024</v>
      </c>
      <c r="C79" s="1" t="s">
        <v>79</v>
      </c>
      <c r="D79" s="7" t="s">
        <v>94</v>
      </c>
      <c r="E79" s="7">
        <v>100</v>
      </c>
      <c r="F79" s="7">
        <v>4</v>
      </c>
      <c r="G79" s="7">
        <f>E79*F79</f>
        <v>400</v>
      </c>
      <c r="I79" s="7" t="s">
        <v>57</v>
      </c>
    </row>
    <row r="80" spans="1:10" s="4" customFormat="1">
      <c r="A80" s="12"/>
      <c r="B80" s="12"/>
      <c r="G80" s="4">
        <f>SUM(G79:G79)</f>
        <v>400</v>
      </c>
      <c r="J80" s="13"/>
    </row>
    <row r="81" spans="1:10">
      <c r="A81" s="10">
        <v>40983</v>
      </c>
      <c r="B81" s="10">
        <v>41025</v>
      </c>
      <c r="C81" s="7" t="s">
        <v>62</v>
      </c>
      <c r="D81" s="7" t="s">
        <v>63</v>
      </c>
      <c r="E81" s="7">
        <v>500</v>
      </c>
      <c r="F81" s="7">
        <v>3.8</v>
      </c>
      <c r="G81" s="7">
        <f>E81*F81</f>
        <v>1900</v>
      </c>
      <c r="I81" s="7" t="s">
        <v>57</v>
      </c>
    </row>
    <row r="82" spans="1:10">
      <c r="A82" s="10"/>
      <c r="B82" s="10"/>
      <c r="D82" s="7" t="s">
        <v>105</v>
      </c>
      <c r="E82" s="7">
        <v>200</v>
      </c>
      <c r="F82" s="7">
        <v>6</v>
      </c>
      <c r="G82" s="7">
        <f>E82*F82</f>
        <v>1200</v>
      </c>
    </row>
    <row r="83" spans="1:10" s="4" customFormat="1">
      <c r="A83" s="12"/>
      <c r="B83" s="12"/>
      <c r="G83" s="4">
        <f>SUM(G81:G82)</f>
        <v>3100</v>
      </c>
      <c r="J83" s="13"/>
    </row>
    <row r="84" spans="1:10">
      <c r="A84" s="10">
        <v>41026</v>
      </c>
      <c r="B84" s="10">
        <v>41027</v>
      </c>
      <c r="C84" s="7" t="s">
        <v>107</v>
      </c>
      <c r="D84" s="7" t="s">
        <v>108</v>
      </c>
      <c r="E84" s="7">
        <v>30</v>
      </c>
      <c r="F84" s="7">
        <v>5</v>
      </c>
      <c r="G84" s="7">
        <f>E84*F84</f>
        <v>150</v>
      </c>
      <c r="H84" s="7">
        <v>8</v>
      </c>
      <c r="I84" s="7" t="s">
        <v>71</v>
      </c>
      <c r="J84" s="7" t="s">
        <v>85</v>
      </c>
    </row>
    <row r="85" spans="1:10">
      <c r="A85" s="10"/>
      <c r="B85" s="10"/>
      <c r="D85" s="7" t="s">
        <v>109</v>
      </c>
      <c r="E85" s="7">
        <v>10</v>
      </c>
      <c r="F85" s="7">
        <v>7</v>
      </c>
      <c r="G85" s="7">
        <f>E85*F85</f>
        <v>70</v>
      </c>
    </row>
    <row r="86" spans="1:10">
      <c r="A86" s="10"/>
      <c r="B86" s="10"/>
      <c r="D86" s="7" t="s">
        <v>110</v>
      </c>
      <c r="E86" s="7">
        <v>10</v>
      </c>
      <c r="F86" s="7">
        <v>7</v>
      </c>
      <c r="G86" s="7">
        <f>E86*F86</f>
        <v>70</v>
      </c>
    </row>
    <row r="87" spans="1:10" s="4" customFormat="1">
      <c r="A87" s="12"/>
      <c r="B87" s="12"/>
      <c r="G87" s="4">
        <f>SUM(G84:G86)</f>
        <v>290</v>
      </c>
      <c r="J87" s="13"/>
    </row>
    <row r="88" spans="1:10">
      <c r="A88" s="10">
        <v>41025</v>
      </c>
      <c r="B88" s="10">
        <v>41029</v>
      </c>
      <c r="C88" s="1" t="s">
        <v>93</v>
      </c>
      <c r="D88" s="7" t="s">
        <v>92</v>
      </c>
      <c r="E88" s="7">
        <v>30</v>
      </c>
      <c r="F88" s="7">
        <v>330</v>
      </c>
      <c r="G88" s="7">
        <f>E88*F88</f>
        <v>9900</v>
      </c>
      <c r="H88" s="7">
        <v>80</v>
      </c>
      <c r="I88" s="7" t="s">
        <v>37</v>
      </c>
    </row>
    <row r="89" spans="1:10" s="4" customFormat="1">
      <c r="A89" s="12"/>
      <c r="B89" s="12"/>
      <c r="G89" s="4">
        <f>SUM(G88:G88)</f>
        <v>9900</v>
      </c>
      <c r="J89" s="13" t="s">
        <v>106</v>
      </c>
    </row>
    <row r="90" spans="1:10">
      <c r="A90" s="10">
        <v>41041</v>
      </c>
      <c r="B90" s="10">
        <v>41042</v>
      </c>
      <c r="C90" s="7" t="s">
        <v>23</v>
      </c>
      <c r="D90" s="7" t="s">
        <v>116</v>
      </c>
      <c r="E90" s="7">
        <v>6</v>
      </c>
      <c r="F90" s="7">
        <v>4.5</v>
      </c>
      <c r="G90" s="7">
        <f>E90*F90</f>
        <v>27</v>
      </c>
      <c r="H90" s="7">
        <v>10</v>
      </c>
      <c r="I90" s="7" t="s">
        <v>40</v>
      </c>
      <c r="J90" s="7" t="s">
        <v>117</v>
      </c>
    </row>
    <row r="91" spans="1:10">
      <c r="A91" s="10"/>
      <c r="B91" s="10"/>
      <c r="D91" s="7" t="s">
        <v>39</v>
      </c>
      <c r="E91" s="7">
        <v>5</v>
      </c>
      <c r="F91" s="7">
        <v>55</v>
      </c>
      <c r="G91" s="7">
        <f>E91*F91</f>
        <v>275</v>
      </c>
    </row>
    <row r="92" spans="1:10" s="4" customFormat="1">
      <c r="A92" s="12"/>
      <c r="B92" s="12"/>
      <c r="G92" s="4">
        <f>SUM(G90:G91)</f>
        <v>302</v>
      </c>
      <c r="J92" s="13"/>
    </row>
    <row r="93" spans="1:10">
      <c r="A93" s="10">
        <v>41022</v>
      </c>
      <c r="B93" s="10">
        <v>41042</v>
      </c>
      <c r="C93" s="7" t="s">
        <v>25</v>
      </c>
      <c r="D93" s="7" t="s">
        <v>26</v>
      </c>
      <c r="E93" s="7">
        <v>255</v>
      </c>
      <c r="F93" s="7">
        <v>17</v>
      </c>
      <c r="G93" s="7">
        <f>E93*F93</f>
        <v>4335</v>
      </c>
      <c r="H93" s="7">
        <v>850</v>
      </c>
      <c r="I93" s="7" t="s">
        <v>37</v>
      </c>
      <c r="J93" s="7" t="s">
        <v>38</v>
      </c>
    </row>
    <row r="94" spans="1:10">
      <c r="A94" s="10"/>
      <c r="B94" s="10"/>
      <c r="D94" s="7" t="s">
        <v>27</v>
      </c>
      <c r="E94" s="7">
        <v>504</v>
      </c>
      <c r="F94" s="7">
        <v>11</v>
      </c>
      <c r="G94" s="7">
        <f>E94*F94</f>
        <v>5544</v>
      </c>
      <c r="J94" s="7" t="s">
        <v>118</v>
      </c>
    </row>
    <row r="95" spans="1:10" s="4" customFormat="1">
      <c r="A95" s="12"/>
      <c r="B95" s="12"/>
      <c r="G95" s="4">
        <f>SUM(G93:G94)</f>
        <v>9879</v>
      </c>
      <c r="J95" s="13" t="s">
        <v>114</v>
      </c>
    </row>
    <row r="96" spans="1:10">
      <c r="A96" s="10">
        <v>41019</v>
      </c>
      <c r="B96" s="10">
        <v>41039</v>
      </c>
      <c r="C96" s="7" t="s">
        <v>111</v>
      </c>
      <c r="D96" s="7" t="s">
        <v>112</v>
      </c>
      <c r="E96" s="7">
        <v>200</v>
      </c>
      <c r="F96" s="7">
        <v>12</v>
      </c>
      <c r="G96" s="7">
        <f>E96*F96</f>
        <v>2400</v>
      </c>
      <c r="H96" s="7">
        <v>90</v>
      </c>
      <c r="I96" s="7" t="s">
        <v>53</v>
      </c>
    </row>
    <row r="97" spans="1:10">
      <c r="A97" s="10">
        <v>41022</v>
      </c>
      <c r="B97" s="10">
        <v>41039</v>
      </c>
      <c r="D97" s="7" t="s">
        <v>115</v>
      </c>
      <c r="E97" s="7">
        <v>100</v>
      </c>
      <c r="F97" s="7">
        <v>16</v>
      </c>
      <c r="G97" s="7">
        <f>E97*F97</f>
        <v>1600</v>
      </c>
    </row>
    <row r="98" spans="1:10" s="4" customFormat="1">
      <c r="A98" s="12"/>
      <c r="B98" s="12"/>
      <c r="G98" s="4">
        <f>SUM(G96:G97)</f>
        <v>4000</v>
      </c>
      <c r="J98" s="13" t="s">
        <v>113</v>
      </c>
    </row>
    <row r="99" spans="1:10">
      <c r="A99" s="10">
        <v>41048</v>
      </c>
      <c r="B99" s="10">
        <v>41054</v>
      </c>
      <c r="C99" s="1" t="s">
        <v>80</v>
      </c>
      <c r="D99" s="7" t="s">
        <v>122</v>
      </c>
      <c r="E99" s="7">
        <v>10000</v>
      </c>
      <c r="F99" s="7">
        <v>0.26</v>
      </c>
      <c r="G99" s="7">
        <f>E99*F99</f>
        <v>2600</v>
      </c>
      <c r="I99" s="7" t="s">
        <v>57</v>
      </c>
    </row>
    <row r="100" spans="1:10" s="4" customFormat="1">
      <c r="A100" s="12"/>
      <c r="B100" s="12"/>
      <c r="J100" s="13"/>
    </row>
    <row r="101" spans="1:10">
      <c r="A101" s="10">
        <v>41048</v>
      </c>
      <c r="B101" s="10">
        <v>41057</v>
      </c>
      <c r="C101" s="7" t="s">
        <v>25</v>
      </c>
      <c r="D101" s="7" t="s">
        <v>26</v>
      </c>
      <c r="E101" s="7">
        <f>28*6</f>
        <v>168</v>
      </c>
      <c r="F101" s="7">
        <v>17</v>
      </c>
      <c r="G101" s="7">
        <f>E101*F101</f>
        <v>2856</v>
      </c>
      <c r="H101" s="7">
        <v>600</v>
      </c>
      <c r="I101" s="7" t="s">
        <v>37</v>
      </c>
      <c r="J101" s="7" t="s">
        <v>123</v>
      </c>
    </row>
    <row r="102" spans="1:10">
      <c r="A102" s="10"/>
      <c r="B102" s="10"/>
      <c r="D102" s="7" t="s">
        <v>27</v>
      </c>
      <c r="E102" s="7">
        <f>28*12</f>
        <v>336</v>
      </c>
      <c r="F102" s="7">
        <v>11</v>
      </c>
      <c r="G102" s="7">
        <f>E102*F102</f>
        <v>3696</v>
      </c>
    </row>
    <row r="103" spans="1:10">
      <c r="A103" s="10"/>
      <c r="B103" s="10"/>
      <c r="D103" s="7" t="s">
        <v>874</v>
      </c>
      <c r="E103" s="7">
        <v>500</v>
      </c>
      <c r="F103" s="7">
        <v>5.5</v>
      </c>
      <c r="G103" s="7">
        <f>E103*F103</f>
        <v>2750</v>
      </c>
    </row>
    <row r="104" spans="1:10" s="4" customFormat="1">
      <c r="A104" s="12"/>
      <c r="B104" s="12"/>
      <c r="G104" s="4">
        <f>SUM(G101:G103)</f>
        <v>9302</v>
      </c>
      <c r="J104" s="13" t="s">
        <v>124</v>
      </c>
    </row>
    <row r="105" spans="1:10">
      <c r="A105" s="10">
        <v>41065</v>
      </c>
      <c r="B105" s="10">
        <v>41072</v>
      </c>
      <c r="C105" s="7" t="s">
        <v>43</v>
      </c>
      <c r="D105" s="7" t="s">
        <v>660</v>
      </c>
      <c r="E105" s="7">
        <v>1100</v>
      </c>
      <c r="F105" s="7">
        <v>2.4</v>
      </c>
      <c r="G105" s="7">
        <f>E105*F105</f>
        <v>2640</v>
      </c>
      <c r="H105" s="7">
        <v>97</v>
      </c>
      <c r="I105" s="7" t="s">
        <v>37</v>
      </c>
    </row>
    <row r="106" spans="1:10">
      <c r="A106" s="10"/>
      <c r="B106" s="10"/>
      <c r="D106" s="7" t="s">
        <v>215</v>
      </c>
      <c r="E106" s="7">
        <v>600</v>
      </c>
      <c r="F106" s="7">
        <v>3.2</v>
      </c>
      <c r="G106" s="7">
        <f>E106*F106</f>
        <v>1920</v>
      </c>
    </row>
    <row r="107" spans="1:10" s="4" customFormat="1">
      <c r="A107" s="12"/>
      <c r="B107" s="12"/>
      <c r="G107" s="4">
        <f>SUM(G105:G106)</f>
        <v>4560</v>
      </c>
      <c r="J107" s="13" t="s">
        <v>126</v>
      </c>
    </row>
    <row r="108" spans="1:10">
      <c r="A108" s="10">
        <v>41071</v>
      </c>
      <c r="B108" s="10">
        <v>41075</v>
      </c>
      <c r="C108" s="7" t="s">
        <v>11</v>
      </c>
      <c r="D108" s="7" t="s">
        <v>42</v>
      </c>
      <c r="E108" s="7">
        <v>15</v>
      </c>
      <c r="F108" s="7">
        <v>950</v>
      </c>
      <c r="G108" s="7">
        <f>E108*F108</f>
        <v>14250</v>
      </c>
      <c r="H108" s="7">
        <v>60</v>
      </c>
      <c r="I108" s="7" t="s">
        <v>37</v>
      </c>
      <c r="J108" s="7" t="s">
        <v>127</v>
      </c>
    </row>
    <row r="109" spans="1:10" s="4" customFormat="1">
      <c r="A109" s="12"/>
      <c r="B109" s="12"/>
      <c r="J109" s="13"/>
    </row>
    <row r="110" spans="1:10">
      <c r="A110" s="10">
        <v>41065</v>
      </c>
      <c r="B110" s="10">
        <v>41076</v>
      </c>
      <c r="C110" s="7" t="s">
        <v>47</v>
      </c>
      <c r="D110" s="1" t="s">
        <v>24</v>
      </c>
      <c r="E110" s="1">
        <v>8000</v>
      </c>
      <c r="F110" s="7">
        <v>0.38</v>
      </c>
      <c r="G110" s="7">
        <f t="shared" ref="G110:G116" si="2">E110*F110</f>
        <v>3040</v>
      </c>
      <c r="H110" s="7">
        <v>0</v>
      </c>
      <c r="I110" s="7" t="s">
        <v>53</v>
      </c>
    </row>
    <row r="111" spans="1:10">
      <c r="A111" s="10"/>
      <c r="B111" s="10"/>
      <c r="D111" s="1" t="s">
        <v>32</v>
      </c>
      <c r="E111" s="1">
        <v>2200</v>
      </c>
      <c r="F111" s="7">
        <v>0.28999999999999998</v>
      </c>
      <c r="G111" s="7">
        <f t="shared" si="2"/>
        <v>638</v>
      </c>
      <c r="J111" s="7" t="s">
        <v>129</v>
      </c>
    </row>
    <row r="112" spans="1:10">
      <c r="A112" s="10"/>
      <c r="B112" s="10"/>
      <c r="D112" s="1" t="s">
        <v>48</v>
      </c>
      <c r="E112" s="1">
        <v>200</v>
      </c>
      <c r="F112" s="7">
        <v>0.28999999999999998</v>
      </c>
      <c r="G112" s="7">
        <f t="shared" si="2"/>
        <v>57.999999999999993</v>
      </c>
    </row>
    <row r="113" spans="1:10">
      <c r="A113" s="10"/>
      <c r="B113" s="10"/>
      <c r="D113" s="1" t="s">
        <v>49</v>
      </c>
      <c r="E113" s="1">
        <v>1000</v>
      </c>
      <c r="F113" s="7">
        <v>1.5</v>
      </c>
      <c r="G113" s="7">
        <f t="shared" si="2"/>
        <v>1500</v>
      </c>
    </row>
    <row r="114" spans="1:10">
      <c r="A114" s="10"/>
      <c r="B114" s="10"/>
      <c r="D114" s="1" t="s">
        <v>50</v>
      </c>
      <c r="E114" s="1">
        <v>900</v>
      </c>
      <c r="F114" s="7">
        <v>0.28999999999999998</v>
      </c>
      <c r="G114" s="7">
        <f t="shared" si="2"/>
        <v>261</v>
      </c>
    </row>
    <row r="115" spans="1:10">
      <c r="A115" s="10"/>
      <c r="B115" s="10"/>
      <c r="D115" s="1" t="s">
        <v>3</v>
      </c>
      <c r="E115" s="1">
        <v>3000</v>
      </c>
      <c r="F115" s="7">
        <v>0.28999999999999998</v>
      </c>
      <c r="G115" s="7">
        <f t="shared" si="2"/>
        <v>869.99999999999989</v>
      </c>
    </row>
    <row r="116" spans="1:10">
      <c r="A116" s="10"/>
      <c r="B116" s="10"/>
      <c r="D116" s="1" t="s">
        <v>51</v>
      </c>
      <c r="E116" s="1">
        <v>500</v>
      </c>
      <c r="F116" s="7">
        <v>0.18</v>
      </c>
      <c r="G116" s="7">
        <f t="shared" si="2"/>
        <v>90</v>
      </c>
      <c r="J116" s="7" t="s">
        <v>130</v>
      </c>
    </row>
    <row r="117" spans="1:10" s="4" customFormat="1">
      <c r="A117" s="12"/>
      <c r="B117" s="12"/>
      <c r="G117" s="4">
        <f>SUM(G110:G116)</f>
        <v>6457</v>
      </c>
      <c r="J117" s="13" t="s">
        <v>128</v>
      </c>
    </row>
    <row r="118" spans="1:10">
      <c r="A118" s="10">
        <v>41075</v>
      </c>
      <c r="B118" s="10">
        <v>41078</v>
      </c>
      <c r="C118" s="7" t="s">
        <v>17</v>
      </c>
      <c r="D118" s="7" t="s">
        <v>20</v>
      </c>
      <c r="E118" s="7">
        <v>1000</v>
      </c>
      <c r="F118" s="7">
        <v>1.9</v>
      </c>
      <c r="G118" s="7">
        <f>E118*F118</f>
        <v>1900</v>
      </c>
      <c r="H118" s="7">
        <v>86</v>
      </c>
      <c r="I118" s="7" t="s">
        <v>22</v>
      </c>
      <c r="J118" s="7" t="s">
        <v>133</v>
      </c>
    </row>
    <row r="119" spans="1:10" s="4" customFormat="1">
      <c r="A119" s="12"/>
      <c r="B119" s="12"/>
      <c r="J119" s="13"/>
    </row>
    <row r="120" spans="1:10">
      <c r="A120" s="10">
        <v>41074</v>
      </c>
      <c r="B120" s="10">
        <v>41079</v>
      </c>
      <c r="C120" s="7" t="s">
        <v>55</v>
      </c>
      <c r="D120" s="7" t="s">
        <v>56</v>
      </c>
      <c r="E120" s="7">
        <v>1000</v>
      </c>
      <c r="F120" s="7">
        <v>3.1</v>
      </c>
      <c r="G120" s="7">
        <f>E120*F120</f>
        <v>3100</v>
      </c>
      <c r="I120" s="7" t="s">
        <v>57</v>
      </c>
      <c r="J120" s="7" t="s">
        <v>131</v>
      </c>
    </row>
    <row r="121" spans="1:10">
      <c r="A121" s="10"/>
      <c r="B121" s="10"/>
      <c r="D121" s="7" t="s">
        <v>6</v>
      </c>
      <c r="E121" s="7">
        <v>1000</v>
      </c>
      <c r="F121" s="7">
        <v>3.2</v>
      </c>
      <c r="G121" s="7">
        <f>E121*F121</f>
        <v>3200</v>
      </c>
      <c r="J121" s="7" t="s">
        <v>132</v>
      </c>
    </row>
    <row r="122" spans="1:10">
      <c r="A122" s="10"/>
      <c r="B122" s="10"/>
      <c r="D122" s="7" t="s">
        <v>58</v>
      </c>
      <c r="E122" s="7">
        <v>1400</v>
      </c>
      <c r="F122" s="7">
        <v>2</v>
      </c>
      <c r="G122" s="7">
        <f>E122*F122</f>
        <v>2800</v>
      </c>
    </row>
    <row r="123" spans="1:10" s="4" customFormat="1">
      <c r="A123" s="12"/>
      <c r="B123" s="12"/>
      <c r="G123" s="4">
        <f>SUM(G120:G122)</f>
        <v>9100</v>
      </c>
      <c r="J123" s="13"/>
    </row>
    <row r="124" spans="1:10">
      <c r="A124" s="10">
        <v>41079</v>
      </c>
      <c r="B124" s="10">
        <v>41080</v>
      </c>
      <c r="C124" s="7" t="s">
        <v>23</v>
      </c>
      <c r="D124" s="7" t="s">
        <v>134</v>
      </c>
      <c r="E124" s="7">
        <v>2100</v>
      </c>
      <c r="F124" s="7">
        <v>0.68</v>
      </c>
      <c r="G124" s="7">
        <f>E124*F124</f>
        <v>1428</v>
      </c>
      <c r="H124" s="7">
        <v>35</v>
      </c>
      <c r="I124" s="7" t="s">
        <v>40</v>
      </c>
      <c r="J124" s="7" t="s">
        <v>117</v>
      </c>
    </row>
    <row r="125" spans="1:10" s="4" customFormat="1">
      <c r="A125" s="12"/>
      <c r="B125" s="12"/>
      <c r="J125" s="13"/>
    </row>
    <row r="126" spans="1:10">
      <c r="A126" s="10">
        <v>41078</v>
      </c>
      <c r="B126" s="10">
        <v>41081</v>
      </c>
      <c r="C126" s="7" t="s">
        <v>25</v>
      </c>
      <c r="D126" s="7" t="s">
        <v>874</v>
      </c>
      <c r="E126" s="7">
        <v>500</v>
      </c>
      <c r="F126" s="7">
        <v>5.5</v>
      </c>
      <c r="G126" s="7">
        <f>E126*F126</f>
        <v>2750</v>
      </c>
      <c r="H126" s="7">
        <v>390</v>
      </c>
      <c r="I126" s="7" t="s">
        <v>37</v>
      </c>
      <c r="J126" s="7" t="s">
        <v>140</v>
      </c>
    </row>
    <row r="127" spans="1:10">
      <c r="A127" s="10"/>
      <c r="B127" s="10"/>
      <c r="D127" s="7" t="s">
        <v>102</v>
      </c>
      <c r="E127" s="7">
        <v>3000</v>
      </c>
      <c r="F127" s="7">
        <v>2.4</v>
      </c>
      <c r="G127" s="7">
        <f>E127*F127</f>
        <v>7200</v>
      </c>
    </row>
    <row r="128" spans="1:10" s="4" customFormat="1">
      <c r="A128" s="12"/>
      <c r="B128" s="12"/>
      <c r="G128" s="4">
        <f>SUM(G126:G127)</f>
        <v>9950</v>
      </c>
      <c r="J128" s="13" t="s">
        <v>139</v>
      </c>
    </row>
    <row r="129" spans="1:10">
      <c r="A129" s="10">
        <v>41075</v>
      </c>
      <c r="B129" s="10">
        <v>41086</v>
      </c>
      <c r="C129" s="7" t="s">
        <v>65</v>
      </c>
      <c r="D129" s="7" t="s">
        <v>69</v>
      </c>
      <c r="E129" s="7">
        <v>1280</v>
      </c>
      <c r="F129" s="7">
        <v>4.2</v>
      </c>
      <c r="G129" s="7">
        <f>E129*F129</f>
        <v>5376</v>
      </c>
      <c r="H129" s="7">
        <f>200+150</f>
        <v>350</v>
      </c>
      <c r="I129" s="7" t="s">
        <v>66</v>
      </c>
      <c r="J129" s="7" t="s">
        <v>137</v>
      </c>
    </row>
    <row r="130" spans="1:10">
      <c r="A130" s="10"/>
      <c r="B130" s="10"/>
      <c r="D130" s="7" t="s">
        <v>135</v>
      </c>
      <c r="G130" s="7">
        <v>260</v>
      </c>
      <c r="J130" s="7" t="s">
        <v>138</v>
      </c>
    </row>
    <row r="131" spans="1:10" s="4" customFormat="1">
      <c r="A131" s="12"/>
      <c r="B131" s="12"/>
      <c r="G131" s="4">
        <f>SUM(G129:G130)</f>
        <v>5636</v>
      </c>
      <c r="J131" s="13" t="s">
        <v>136</v>
      </c>
    </row>
    <row r="132" spans="1:10">
      <c r="A132" s="10">
        <v>41074</v>
      </c>
      <c r="B132" s="10">
        <v>41087</v>
      </c>
      <c r="C132" s="7" t="s">
        <v>62</v>
      </c>
      <c r="D132" s="7" t="s">
        <v>63</v>
      </c>
      <c r="E132" s="7">
        <v>1400</v>
      </c>
      <c r="F132" s="7">
        <v>3.8</v>
      </c>
      <c r="G132" s="7">
        <f>E132*F132</f>
        <v>5320</v>
      </c>
      <c r="I132" s="7" t="s">
        <v>57</v>
      </c>
    </row>
    <row r="133" spans="1:10">
      <c r="A133" s="10"/>
      <c r="B133" s="10"/>
      <c r="D133" s="7" t="s">
        <v>64</v>
      </c>
      <c r="E133" s="7">
        <v>500</v>
      </c>
      <c r="F133" s="7">
        <v>4.4000000000000004</v>
      </c>
      <c r="G133" s="7">
        <f>E133*F133</f>
        <v>2200</v>
      </c>
    </row>
    <row r="134" spans="1:10" s="4" customFormat="1">
      <c r="A134" s="12"/>
      <c r="B134" s="12"/>
      <c r="G134" s="4">
        <f>SUM(G132:G133)</f>
        <v>7520</v>
      </c>
      <c r="J134" s="13"/>
    </row>
    <row r="135" spans="1:10">
      <c r="A135" s="10">
        <v>41061</v>
      </c>
      <c r="B135" s="10">
        <v>41089</v>
      </c>
      <c r="C135" s="7" t="s">
        <v>98</v>
      </c>
      <c r="D135" s="7" t="s">
        <v>99</v>
      </c>
      <c r="E135" s="7">
        <v>583</v>
      </c>
      <c r="F135" s="7">
        <v>8</v>
      </c>
      <c r="G135" s="7">
        <f>E135*F135</f>
        <v>4664</v>
      </c>
      <c r="H135" s="7">
        <v>210</v>
      </c>
      <c r="I135" s="7" t="s">
        <v>101</v>
      </c>
      <c r="J135" s="7" t="s">
        <v>142</v>
      </c>
    </row>
    <row r="136" spans="1:10" s="4" customFormat="1">
      <c r="A136" s="12"/>
      <c r="B136" s="12"/>
      <c r="J136" s="13" t="s">
        <v>143</v>
      </c>
    </row>
    <row r="137" spans="1:10">
      <c r="A137" s="10">
        <v>41093</v>
      </c>
      <c r="B137" s="10">
        <v>41094</v>
      </c>
      <c r="C137" s="7" t="s">
        <v>59</v>
      </c>
      <c r="D137" s="1" t="s">
        <v>91</v>
      </c>
      <c r="E137" s="7">
        <v>800</v>
      </c>
      <c r="F137" s="7">
        <v>0.23</v>
      </c>
      <c r="G137" s="7">
        <f t="shared" ref="G137:G145" si="3">E137*F137</f>
        <v>184</v>
      </c>
      <c r="H137" s="7">
        <v>60</v>
      </c>
      <c r="I137" s="7" t="s">
        <v>144</v>
      </c>
    </row>
    <row r="138" spans="1:10">
      <c r="A138" s="10"/>
      <c r="B138" s="10"/>
      <c r="D138" s="7" t="s">
        <v>232</v>
      </c>
      <c r="E138" s="7">
        <v>2700</v>
      </c>
      <c r="F138" s="7">
        <v>0.23</v>
      </c>
      <c r="G138" s="7">
        <f t="shared" si="3"/>
        <v>621</v>
      </c>
    </row>
    <row r="139" spans="1:10">
      <c r="A139" s="10"/>
      <c r="B139" s="10"/>
      <c r="D139" s="1" t="s">
        <v>33</v>
      </c>
      <c r="E139" s="7">
        <v>1700</v>
      </c>
      <c r="F139" s="7">
        <v>0.23</v>
      </c>
      <c r="G139" s="7">
        <f t="shared" si="3"/>
        <v>391</v>
      </c>
    </row>
    <row r="140" spans="1:10">
      <c r="B140" s="10"/>
      <c r="D140" s="7" t="s">
        <v>141</v>
      </c>
      <c r="E140" s="7">
        <v>500</v>
      </c>
      <c r="F140" s="7">
        <v>0.78</v>
      </c>
      <c r="G140" s="7">
        <f t="shared" si="3"/>
        <v>390</v>
      </c>
    </row>
    <row r="141" spans="1:10">
      <c r="A141" s="10"/>
      <c r="B141" s="10">
        <v>41094</v>
      </c>
      <c r="D141" s="1" t="s">
        <v>33</v>
      </c>
      <c r="E141" s="7">
        <v>-1700</v>
      </c>
      <c r="F141" s="7">
        <v>0.23</v>
      </c>
      <c r="G141" s="7">
        <f t="shared" si="3"/>
        <v>-391</v>
      </c>
      <c r="H141" s="7">
        <v>0</v>
      </c>
      <c r="J141" s="7" t="s">
        <v>909</v>
      </c>
    </row>
    <row r="142" spans="1:10">
      <c r="A142" s="10"/>
      <c r="B142" s="10">
        <v>41095</v>
      </c>
      <c r="D142" s="1" t="s">
        <v>33</v>
      </c>
      <c r="E142" s="7">
        <v>750</v>
      </c>
      <c r="F142" s="7">
        <v>0.23</v>
      </c>
      <c r="G142" s="7">
        <f t="shared" si="3"/>
        <v>172.5</v>
      </c>
      <c r="H142" s="7">
        <v>0</v>
      </c>
      <c r="J142" s="7" t="s">
        <v>910</v>
      </c>
    </row>
    <row r="143" spans="1:10">
      <c r="A143" s="10">
        <v>41097</v>
      </c>
      <c r="B143" s="10">
        <v>41098</v>
      </c>
      <c r="D143" s="1" t="s">
        <v>33</v>
      </c>
      <c r="E143" s="7">
        <v>950</v>
      </c>
      <c r="F143" s="7">
        <v>0.23</v>
      </c>
      <c r="G143" s="7">
        <f t="shared" si="3"/>
        <v>218.5</v>
      </c>
      <c r="H143" s="7">
        <v>0</v>
      </c>
      <c r="I143" s="7" t="s">
        <v>144</v>
      </c>
      <c r="J143" s="7" t="s">
        <v>911</v>
      </c>
    </row>
    <row r="144" spans="1:10">
      <c r="A144" s="10"/>
      <c r="B144" s="10"/>
      <c r="D144" s="7" t="s">
        <v>232</v>
      </c>
      <c r="E144" s="7">
        <v>400</v>
      </c>
      <c r="F144" s="7">
        <v>0.22</v>
      </c>
      <c r="G144" s="7">
        <f t="shared" si="3"/>
        <v>88</v>
      </c>
    </row>
    <row r="145" spans="1:10">
      <c r="B145" s="10"/>
      <c r="D145" s="7" t="s">
        <v>141</v>
      </c>
      <c r="E145" s="7">
        <v>50</v>
      </c>
      <c r="F145" s="7">
        <v>0.78</v>
      </c>
      <c r="G145" s="7">
        <f t="shared" si="3"/>
        <v>39</v>
      </c>
    </row>
    <row r="146" spans="1:10" s="4" customFormat="1">
      <c r="A146" s="12"/>
      <c r="B146" s="12"/>
      <c r="G146" s="4">
        <f>SUM(G137:G145)</f>
        <v>1713</v>
      </c>
      <c r="J146" s="13"/>
    </row>
    <row r="147" spans="1:10">
      <c r="A147" s="10">
        <v>41108</v>
      </c>
      <c r="B147" s="10">
        <v>41113</v>
      </c>
      <c r="C147" s="7" t="s">
        <v>87</v>
      </c>
      <c r="D147" s="7" t="s">
        <v>88</v>
      </c>
      <c r="E147" s="7">
        <v>550</v>
      </c>
      <c r="F147" s="7">
        <v>1.5</v>
      </c>
      <c r="G147" s="7">
        <f>E147*F147</f>
        <v>825</v>
      </c>
      <c r="H147" s="7">
        <v>65</v>
      </c>
      <c r="I147" s="7" t="s">
        <v>145</v>
      </c>
    </row>
    <row r="148" spans="1:10" s="4" customFormat="1">
      <c r="A148" s="12"/>
      <c r="B148" s="12"/>
      <c r="J148" s="13" t="s">
        <v>146</v>
      </c>
    </row>
    <row r="149" spans="1:10">
      <c r="A149" s="10">
        <v>41110</v>
      </c>
      <c r="B149" s="10">
        <v>41121</v>
      </c>
      <c r="C149" s="1" t="s">
        <v>362</v>
      </c>
      <c r="D149" s="7" t="s">
        <v>539</v>
      </c>
      <c r="E149" s="7">
        <v>10000</v>
      </c>
      <c r="F149" s="7">
        <v>0.2</v>
      </c>
      <c r="G149" s="7">
        <f>E149*F149</f>
        <v>2000</v>
      </c>
      <c r="I149" s="7" t="s">
        <v>363</v>
      </c>
    </row>
    <row r="150" spans="1:10" s="4" customFormat="1">
      <c r="A150" s="12"/>
      <c r="B150" s="12"/>
      <c r="J150" s="13"/>
    </row>
    <row r="151" spans="1:10">
      <c r="A151" s="10">
        <v>41112</v>
      </c>
      <c r="B151" s="10">
        <v>41114</v>
      </c>
      <c r="C151" s="7" t="s">
        <v>81</v>
      </c>
      <c r="D151" s="7" t="s">
        <v>82</v>
      </c>
      <c r="E151" s="7">
        <v>500</v>
      </c>
      <c r="F151" s="7">
        <v>1.2</v>
      </c>
      <c r="G151" s="7">
        <f>E151*F151</f>
        <v>600</v>
      </c>
      <c r="H151" s="7">
        <v>20</v>
      </c>
      <c r="I151" s="7" t="s">
        <v>84</v>
      </c>
      <c r="J151" s="7" t="s">
        <v>85</v>
      </c>
    </row>
    <row r="152" spans="1:10">
      <c r="A152" s="10"/>
      <c r="B152" s="10"/>
      <c r="D152" s="7" t="s">
        <v>83</v>
      </c>
      <c r="E152" s="7">
        <v>500</v>
      </c>
      <c r="F152" s="7">
        <v>2</v>
      </c>
      <c r="G152" s="7">
        <f>E152*F152</f>
        <v>1000</v>
      </c>
    </row>
    <row r="153" spans="1:10" s="4" customFormat="1">
      <c r="A153" s="12"/>
      <c r="B153" s="12"/>
      <c r="G153" s="4">
        <f>SUM(G151:G152)</f>
        <v>1600</v>
      </c>
      <c r="J153" s="13"/>
    </row>
    <row r="154" spans="1:10">
      <c r="A154" s="10">
        <v>41120</v>
      </c>
      <c r="B154" s="10">
        <v>41124</v>
      </c>
      <c r="C154" s="7" t="s">
        <v>25</v>
      </c>
      <c r="D154" s="1" t="s">
        <v>119</v>
      </c>
      <c r="E154" s="7">
        <v>335</v>
      </c>
      <c r="F154" s="7">
        <v>17</v>
      </c>
      <c r="G154" s="7">
        <f>E154*F154</f>
        <v>5695</v>
      </c>
      <c r="H154" s="7">
        <v>610</v>
      </c>
      <c r="I154" s="7" t="s">
        <v>37</v>
      </c>
      <c r="J154" s="7" t="s">
        <v>152</v>
      </c>
    </row>
    <row r="155" spans="1:10">
      <c r="A155" s="10"/>
      <c r="B155" s="10"/>
      <c r="D155" s="1" t="s">
        <v>120</v>
      </c>
      <c r="E155" s="7">
        <f>24*28</f>
        <v>672</v>
      </c>
      <c r="F155" s="7">
        <v>11</v>
      </c>
      <c r="G155" s="7">
        <f>E155*F155</f>
        <v>7392</v>
      </c>
    </row>
    <row r="156" spans="1:10">
      <c r="A156" s="10"/>
      <c r="B156" s="10"/>
      <c r="D156" s="7" t="s">
        <v>874</v>
      </c>
      <c r="E156" s="7">
        <v>50</v>
      </c>
      <c r="F156" s="7">
        <v>5.5</v>
      </c>
      <c r="G156" s="7">
        <f>E156*F156</f>
        <v>275</v>
      </c>
    </row>
    <row r="157" spans="1:10" s="4" customFormat="1">
      <c r="A157" s="12"/>
      <c r="B157" s="12"/>
      <c r="G157" s="4">
        <f>SUM(G154:G156)</f>
        <v>13362</v>
      </c>
      <c r="J157" s="13" t="s">
        <v>151</v>
      </c>
    </row>
    <row r="158" spans="1:10">
      <c r="A158" s="10">
        <v>41143</v>
      </c>
      <c r="B158" s="10">
        <v>41144</v>
      </c>
      <c r="C158" s="7" t="s">
        <v>59</v>
      </c>
      <c r="D158" s="1" t="s">
        <v>91</v>
      </c>
      <c r="E158" s="7">
        <v>1000</v>
      </c>
      <c r="F158" s="7">
        <v>0.23</v>
      </c>
      <c r="G158" s="7">
        <f>E158*F158</f>
        <v>230</v>
      </c>
      <c r="H158" s="7">
        <v>103</v>
      </c>
      <c r="I158" s="7" t="s">
        <v>144</v>
      </c>
    </row>
    <row r="159" spans="1:10">
      <c r="A159" s="10"/>
      <c r="B159" s="10"/>
      <c r="D159" s="7" t="s">
        <v>232</v>
      </c>
      <c r="E159" s="7">
        <v>3000</v>
      </c>
      <c r="F159" s="7">
        <v>0.23</v>
      </c>
      <c r="G159" s="7">
        <f>E159*F159</f>
        <v>690</v>
      </c>
    </row>
    <row r="160" spans="1:10">
      <c r="A160" s="10"/>
      <c r="B160" s="10"/>
      <c r="D160" s="1" t="s">
        <v>33</v>
      </c>
      <c r="E160" s="7">
        <v>2000</v>
      </c>
      <c r="F160" s="7">
        <v>0.23</v>
      </c>
      <c r="G160" s="7">
        <f>E160*F160</f>
        <v>460</v>
      </c>
    </row>
    <row r="161" spans="1:10">
      <c r="B161" s="10"/>
      <c r="D161" s="7" t="s">
        <v>141</v>
      </c>
      <c r="E161" s="7">
        <v>500</v>
      </c>
      <c r="F161" s="7">
        <v>0.7</v>
      </c>
      <c r="G161" s="7">
        <f>E161*F161</f>
        <v>350</v>
      </c>
    </row>
    <row r="162" spans="1:10" s="4" customFormat="1">
      <c r="A162" s="12"/>
      <c r="B162" s="12"/>
      <c r="G162" s="4">
        <f>SUM(G158:G161)</f>
        <v>1730</v>
      </c>
      <c r="J162" s="13"/>
    </row>
    <row r="163" spans="1:10">
      <c r="A163" s="10">
        <v>41144</v>
      </c>
      <c r="B163" s="10">
        <v>41149</v>
      </c>
      <c r="C163" s="7" t="s">
        <v>47</v>
      </c>
      <c r="D163" s="1" t="s">
        <v>24</v>
      </c>
      <c r="E163" s="1">
        <v>7000</v>
      </c>
      <c r="F163" s="7">
        <v>0.38</v>
      </c>
      <c r="G163" s="7">
        <f>E163*F163</f>
        <v>2660</v>
      </c>
      <c r="H163" s="7">
        <v>45</v>
      </c>
      <c r="I163" s="7" t="s">
        <v>53</v>
      </c>
    </row>
    <row r="164" spans="1:10">
      <c r="A164" s="10"/>
      <c r="B164" s="10"/>
      <c r="D164" s="1" t="s">
        <v>32</v>
      </c>
      <c r="E164" s="1">
        <v>2300</v>
      </c>
      <c r="F164" s="7">
        <v>0.28999999999999998</v>
      </c>
      <c r="G164" s="7">
        <f t="shared" ref="G164:G172" si="4">E164*F164</f>
        <v>667</v>
      </c>
    </row>
    <row r="165" spans="1:10">
      <c r="A165" s="10"/>
      <c r="B165" s="10"/>
      <c r="D165" s="1" t="s">
        <v>48</v>
      </c>
      <c r="E165" s="1">
        <v>500</v>
      </c>
      <c r="F165" s="7">
        <v>0.28999999999999998</v>
      </c>
      <c r="G165" s="7">
        <f t="shared" si="4"/>
        <v>145</v>
      </c>
    </row>
    <row r="166" spans="1:10">
      <c r="A166" s="10"/>
      <c r="B166" s="10"/>
      <c r="D166" s="1" t="s">
        <v>49</v>
      </c>
      <c r="E166" s="1">
        <v>1000</v>
      </c>
      <c r="F166" s="7">
        <v>1.5</v>
      </c>
      <c r="G166" s="7">
        <f t="shared" si="4"/>
        <v>1500</v>
      </c>
    </row>
    <row r="167" spans="1:10">
      <c r="A167" s="10"/>
      <c r="B167" s="10"/>
      <c r="D167" s="1" t="s">
        <v>50</v>
      </c>
      <c r="E167" s="1">
        <v>1000</v>
      </c>
      <c r="F167" s="7">
        <v>0.28999999999999998</v>
      </c>
      <c r="G167" s="7">
        <f t="shared" si="4"/>
        <v>290</v>
      </c>
    </row>
    <row r="168" spans="1:10">
      <c r="A168" s="10"/>
      <c r="B168" s="10"/>
      <c r="D168" s="1" t="s">
        <v>51</v>
      </c>
      <c r="E168" s="1">
        <v>600</v>
      </c>
      <c r="F168" s="7">
        <v>0.18</v>
      </c>
      <c r="G168" s="7">
        <f t="shared" si="4"/>
        <v>108</v>
      </c>
    </row>
    <row r="169" spans="1:10">
      <c r="A169" s="10"/>
      <c r="B169" s="10"/>
      <c r="D169" s="1" t="s">
        <v>150</v>
      </c>
      <c r="E169" s="1">
        <v>400</v>
      </c>
      <c r="F169" s="7">
        <v>0.6</v>
      </c>
      <c r="G169" s="7">
        <f t="shared" si="4"/>
        <v>240</v>
      </c>
    </row>
    <row r="170" spans="1:10">
      <c r="A170" s="10"/>
      <c r="B170" s="10"/>
      <c r="D170" s="1" t="s">
        <v>148</v>
      </c>
      <c r="E170" s="1">
        <v>400</v>
      </c>
      <c r="F170" s="7">
        <v>0.6</v>
      </c>
      <c r="G170" s="7">
        <f t="shared" si="4"/>
        <v>240</v>
      </c>
    </row>
    <row r="171" spans="1:10">
      <c r="A171" s="10"/>
      <c r="B171" s="10"/>
      <c r="D171" s="1" t="s">
        <v>149</v>
      </c>
      <c r="E171" s="1">
        <v>400</v>
      </c>
      <c r="F171" s="7">
        <v>2</v>
      </c>
      <c r="G171" s="7">
        <f t="shared" si="4"/>
        <v>800</v>
      </c>
    </row>
    <row r="172" spans="1:10">
      <c r="A172" s="10"/>
      <c r="B172" s="10"/>
      <c r="D172" s="1" t="s">
        <v>153</v>
      </c>
      <c r="E172" s="1">
        <v>23000</v>
      </c>
      <c r="F172" s="7">
        <v>-5.0000000000000001E-3</v>
      </c>
      <c r="G172" s="7">
        <f t="shared" si="4"/>
        <v>-115</v>
      </c>
    </row>
    <row r="173" spans="1:10" s="4" customFormat="1">
      <c r="A173" s="12"/>
      <c r="B173" s="12"/>
      <c r="G173" s="4">
        <f>SUM(G163:G172)</f>
        <v>6535</v>
      </c>
      <c r="J173" s="13" t="s">
        <v>154</v>
      </c>
    </row>
    <row r="174" spans="1:10">
      <c r="A174" s="10">
        <v>41145</v>
      </c>
      <c r="B174" s="10">
        <v>41152</v>
      </c>
      <c r="C174" s="7" t="s">
        <v>17</v>
      </c>
      <c r="D174" s="1" t="s">
        <v>875</v>
      </c>
      <c r="E174" s="1">
        <v>16</v>
      </c>
      <c r="F174" s="7">
        <v>18</v>
      </c>
      <c r="G174" s="7">
        <f>E174*F174</f>
        <v>288</v>
      </c>
      <c r="H174" s="7">
        <v>12</v>
      </c>
      <c r="I174" s="7" t="s">
        <v>40</v>
      </c>
      <c r="J174" s="7" t="s">
        <v>162</v>
      </c>
    </row>
    <row r="175" spans="1:10">
      <c r="A175" s="10"/>
      <c r="B175" s="10"/>
      <c r="D175" s="1" t="s">
        <v>876</v>
      </c>
      <c r="E175" s="1">
        <v>42</v>
      </c>
      <c r="F175" s="7">
        <v>1</v>
      </c>
      <c r="G175" s="7">
        <f>E175*F175</f>
        <v>42</v>
      </c>
    </row>
    <row r="176" spans="1:10">
      <c r="A176" s="10"/>
      <c r="B176" s="10"/>
      <c r="D176" s="1" t="s">
        <v>877</v>
      </c>
      <c r="E176" s="1">
        <v>30</v>
      </c>
      <c r="F176" s="7">
        <v>1</v>
      </c>
      <c r="G176" s="7">
        <f>E176*F176</f>
        <v>30</v>
      </c>
    </row>
    <row r="177" spans="1:10" s="4" customFormat="1">
      <c r="A177" s="12"/>
      <c r="B177" s="12"/>
      <c r="G177" s="4">
        <f>SUM(G174:G176)</f>
        <v>360</v>
      </c>
      <c r="J177" s="13"/>
    </row>
    <row r="178" spans="1:10">
      <c r="A178" s="10">
        <v>41146</v>
      </c>
      <c r="B178" s="10">
        <v>41151</v>
      </c>
      <c r="C178" s="7" t="s">
        <v>121</v>
      </c>
      <c r="D178" s="7" t="s">
        <v>179</v>
      </c>
      <c r="E178" s="7">
        <v>120</v>
      </c>
      <c r="F178" s="7">
        <v>67</v>
      </c>
      <c r="G178" s="7">
        <f>E178*F178</f>
        <v>8040</v>
      </c>
      <c r="I178" s="7" t="s">
        <v>181</v>
      </c>
    </row>
    <row r="179" spans="1:10" s="4" customFormat="1">
      <c r="A179" s="12"/>
      <c r="B179" s="12"/>
      <c r="J179" s="13" t="s">
        <v>180</v>
      </c>
    </row>
    <row r="180" spans="1:10">
      <c r="A180" s="10">
        <v>41192</v>
      </c>
      <c r="B180" s="10">
        <v>41193</v>
      </c>
      <c r="C180" s="7" t="s">
        <v>17</v>
      </c>
      <c r="D180" s="7" t="s">
        <v>155</v>
      </c>
      <c r="E180" s="7">
        <v>100</v>
      </c>
      <c r="F180" s="7">
        <v>0.35</v>
      </c>
      <c r="G180" s="7">
        <f>E180*F180</f>
        <v>35</v>
      </c>
      <c r="H180" s="7">
        <v>8</v>
      </c>
      <c r="I180" s="7" t="s">
        <v>40</v>
      </c>
    </row>
    <row r="181" spans="1:10" s="4" customFormat="1">
      <c r="A181" s="12"/>
      <c r="B181" s="12"/>
      <c r="J181" s="13"/>
    </row>
    <row r="182" spans="1:10">
      <c r="A182" s="10">
        <v>41192</v>
      </c>
      <c r="B182" s="10">
        <v>41193</v>
      </c>
      <c r="C182" s="7" t="s">
        <v>62</v>
      </c>
      <c r="D182" s="7" t="s">
        <v>63</v>
      </c>
      <c r="E182" s="7">
        <v>1000</v>
      </c>
      <c r="F182" s="7">
        <v>3.8</v>
      </c>
      <c r="G182" s="7">
        <f>E182*F182</f>
        <v>3800</v>
      </c>
      <c r="I182" s="7" t="s">
        <v>156</v>
      </c>
    </row>
    <row r="183" spans="1:10">
      <c r="A183" s="10"/>
      <c r="B183" s="10"/>
      <c r="D183" s="7" t="s">
        <v>64</v>
      </c>
      <c r="E183" s="7">
        <v>1000</v>
      </c>
      <c r="F183" s="7">
        <v>4.4000000000000004</v>
      </c>
      <c r="G183" s="7">
        <f>E183*F183</f>
        <v>4400</v>
      </c>
    </row>
    <row r="184" spans="1:10" s="4" customFormat="1">
      <c r="A184" s="12"/>
      <c r="B184" s="12"/>
      <c r="G184" s="4">
        <f>SUM(G182:G183)</f>
        <v>8200</v>
      </c>
      <c r="J184" s="13"/>
    </row>
    <row r="185" spans="1:10">
      <c r="A185" s="10">
        <v>41207</v>
      </c>
      <c r="B185" s="10">
        <v>41207</v>
      </c>
      <c r="C185" s="7" t="s">
        <v>55</v>
      </c>
      <c r="D185" s="7" t="s">
        <v>58</v>
      </c>
      <c r="E185" s="7">
        <v>1000</v>
      </c>
      <c r="F185" s="7">
        <v>2</v>
      </c>
      <c r="G185" s="7">
        <f>E185*F185</f>
        <v>2000</v>
      </c>
      <c r="I185" s="7" t="s">
        <v>157</v>
      </c>
    </row>
    <row r="186" spans="1:10" s="4" customFormat="1">
      <c r="A186" s="12"/>
      <c r="B186" s="12"/>
      <c r="J186" s="13" t="s">
        <v>158</v>
      </c>
    </row>
    <row r="187" spans="1:10">
      <c r="A187" s="10">
        <v>41271</v>
      </c>
      <c r="B187" s="10">
        <v>41278</v>
      </c>
      <c r="C187" s="7" t="s">
        <v>47</v>
      </c>
      <c r="D187" s="1" t="s">
        <v>24</v>
      </c>
      <c r="E187" s="1">
        <v>1000</v>
      </c>
      <c r="F187" s="7">
        <v>0.38</v>
      </c>
      <c r="G187" s="7">
        <f>E187*F187</f>
        <v>380</v>
      </c>
      <c r="I187" s="7" t="s">
        <v>53</v>
      </c>
    </row>
    <row r="188" spans="1:10">
      <c r="A188" s="10"/>
      <c r="B188" s="10"/>
      <c r="D188" s="1" t="s">
        <v>160</v>
      </c>
      <c r="E188" s="1">
        <v>500</v>
      </c>
      <c r="F188" s="7">
        <v>0.8</v>
      </c>
      <c r="G188" s="7">
        <f>E188*F188</f>
        <v>400</v>
      </c>
    </row>
    <row r="189" spans="1:10">
      <c r="A189" s="10"/>
      <c r="B189" s="10"/>
      <c r="D189" s="1" t="s">
        <v>51</v>
      </c>
      <c r="E189" s="1">
        <v>2000</v>
      </c>
      <c r="F189" s="7">
        <v>0.18</v>
      </c>
      <c r="G189" s="7">
        <f>E189*F189</f>
        <v>360</v>
      </c>
    </row>
    <row r="190" spans="1:10">
      <c r="A190" s="10"/>
      <c r="B190" s="10"/>
      <c r="D190" s="1" t="s">
        <v>937</v>
      </c>
      <c r="E190" s="1">
        <v>-90600</v>
      </c>
      <c r="F190" s="7">
        <v>5.0000000000000001E-3</v>
      </c>
      <c r="G190" s="7">
        <f>E190*F190</f>
        <v>-453</v>
      </c>
    </row>
    <row r="191" spans="1:10" s="4" customFormat="1">
      <c r="A191" s="12"/>
      <c r="B191" s="12"/>
      <c r="G191" s="4">
        <f>SUM(G187:G190)</f>
        <v>687</v>
      </c>
      <c r="J191" s="13" t="s">
        <v>161</v>
      </c>
    </row>
    <row r="192" spans="1:10">
      <c r="A192" s="10">
        <v>41281</v>
      </c>
      <c r="B192" s="10">
        <v>41283</v>
      </c>
      <c r="C192" s="7" t="s">
        <v>163</v>
      </c>
      <c r="D192" s="16" t="s">
        <v>164</v>
      </c>
      <c r="E192" s="17">
        <v>30</v>
      </c>
      <c r="F192" s="7">
        <v>40</v>
      </c>
      <c r="G192" s="18">
        <f>E192*F192</f>
        <v>1200</v>
      </c>
      <c r="H192" s="7">
        <v>25</v>
      </c>
      <c r="I192" s="7" t="s">
        <v>168</v>
      </c>
    </row>
    <row r="193" spans="1:10">
      <c r="A193" s="10"/>
      <c r="B193" s="10"/>
      <c r="D193" s="16" t="s">
        <v>165</v>
      </c>
      <c r="E193" s="17">
        <v>10</v>
      </c>
      <c r="F193" s="7">
        <v>115</v>
      </c>
      <c r="G193" s="18">
        <f>E193*F193</f>
        <v>1150</v>
      </c>
    </row>
    <row r="194" spans="1:10">
      <c r="A194" s="10"/>
      <c r="B194" s="10"/>
      <c r="D194" s="16" t="s">
        <v>166</v>
      </c>
      <c r="E194" s="17">
        <v>10</v>
      </c>
      <c r="F194" s="7">
        <v>40</v>
      </c>
      <c r="G194" s="18">
        <f>E194*F194</f>
        <v>400</v>
      </c>
    </row>
    <row r="195" spans="1:10">
      <c r="A195" s="10"/>
      <c r="B195" s="10"/>
      <c r="D195" s="16" t="s">
        <v>167</v>
      </c>
      <c r="E195" s="17">
        <v>10</v>
      </c>
      <c r="F195" s="7">
        <v>140</v>
      </c>
      <c r="G195" s="18">
        <f>E195*F195</f>
        <v>1400</v>
      </c>
    </row>
    <row r="196" spans="1:10" s="4" customFormat="1">
      <c r="A196" s="12"/>
      <c r="B196" s="12"/>
      <c r="G196" s="4">
        <f>SUM(G192:G195)</f>
        <v>4150</v>
      </c>
      <c r="J196" s="13" t="s">
        <v>169</v>
      </c>
    </row>
    <row r="197" spans="1:10">
      <c r="A197" s="10">
        <v>41283</v>
      </c>
      <c r="B197" s="10">
        <v>41284</v>
      </c>
      <c r="C197" s="7" t="s">
        <v>17</v>
      </c>
      <c r="D197" s="7" t="s">
        <v>170</v>
      </c>
      <c r="E197" s="7">
        <v>18</v>
      </c>
      <c r="F197" s="7">
        <v>110</v>
      </c>
      <c r="G197" s="7">
        <f>E197*F197</f>
        <v>1980</v>
      </c>
      <c r="H197" s="7">
        <v>66</v>
      </c>
      <c r="I197" s="7" t="s">
        <v>172</v>
      </c>
    </row>
    <row r="198" spans="1:10" s="4" customFormat="1">
      <c r="A198" s="12"/>
      <c r="B198" s="12"/>
      <c r="J198" s="13" t="s">
        <v>171</v>
      </c>
    </row>
    <row r="199" spans="1:10">
      <c r="A199" s="10">
        <v>41286</v>
      </c>
      <c r="B199" s="10">
        <v>41286</v>
      </c>
      <c r="C199" s="1" t="s">
        <v>262</v>
      </c>
      <c r="D199" s="7" t="s">
        <v>264</v>
      </c>
      <c r="E199" s="1">
        <v>500</v>
      </c>
      <c r="F199" s="7">
        <v>97.281000000000006</v>
      </c>
      <c r="G199" s="7">
        <f>E199*F199</f>
        <v>48640.5</v>
      </c>
    </row>
    <row r="200" spans="1:10">
      <c r="A200" s="10"/>
      <c r="B200" s="10"/>
      <c r="D200" s="7" t="s">
        <v>265</v>
      </c>
      <c r="E200" s="7">
        <v>300</v>
      </c>
      <c r="F200" s="7">
        <v>40.659999999999997</v>
      </c>
      <c r="G200" s="7">
        <f>E200*F200</f>
        <v>12197.999999999998</v>
      </c>
    </row>
    <row r="201" spans="1:10">
      <c r="A201" s="10"/>
      <c r="B201" s="10"/>
      <c r="D201" s="1" t="s">
        <v>266</v>
      </c>
      <c r="E201" s="7">
        <v>250</v>
      </c>
      <c r="F201" s="7">
        <v>88.29</v>
      </c>
      <c r="G201" s="7">
        <f>E201*F201</f>
        <v>22072.5</v>
      </c>
    </row>
    <row r="202" spans="1:10">
      <c r="A202" s="10"/>
      <c r="B202" s="10"/>
      <c r="D202" s="1" t="s">
        <v>941</v>
      </c>
      <c r="E202" s="7">
        <v>150</v>
      </c>
      <c r="F202" s="7">
        <v>47.484999999999999</v>
      </c>
      <c r="G202" s="7">
        <f>E202*F202</f>
        <v>7122.75</v>
      </c>
    </row>
    <row r="203" spans="1:10">
      <c r="A203" s="10"/>
      <c r="B203" s="10"/>
      <c r="D203" s="7" t="s">
        <v>159</v>
      </c>
      <c r="E203" s="7">
        <v>20</v>
      </c>
      <c r="F203" s="7">
        <v>0.8</v>
      </c>
      <c r="G203" s="7">
        <f>E203*F203</f>
        <v>16</v>
      </c>
    </row>
    <row r="204" spans="1:10">
      <c r="A204" s="10"/>
      <c r="B204" s="10"/>
      <c r="D204" s="7" t="s">
        <v>267</v>
      </c>
      <c r="G204" s="7">
        <v>14407.96</v>
      </c>
    </row>
    <row r="205" spans="1:10">
      <c r="A205" s="10"/>
      <c r="B205" s="10"/>
      <c r="D205" s="7" t="s">
        <v>268</v>
      </c>
      <c r="G205" s="7">
        <v>-8499.9</v>
      </c>
      <c r="J205" s="7" t="s">
        <v>269</v>
      </c>
    </row>
    <row r="206" spans="1:10" s="4" customFormat="1">
      <c r="A206" s="12"/>
      <c r="B206" s="12"/>
      <c r="G206" s="4">
        <f>SUM(G199:G205)</f>
        <v>95957.81</v>
      </c>
      <c r="J206" s="13" t="s">
        <v>270</v>
      </c>
    </row>
    <row r="207" spans="1:10">
      <c r="A207" s="10">
        <v>41371</v>
      </c>
      <c r="B207" s="10"/>
      <c r="C207" s="7" t="s">
        <v>62</v>
      </c>
      <c r="D207" s="7" t="s">
        <v>200</v>
      </c>
      <c r="E207" s="7">
        <v>60</v>
      </c>
      <c r="F207" s="7">
        <v>20</v>
      </c>
      <c r="G207" s="7">
        <f>E207*F207</f>
        <v>1200</v>
      </c>
      <c r="I207" s="7" t="s">
        <v>156</v>
      </c>
    </row>
    <row r="208" spans="1:10">
      <c r="A208" s="10"/>
      <c r="B208" s="10"/>
      <c r="D208" s="7" t="s">
        <v>201</v>
      </c>
      <c r="E208" s="7">
        <v>30</v>
      </c>
      <c r="F208" s="7">
        <v>16</v>
      </c>
      <c r="G208" s="7">
        <f>E208*F208</f>
        <v>480</v>
      </c>
    </row>
    <row r="209" spans="1:10" s="4" customFormat="1">
      <c r="A209" s="12"/>
      <c r="B209" s="12"/>
      <c r="G209" s="4">
        <f>SUM(G207:G208)</f>
        <v>1680</v>
      </c>
      <c r="J209" s="13" t="s">
        <v>202</v>
      </c>
    </row>
    <row r="210" spans="1:10">
      <c r="A210" s="10">
        <v>41393</v>
      </c>
      <c r="B210" s="10">
        <v>41393</v>
      </c>
      <c r="C210" s="7" t="s">
        <v>107</v>
      </c>
      <c r="D210" s="7" t="s">
        <v>173</v>
      </c>
      <c r="E210" s="7">
        <v>100</v>
      </c>
      <c r="F210" s="7">
        <v>6</v>
      </c>
      <c r="G210" s="7">
        <f>E210*F210</f>
        <v>600</v>
      </c>
      <c r="H210" s="7">
        <v>15</v>
      </c>
      <c r="I210" s="7" t="s">
        <v>174</v>
      </c>
    </row>
    <row r="211" spans="1:10" s="4" customFormat="1">
      <c r="A211" s="12"/>
      <c r="B211" s="12"/>
      <c r="J211" s="13"/>
    </row>
    <row r="212" spans="1:10">
      <c r="A212" s="10">
        <v>41395</v>
      </c>
      <c r="B212" s="10">
        <v>41464</v>
      </c>
      <c r="C212" s="1" t="s">
        <v>209</v>
      </c>
      <c r="D212" s="7" t="s">
        <v>210</v>
      </c>
      <c r="E212" s="7">
        <v>250</v>
      </c>
      <c r="F212" s="7">
        <v>15</v>
      </c>
      <c r="G212" s="7">
        <f>E212*F212</f>
        <v>3750</v>
      </c>
      <c r="I212" s="7" t="s">
        <v>213</v>
      </c>
    </row>
    <row r="213" spans="1:10">
      <c r="A213" s="10"/>
      <c r="B213" s="10"/>
      <c r="D213" s="7" t="s">
        <v>211</v>
      </c>
      <c r="E213" s="1">
        <v>250</v>
      </c>
      <c r="F213" s="7">
        <v>15</v>
      </c>
      <c r="G213" s="7">
        <f>E213*F213</f>
        <v>3750</v>
      </c>
    </row>
    <row r="214" spans="1:10" s="4" customFormat="1">
      <c r="A214" s="12"/>
      <c r="B214" s="12"/>
      <c r="G214" s="4">
        <f>SUM(G212:G213)</f>
        <v>7500</v>
      </c>
      <c r="J214" s="13" t="s">
        <v>212</v>
      </c>
    </row>
    <row r="215" spans="1:10">
      <c r="A215" s="10">
        <v>41442</v>
      </c>
      <c r="B215" s="10">
        <v>41444</v>
      </c>
      <c r="C215" s="7" t="s">
        <v>81</v>
      </c>
      <c r="D215" s="1" t="s">
        <v>183</v>
      </c>
      <c r="E215" s="1">
        <v>1000</v>
      </c>
      <c r="F215" s="7">
        <v>1.5</v>
      </c>
      <c r="G215" s="7">
        <f>E215*F215</f>
        <v>1500</v>
      </c>
      <c r="H215" s="7">
        <v>30</v>
      </c>
      <c r="I215" s="7" t="s">
        <v>84</v>
      </c>
      <c r="J215" s="7" t="s">
        <v>85</v>
      </c>
    </row>
    <row r="216" spans="1:10">
      <c r="A216" s="10"/>
      <c r="B216" s="10"/>
      <c r="D216" s="1" t="s">
        <v>184</v>
      </c>
      <c r="E216" s="1">
        <v>200</v>
      </c>
      <c r="F216" s="7">
        <v>1.5</v>
      </c>
      <c r="G216" s="7">
        <f>E216*F216</f>
        <v>300</v>
      </c>
    </row>
    <row r="217" spans="1:10">
      <c r="A217" s="10"/>
      <c r="B217" s="10"/>
      <c r="D217" s="1" t="s">
        <v>185</v>
      </c>
      <c r="E217" s="1">
        <v>200</v>
      </c>
      <c r="F217" s="7">
        <v>1</v>
      </c>
      <c r="G217" s="7">
        <f>E217*F217</f>
        <v>200</v>
      </c>
    </row>
    <row r="218" spans="1:10" s="4" customFormat="1">
      <c r="A218" s="12"/>
      <c r="B218" s="12"/>
      <c r="G218" s="4">
        <f>SUM(G215:G217)</f>
        <v>2000</v>
      </c>
      <c r="J218" s="13"/>
    </row>
    <row r="219" spans="1:10">
      <c r="A219" s="10">
        <v>41442</v>
      </c>
      <c r="B219" s="10"/>
      <c r="C219" s="7" t="s">
        <v>47</v>
      </c>
      <c r="D219" s="1" t="s">
        <v>24</v>
      </c>
      <c r="E219" s="1">
        <v>3000</v>
      </c>
      <c r="F219" s="7">
        <v>0.32</v>
      </c>
      <c r="G219" s="7">
        <f>E219*F219</f>
        <v>960</v>
      </c>
      <c r="I219" s="7" t="s">
        <v>244</v>
      </c>
    </row>
    <row r="220" spans="1:10">
      <c r="A220" s="10"/>
      <c r="B220" s="10"/>
      <c r="D220" s="1" t="s">
        <v>186</v>
      </c>
      <c r="E220" s="1">
        <v>1000</v>
      </c>
      <c r="F220" s="7">
        <v>0.47</v>
      </c>
      <c r="G220" s="7">
        <f>E220*F220</f>
        <v>470</v>
      </c>
    </row>
    <row r="221" spans="1:10">
      <c r="A221" s="10"/>
      <c r="B221" s="10"/>
      <c r="D221" s="1" t="s">
        <v>187</v>
      </c>
      <c r="E221" s="1">
        <v>3000</v>
      </c>
      <c r="F221" s="7">
        <v>0.9</v>
      </c>
      <c r="G221" s="7">
        <f>E221*F221</f>
        <v>2700</v>
      </c>
    </row>
    <row r="222" spans="1:10">
      <c r="A222" s="10"/>
      <c r="B222" s="10"/>
      <c r="D222" s="1" t="s">
        <v>51</v>
      </c>
      <c r="E222" s="1">
        <v>3000</v>
      </c>
      <c r="F222" s="7">
        <v>0.16</v>
      </c>
      <c r="G222" s="7">
        <f>E222*F222</f>
        <v>480</v>
      </c>
    </row>
    <row r="223" spans="1:10">
      <c r="A223" s="10"/>
      <c r="B223" s="10"/>
      <c r="D223" s="1" t="s">
        <v>938</v>
      </c>
      <c r="E223" s="7">
        <f>-E219*2-E220*3-E221*1</f>
        <v>-12000</v>
      </c>
      <c r="F223" s="7">
        <v>5.0000000000000001E-3</v>
      </c>
      <c r="G223" s="7">
        <f>E223*F223</f>
        <v>-60</v>
      </c>
    </row>
    <row r="224" spans="1:10" s="4" customFormat="1">
      <c r="A224" s="12"/>
      <c r="B224" s="12"/>
      <c r="G224" s="4">
        <f>SUM(G219:G223)</f>
        <v>4550</v>
      </c>
      <c r="J224" s="13" t="s">
        <v>188</v>
      </c>
    </row>
    <row r="225" spans="1:10">
      <c r="A225" s="10">
        <v>41446</v>
      </c>
      <c r="B225" s="10">
        <v>41446</v>
      </c>
      <c r="C225" s="7" t="s">
        <v>107</v>
      </c>
      <c r="D225" s="7" t="s">
        <v>192</v>
      </c>
      <c r="E225" s="7">
        <v>200</v>
      </c>
      <c r="F225" s="7">
        <v>3</v>
      </c>
      <c r="G225" s="7">
        <f>E225*F225</f>
        <v>600</v>
      </c>
      <c r="H225" s="7">
        <v>12</v>
      </c>
      <c r="I225" s="7" t="s">
        <v>197</v>
      </c>
    </row>
    <row r="226" spans="1:10">
      <c r="A226" s="10">
        <v>41447</v>
      </c>
      <c r="B226" s="10"/>
      <c r="D226" s="7" t="s">
        <v>195</v>
      </c>
      <c r="E226" s="7">
        <v>-200</v>
      </c>
      <c r="F226" s="7">
        <v>3</v>
      </c>
      <c r="G226" s="7">
        <f>E226*F226</f>
        <v>-600</v>
      </c>
      <c r="H226" s="7">
        <v>15</v>
      </c>
      <c r="I226" s="7" t="s">
        <v>196</v>
      </c>
    </row>
    <row r="227" spans="1:10">
      <c r="A227" s="10">
        <v>41449</v>
      </c>
      <c r="B227" s="10">
        <v>41450</v>
      </c>
      <c r="D227" s="7" t="s">
        <v>173</v>
      </c>
      <c r="E227" s="7">
        <v>100</v>
      </c>
      <c r="F227" s="7">
        <v>6</v>
      </c>
      <c r="G227" s="7">
        <f>E227*F227</f>
        <v>600</v>
      </c>
      <c r="H227" s="7">
        <v>18</v>
      </c>
      <c r="I227" s="7" t="s">
        <v>198</v>
      </c>
    </row>
    <row r="228" spans="1:10" s="4" customFormat="1">
      <c r="A228" s="12"/>
      <c r="B228" s="12"/>
      <c r="G228" s="4">
        <f>SUM(G225:G227)</f>
        <v>600</v>
      </c>
      <c r="J228" s="13"/>
    </row>
    <row r="229" spans="1:10">
      <c r="A229" s="10">
        <v>41446</v>
      </c>
      <c r="B229" s="10">
        <v>41447</v>
      </c>
      <c r="C229" s="7" t="s">
        <v>190</v>
      </c>
      <c r="D229" s="7" t="s">
        <v>191</v>
      </c>
      <c r="E229" s="7">
        <v>10</v>
      </c>
      <c r="F229" s="7">
        <v>22</v>
      </c>
      <c r="G229" s="7">
        <f>E229*F229</f>
        <v>220</v>
      </c>
      <c r="H229" s="7">
        <v>8</v>
      </c>
      <c r="I229" s="7" t="s">
        <v>194</v>
      </c>
    </row>
    <row r="230" spans="1:10" s="4" customFormat="1">
      <c r="A230" s="12"/>
      <c r="B230" s="12"/>
      <c r="J230" s="13"/>
    </row>
    <row r="231" spans="1:10">
      <c r="A231" s="10">
        <v>41446</v>
      </c>
      <c r="B231" s="10">
        <v>41452</v>
      </c>
      <c r="C231" s="7" t="s">
        <v>189</v>
      </c>
      <c r="D231" s="7" t="s">
        <v>399</v>
      </c>
      <c r="E231" s="7">
        <v>3000</v>
      </c>
      <c r="F231" s="7">
        <v>0.3</v>
      </c>
      <c r="G231" s="7">
        <f>E231*F231</f>
        <v>900</v>
      </c>
      <c r="H231" s="7">
        <v>133</v>
      </c>
      <c r="I231" s="7" t="s">
        <v>199</v>
      </c>
    </row>
    <row r="232" spans="1:10" s="4" customFormat="1">
      <c r="A232" s="12"/>
      <c r="B232" s="12"/>
      <c r="J232" s="13" t="s">
        <v>193</v>
      </c>
    </row>
    <row r="233" spans="1:10">
      <c r="A233" s="10">
        <v>41460</v>
      </c>
      <c r="B233" s="10">
        <v>41468</v>
      </c>
      <c r="C233" s="1" t="s">
        <v>93</v>
      </c>
      <c r="D233" s="7" t="s">
        <v>92</v>
      </c>
      <c r="E233" s="7">
        <v>20</v>
      </c>
      <c r="F233" s="7">
        <v>330</v>
      </c>
      <c r="G233" s="7">
        <f>E233*F233</f>
        <v>6600</v>
      </c>
      <c r="H233" s="7">
        <v>55</v>
      </c>
      <c r="I233" s="7" t="s">
        <v>37</v>
      </c>
    </row>
    <row r="234" spans="1:10" s="4" customFormat="1">
      <c r="A234" s="12"/>
      <c r="B234" s="12"/>
      <c r="G234" s="4">
        <f>SUM(G233:G233)</f>
        <v>6600</v>
      </c>
      <c r="J234" s="13" t="s">
        <v>239</v>
      </c>
    </row>
    <row r="235" spans="1:10">
      <c r="A235" s="10">
        <v>41460</v>
      </c>
      <c r="B235" s="10">
        <v>41461</v>
      </c>
      <c r="C235" s="7" t="s">
        <v>17</v>
      </c>
      <c r="D235" s="1" t="s">
        <v>875</v>
      </c>
      <c r="E235" s="1">
        <v>10</v>
      </c>
      <c r="F235" s="7">
        <v>18</v>
      </c>
      <c r="G235" s="7">
        <f t="shared" ref="G235:G240" si="5">E235*F235</f>
        <v>180</v>
      </c>
      <c r="H235" s="7">
        <v>12</v>
      </c>
      <c r="I235" s="7" t="s">
        <v>61</v>
      </c>
    </row>
    <row r="236" spans="1:10">
      <c r="A236" s="10"/>
      <c r="B236" s="10"/>
      <c r="D236" s="1" t="s">
        <v>876</v>
      </c>
      <c r="E236" s="1">
        <v>24</v>
      </c>
      <c r="F236" s="7">
        <v>1.5</v>
      </c>
      <c r="G236" s="7">
        <f t="shared" si="5"/>
        <v>36</v>
      </c>
    </row>
    <row r="237" spans="1:10">
      <c r="A237" s="10"/>
      <c r="B237" s="10"/>
      <c r="D237" s="1" t="s">
        <v>877</v>
      </c>
      <c r="E237" s="1">
        <v>28</v>
      </c>
      <c r="F237" s="7">
        <v>1.5</v>
      </c>
      <c r="G237" s="7">
        <f t="shared" si="5"/>
        <v>42</v>
      </c>
    </row>
    <row r="238" spans="1:10">
      <c r="A238" s="10"/>
      <c r="B238" s="10"/>
      <c r="D238" s="1" t="s">
        <v>203</v>
      </c>
      <c r="E238" s="1">
        <v>100</v>
      </c>
      <c r="F238" s="7">
        <v>8</v>
      </c>
      <c r="G238" s="7">
        <f t="shared" si="5"/>
        <v>800</v>
      </c>
    </row>
    <row r="239" spans="1:10">
      <c r="A239" s="10">
        <v>41463</v>
      </c>
      <c r="B239" s="10">
        <v>41464</v>
      </c>
      <c r="D239" s="1" t="s">
        <v>206</v>
      </c>
      <c r="E239" s="1">
        <v>-100</v>
      </c>
      <c r="F239" s="7">
        <v>8</v>
      </c>
      <c r="G239" s="7">
        <f t="shared" si="5"/>
        <v>-800</v>
      </c>
      <c r="H239" s="7">
        <v>0</v>
      </c>
      <c r="I239" s="7" t="s">
        <v>208</v>
      </c>
    </row>
    <row r="240" spans="1:10">
      <c r="A240" s="10">
        <v>41464</v>
      </c>
      <c r="B240" s="10">
        <v>41465</v>
      </c>
      <c r="D240" s="1" t="s">
        <v>203</v>
      </c>
      <c r="E240" s="1">
        <v>100</v>
      </c>
      <c r="F240" s="7">
        <v>8</v>
      </c>
      <c r="G240" s="7">
        <f t="shared" si="5"/>
        <v>800</v>
      </c>
      <c r="H240" s="7">
        <v>0</v>
      </c>
      <c r="I240" s="7" t="s">
        <v>208</v>
      </c>
    </row>
    <row r="241" spans="1:10" s="4" customFormat="1">
      <c r="A241" s="12"/>
      <c r="B241" s="12"/>
      <c r="G241" s="4">
        <f>SUM(G235:G240)</f>
        <v>1058</v>
      </c>
      <c r="J241" s="13"/>
    </row>
    <row r="242" spans="1:10">
      <c r="A242" s="10">
        <v>41460</v>
      </c>
      <c r="B242" s="10">
        <v>41461</v>
      </c>
      <c r="C242" s="1" t="s">
        <v>178</v>
      </c>
      <c r="D242" s="7" t="s">
        <v>204</v>
      </c>
      <c r="E242" s="7">
        <v>50</v>
      </c>
      <c r="F242" s="7">
        <v>14</v>
      </c>
      <c r="G242" s="7">
        <f>E242*F242</f>
        <v>700</v>
      </c>
      <c r="H242" s="7">
        <v>14</v>
      </c>
      <c r="I242" s="7" t="s">
        <v>205</v>
      </c>
    </row>
    <row r="243" spans="1:10" s="4" customFormat="1">
      <c r="A243" s="12"/>
      <c r="B243" s="12"/>
      <c r="J243" s="13"/>
    </row>
    <row r="244" spans="1:10">
      <c r="A244" s="10">
        <v>41461</v>
      </c>
      <c r="B244" s="10">
        <v>41465</v>
      </c>
      <c r="C244" s="7" t="s">
        <v>163</v>
      </c>
      <c r="D244" s="16" t="s">
        <v>165</v>
      </c>
      <c r="E244" s="17">
        <v>30</v>
      </c>
      <c r="F244" s="7">
        <v>115</v>
      </c>
      <c r="G244" s="18">
        <f>E244*F244</f>
        <v>3450</v>
      </c>
      <c r="H244" s="7">
        <v>45</v>
      </c>
      <c r="I244" s="7" t="s">
        <v>208</v>
      </c>
    </row>
    <row r="245" spans="1:10" s="4" customFormat="1">
      <c r="A245" s="12"/>
      <c r="B245" s="12"/>
      <c r="J245" s="13" t="s">
        <v>207</v>
      </c>
    </row>
    <row r="246" spans="1:10">
      <c r="A246" s="10">
        <v>41475</v>
      </c>
      <c r="B246" s="10">
        <v>41475</v>
      </c>
      <c r="C246" s="1" t="s">
        <v>263</v>
      </c>
      <c r="D246" s="7" t="s">
        <v>216</v>
      </c>
      <c r="E246" s="15">
        <v>400</v>
      </c>
      <c r="F246" s="7">
        <v>0.3</v>
      </c>
      <c r="G246" s="7">
        <f t="shared" ref="G246:G253" si="6">E246*F246</f>
        <v>120</v>
      </c>
      <c r="I246" s="7" t="s">
        <v>213</v>
      </c>
    </row>
    <row r="247" spans="1:10">
      <c r="A247" s="10"/>
      <c r="B247" s="10"/>
      <c r="D247" s="7" t="s">
        <v>182</v>
      </c>
      <c r="E247" s="7">
        <v>50</v>
      </c>
      <c r="F247" s="7">
        <v>2.4</v>
      </c>
      <c r="G247" s="7">
        <f t="shared" si="6"/>
        <v>120</v>
      </c>
    </row>
    <row r="248" spans="1:10">
      <c r="A248" s="10"/>
      <c r="B248" s="10"/>
      <c r="D248" s="1" t="s">
        <v>88</v>
      </c>
      <c r="E248" s="7">
        <v>50</v>
      </c>
      <c r="F248" s="7">
        <v>1.6</v>
      </c>
      <c r="G248" s="7">
        <f t="shared" si="6"/>
        <v>80</v>
      </c>
    </row>
    <row r="249" spans="1:10">
      <c r="A249" s="10"/>
      <c r="B249" s="10"/>
      <c r="D249" s="1" t="s">
        <v>215</v>
      </c>
      <c r="E249" s="7">
        <v>50</v>
      </c>
      <c r="F249" s="7">
        <v>3.36</v>
      </c>
      <c r="G249" s="7">
        <f t="shared" si="6"/>
        <v>168</v>
      </c>
    </row>
    <row r="250" spans="1:10">
      <c r="A250" s="10"/>
      <c r="B250" s="10"/>
      <c r="D250" s="7" t="s">
        <v>214</v>
      </c>
      <c r="E250" s="7">
        <v>50</v>
      </c>
      <c r="F250" s="7">
        <v>0.22</v>
      </c>
      <c r="G250" s="7">
        <f t="shared" si="6"/>
        <v>11</v>
      </c>
    </row>
    <row r="251" spans="1:10">
      <c r="A251" s="10"/>
      <c r="B251" s="10"/>
      <c r="D251" s="7" t="s">
        <v>177</v>
      </c>
      <c r="E251" s="7">
        <v>600</v>
      </c>
      <c r="F251" s="7">
        <v>112</v>
      </c>
      <c r="G251" s="7">
        <f t="shared" si="6"/>
        <v>67200</v>
      </c>
      <c r="I251" s="7" t="s">
        <v>217</v>
      </c>
    </row>
    <row r="252" spans="1:10">
      <c r="A252" s="10"/>
      <c r="B252" s="10"/>
      <c r="D252" s="7" t="s">
        <v>5</v>
      </c>
      <c r="E252" s="7">
        <v>600</v>
      </c>
      <c r="F252" s="7">
        <v>46.5</v>
      </c>
      <c r="G252" s="7">
        <f t="shared" si="6"/>
        <v>27900</v>
      </c>
      <c r="I252" s="7" t="s">
        <v>217</v>
      </c>
    </row>
    <row r="253" spans="1:10">
      <c r="A253" s="10"/>
      <c r="B253" s="10"/>
      <c r="D253" s="7" t="s">
        <v>218</v>
      </c>
      <c r="E253" s="7">
        <v>4</v>
      </c>
      <c r="F253" s="7">
        <v>200</v>
      </c>
      <c r="G253" s="7">
        <f t="shared" si="6"/>
        <v>800</v>
      </c>
    </row>
    <row r="254" spans="1:10">
      <c r="A254" s="10"/>
      <c r="B254" s="10"/>
      <c r="D254" s="29" t="s">
        <v>219</v>
      </c>
      <c r="E254" s="29">
        <v>4</v>
      </c>
      <c r="F254" s="7">
        <v>-350</v>
      </c>
      <c r="G254" s="29">
        <v>0</v>
      </c>
      <c r="H254" s="29"/>
      <c r="I254" s="29"/>
      <c r="J254" s="29" t="s">
        <v>220</v>
      </c>
    </row>
    <row r="255" spans="1:10">
      <c r="A255" s="10"/>
      <c r="B255" s="10"/>
      <c r="D255" s="7" t="s">
        <v>906</v>
      </c>
      <c r="E255" s="7">
        <v>800</v>
      </c>
      <c r="F255" s="7">
        <v>-0.22</v>
      </c>
      <c r="G255" s="7">
        <f>E255*F255</f>
        <v>-176</v>
      </c>
    </row>
    <row r="256" spans="1:10">
      <c r="A256" s="10"/>
      <c r="B256" s="10"/>
      <c r="D256" s="7" t="s">
        <v>221</v>
      </c>
      <c r="E256" s="7">
        <v>8</v>
      </c>
      <c r="F256" s="7">
        <v>-350</v>
      </c>
      <c r="G256" s="7">
        <f>E256*F256</f>
        <v>-2800</v>
      </c>
    </row>
    <row r="257" spans="1:10">
      <c r="A257" s="10"/>
      <c r="B257" s="10"/>
      <c r="D257" s="7" t="s">
        <v>222</v>
      </c>
      <c r="G257" s="7">
        <v>-42</v>
      </c>
    </row>
    <row r="258" spans="1:10" s="4" customFormat="1">
      <c r="A258" s="12"/>
      <c r="B258" s="12"/>
      <c r="G258" s="4">
        <f>SUM(G246:G257)</f>
        <v>93381</v>
      </c>
      <c r="J258" s="13" t="s">
        <v>240</v>
      </c>
    </row>
    <row r="259" spans="1:10">
      <c r="A259" s="10">
        <v>41571</v>
      </c>
      <c r="B259" s="10">
        <v>41580</v>
      </c>
      <c r="C259" s="7" t="s">
        <v>11</v>
      </c>
      <c r="D259" s="7" t="s">
        <v>42</v>
      </c>
      <c r="E259" s="7">
        <v>40</v>
      </c>
      <c r="F259" s="7">
        <v>950</v>
      </c>
      <c r="G259" s="7">
        <f>E259*F259</f>
        <v>38000</v>
      </c>
      <c r="I259" s="7" t="s">
        <v>247</v>
      </c>
    </row>
    <row r="260" spans="1:10" s="4" customFormat="1">
      <c r="A260" s="12"/>
      <c r="B260" s="12"/>
      <c r="J260" s="13" t="s">
        <v>241</v>
      </c>
    </row>
    <row r="261" spans="1:10">
      <c r="A261" s="10">
        <v>41573</v>
      </c>
      <c r="B261" s="10">
        <v>41574</v>
      </c>
      <c r="C261" s="7" t="s">
        <v>17</v>
      </c>
      <c r="D261" s="1" t="s">
        <v>223</v>
      </c>
      <c r="E261" s="1">
        <v>1000</v>
      </c>
      <c r="F261" s="7">
        <v>0.28000000000000003</v>
      </c>
      <c r="G261" s="7">
        <f>E261*F261</f>
        <v>280</v>
      </c>
      <c r="H261" s="7">
        <f>16+10</f>
        <v>26</v>
      </c>
      <c r="I261" s="7" t="s">
        <v>61</v>
      </c>
    </row>
    <row r="262" spans="1:10">
      <c r="A262" s="10"/>
      <c r="B262" s="10"/>
      <c r="D262" s="1" t="s">
        <v>225</v>
      </c>
      <c r="E262" s="1">
        <v>5</v>
      </c>
      <c r="F262" s="7">
        <v>4</v>
      </c>
      <c r="G262" s="7">
        <f>E262*F262</f>
        <v>20</v>
      </c>
    </row>
    <row r="263" spans="1:10">
      <c r="A263" s="10"/>
      <c r="B263" s="10"/>
      <c r="D263" s="1" t="s">
        <v>224</v>
      </c>
      <c r="E263" s="1">
        <v>1</v>
      </c>
      <c r="F263" s="7">
        <v>100</v>
      </c>
      <c r="G263" s="7">
        <f>E263*F263</f>
        <v>100</v>
      </c>
    </row>
    <row r="264" spans="1:10" s="4" customFormat="1">
      <c r="A264" s="12"/>
      <c r="B264" s="12"/>
      <c r="G264" s="4">
        <f>SUM(G261:G263)</f>
        <v>400</v>
      </c>
      <c r="J264" s="13"/>
    </row>
    <row r="265" spans="1:10">
      <c r="A265" s="10">
        <v>41578</v>
      </c>
      <c r="B265" s="10">
        <v>41581</v>
      </c>
      <c r="C265" s="7" t="s">
        <v>47</v>
      </c>
      <c r="D265" s="1" t="s">
        <v>24</v>
      </c>
      <c r="E265" s="1">
        <v>6500</v>
      </c>
      <c r="F265" s="7">
        <v>0.3</v>
      </c>
      <c r="G265" s="7">
        <f>E265*F265</f>
        <v>1950</v>
      </c>
      <c r="I265" s="7" t="s">
        <v>245</v>
      </c>
    </row>
    <row r="266" spans="1:10">
      <c r="A266" s="10"/>
      <c r="B266" s="10"/>
      <c r="D266" s="1" t="s">
        <v>49</v>
      </c>
      <c r="E266" s="1">
        <v>1500</v>
      </c>
      <c r="F266" s="7">
        <v>1.5</v>
      </c>
      <c r="G266" s="7">
        <f t="shared" ref="G266:G271" si="7">E266*F266</f>
        <v>2250</v>
      </c>
    </row>
    <row r="267" spans="1:10">
      <c r="A267" s="10"/>
      <c r="B267" s="10"/>
      <c r="D267" s="1" t="s">
        <v>50</v>
      </c>
      <c r="E267" s="1">
        <v>1000</v>
      </c>
      <c r="F267" s="7">
        <v>0.22</v>
      </c>
      <c r="G267" s="7">
        <f t="shared" si="7"/>
        <v>220</v>
      </c>
    </row>
    <row r="268" spans="1:10">
      <c r="A268" s="10"/>
      <c r="B268" s="10"/>
      <c r="D268" s="1" t="s">
        <v>147</v>
      </c>
      <c r="E268" s="1">
        <v>500</v>
      </c>
      <c r="F268" s="7">
        <v>0.47</v>
      </c>
      <c r="G268" s="7">
        <f t="shared" si="7"/>
        <v>235</v>
      </c>
    </row>
    <row r="269" spans="1:10">
      <c r="A269" s="10"/>
      <c r="B269" s="10"/>
      <c r="D269" s="1" t="s">
        <v>148</v>
      </c>
      <c r="E269" s="7">
        <v>500</v>
      </c>
      <c r="F269" s="7">
        <v>0.47</v>
      </c>
      <c r="G269" s="7">
        <f t="shared" si="7"/>
        <v>235</v>
      </c>
    </row>
    <row r="270" spans="1:10">
      <c r="A270" s="10"/>
      <c r="B270" s="10"/>
      <c r="D270" s="1" t="s">
        <v>237</v>
      </c>
      <c r="E270" s="7">
        <v>500</v>
      </c>
      <c r="F270" s="7">
        <v>1.65</v>
      </c>
      <c r="G270" s="7">
        <f t="shared" si="7"/>
        <v>825</v>
      </c>
    </row>
    <row r="271" spans="1:10">
      <c r="A271" s="10"/>
      <c r="B271" s="10"/>
      <c r="D271" s="7" t="s">
        <v>233</v>
      </c>
      <c r="E271" s="7">
        <v>1000</v>
      </c>
      <c r="F271" s="7">
        <v>0.16500000000000001</v>
      </c>
      <c r="G271" s="7">
        <f t="shared" si="7"/>
        <v>165</v>
      </c>
    </row>
    <row r="272" spans="1:10">
      <c r="A272" s="10"/>
      <c r="B272" s="10"/>
      <c r="D272" s="1" t="s">
        <v>938</v>
      </c>
      <c r="E272" s="7">
        <v>-21000</v>
      </c>
      <c r="F272" s="7">
        <v>5.0000000000000001E-3</v>
      </c>
      <c r="G272" s="7">
        <f>E272*F272</f>
        <v>-105</v>
      </c>
    </row>
    <row r="273" spans="1:10" s="4" customFormat="1">
      <c r="A273" s="12"/>
      <c r="B273" s="12"/>
      <c r="G273" s="4">
        <f>SUM(G265:G272)</f>
        <v>5775</v>
      </c>
      <c r="J273" s="13" t="s">
        <v>238</v>
      </c>
    </row>
    <row r="274" spans="1:10">
      <c r="A274" s="10">
        <v>41578</v>
      </c>
      <c r="B274" s="10">
        <v>41579</v>
      </c>
      <c r="C274" s="1" t="s">
        <v>178</v>
      </c>
      <c r="D274" s="1" t="s">
        <v>660</v>
      </c>
      <c r="E274" s="7">
        <v>400</v>
      </c>
      <c r="F274" s="7">
        <v>1.9</v>
      </c>
      <c r="G274" s="7">
        <f>E274*F274</f>
        <v>760</v>
      </c>
      <c r="H274" s="7">
        <v>15</v>
      </c>
      <c r="I274" s="7" t="s">
        <v>205</v>
      </c>
    </row>
    <row r="275" spans="1:10">
      <c r="A275" s="10"/>
      <c r="B275" s="10"/>
      <c r="C275" s="1"/>
      <c r="D275" s="1" t="s">
        <v>234</v>
      </c>
      <c r="E275" s="1">
        <v>10</v>
      </c>
      <c r="F275" s="7">
        <v>3</v>
      </c>
      <c r="G275" s="7">
        <f>E275*F275</f>
        <v>30</v>
      </c>
    </row>
    <row r="276" spans="1:10" s="4" customFormat="1">
      <c r="A276" s="12"/>
      <c r="B276" s="12"/>
      <c r="G276" s="4">
        <f>SUM(G274:G275)</f>
        <v>790</v>
      </c>
      <c r="J276" s="13" t="s">
        <v>242</v>
      </c>
    </row>
    <row r="277" spans="1:10">
      <c r="A277" s="10">
        <v>41578</v>
      </c>
      <c r="B277" s="10">
        <v>41579</v>
      </c>
      <c r="C277" s="7" t="s">
        <v>107</v>
      </c>
      <c r="D277" s="7" t="s">
        <v>33</v>
      </c>
      <c r="E277" s="7">
        <v>2000</v>
      </c>
      <c r="F277" s="7">
        <v>0.25</v>
      </c>
      <c r="G277" s="7">
        <f>E277*F277</f>
        <v>500</v>
      </c>
      <c r="H277" s="7">
        <v>26</v>
      </c>
      <c r="I277" s="7" t="s">
        <v>197</v>
      </c>
    </row>
    <row r="278" spans="1:10" s="4" customFormat="1">
      <c r="A278" s="12"/>
      <c r="B278" s="12"/>
      <c r="J278" s="13"/>
    </row>
    <row r="279" spans="1:10">
      <c r="A279" s="10">
        <v>41578</v>
      </c>
      <c r="B279" s="10">
        <v>41580</v>
      </c>
      <c r="C279" s="7" t="s">
        <v>235</v>
      </c>
      <c r="D279" s="7" t="s">
        <v>243</v>
      </c>
      <c r="E279" s="1">
        <v>100</v>
      </c>
      <c r="F279" s="7">
        <v>13</v>
      </c>
      <c r="G279" s="7">
        <f>E279*F279</f>
        <v>1300</v>
      </c>
      <c r="H279" s="7">
        <v>30</v>
      </c>
      <c r="I279" s="7" t="s">
        <v>205</v>
      </c>
    </row>
    <row r="280" spans="1:10" s="4" customFormat="1">
      <c r="A280" s="12"/>
      <c r="B280" s="12"/>
      <c r="J280" s="13"/>
    </row>
    <row r="281" spans="1:10">
      <c r="A281" s="10">
        <v>41579</v>
      </c>
      <c r="B281" s="10">
        <v>41584</v>
      </c>
      <c r="C281" s="7" t="s">
        <v>229</v>
      </c>
      <c r="D281" s="7" t="s">
        <v>255</v>
      </c>
      <c r="E281" s="7">
        <v>100</v>
      </c>
      <c r="F281" s="7">
        <v>6.15</v>
      </c>
      <c r="G281" s="7">
        <f>E281*F281</f>
        <v>615</v>
      </c>
      <c r="H281" s="7">
        <v>150</v>
      </c>
      <c r="I281" s="7" t="s">
        <v>256</v>
      </c>
    </row>
    <row r="282" spans="1:10" s="4" customFormat="1">
      <c r="A282" s="12"/>
      <c r="B282" s="12"/>
      <c r="J282" s="13" t="s">
        <v>257</v>
      </c>
    </row>
    <row r="283" spans="1:10">
      <c r="A283" s="10">
        <v>41580</v>
      </c>
      <c r="B283" s="10">
        <v>41581</v>
      </c>
      <c r="C283" s="7" t="s">
        <v>59</v>
      </c>
      <c r="D283" s="7" t="s">
        <v>232</v>
      </c>
      <c r="E283" s="7">
        <v>3300</v>
      </c>
      <c r="F283" s="7">
        <v>0.2</v>
      </c>
      <c r="G283" s="7">
        <f>E283*F283</f>
        <v>660</v>
      </c>
      <c r="H283" s="7">
        <f>34+5</f>
        <v>39</v>
      </c>
      <c r="I283" s="7" t="s">
        <v>246</v>
      </c>
      <c r="J283" s="7" t="s">
        <v>248</v>
      </c>
    </row>
    <row r="284" spans="1:10">
      <c r="A284" s="10"/>
      <c r="B284" s="10"/>
      <c r="D284" s="1" t="s">
        <v>323</v>
      </c>
      <c r="E284" s="7">
        <v>1200</v>
      </c>
      <c r="F284" s="7">
        <v>0.22</v>
      </c>
      <c r="G284" s="7">
        <f>E284*F284</f>
        <v>264</v>
      </c>
    </row>
    <row r="285" spans="1:10" s="4" customFormat="1">
      <c r="A285" s="12"/>
      <c r="B285" s="12"/>
      <c r="G285" s="4">
        <f>SUM(G283:G284)</f>
        <v>924</v>
      </c>
      <c r="J285" s="13"/>
    </row>
    <row r="286" spans="1:10">
      <c r="A286" s="10">
        <v>41580</v>
      </c>
      <c r="B286" s="10">
        <v>41583</v>
      </c>
      <c r="C286" s="7" t="s">
        <v>62</v>
      </c>
      <c r="D286" s="1" t="s">
        <v>176</v>
      </c>
      <c r="E286" s="1">
        <v>700</v>
      </c>
      <c r="F286" s="7">
        <v>6</v>
      </c>
      <c r="G286" s="7">
        <f t="shared" ref="G286:G300" si="8">E286*F286</f>
        <v>4200</v>
      </c>
      <c r="I286" s="7" t="s">
        <v>249</v>
      </c>
      <c r="J286" s="7" t="s">
        <v>250</v>
      </c>
    </row>
    <row r="287" spans="1:10">
      <c r="A287" s="10"/>
      <c r="B287" s="10"/>
      <c r="D287" s="1" t="s">
        <v>175</v>
      </c>
      <c r="E287" s="1">
        <v>700</v>
      </c>
      <c r="F287" s="7">
        <v>5.4</v>
      </c>
      <c r="G287" s="7">
        <f t="shared" si="8"/>
        <v>3780.0000000000005</v>
      </c>
    </row>
    <row r="288" spans="1:10">
      <c r="A288" s="10"/>
      <c r="B288" s="10"/>
      <c r="D288" s="1" t="s">
        <v>230</v>
      </c>
      <c r="E288" s="1">
        <v>700</v>
      </c>
      <c r="F288" s="7">
        <v>4.2</v>
      </c>
      <c r="G288" s="7">
        <f t="shared" si="8"/>
        <v>2940</v>
      </c>
    </row>
    <row r="289" spans="1:10">
      <c r="A289" s="10"/>
      <c r="B289" s="10"/>
      <c r="D289" s="1" t="s">
        <v>227</v>
      </c>
      <c r="E289" s="1">
        <v>200</v>
      </c>
      <c r="F289" s="7">
        <v>7</v>
      </c>
      <c r="G289" s="7">
        <f t="shared" si="8"/>
        <v>1400</v>
      </c>
    </row>
    <row r="290" spans="1:10">
      <c r="A290" s="10"/>
      <c r="B290" s="10"/>
      <c r="D290" s="1" t="s">
        <v>226</v>
      </c>
      <c r="E290" s="1">
        <v>200</v>
      </c>
      <c r="F290" s="7">
        <v>7.5</v>
      </c>
      <c r="G290" s="7">
        <f t="shared" si="8"/>
        <v>1500</v>
      </c>
    </row>
    <row r="291" spans="1:10">
      <c r="A291" s="10"/>
      <c r="B291" s="10"/>
      <c r="D291" s="1" t="s">
        <v>228</v>
      </c>
      <c r="E291" s="1">
        <v>200</v>
      </c>
      <c r="F291" s="7">
        <v>5</v>
      </c>
      <c r="G291" s="7">
        <f t="shared" si="8"/>
        <v>1000</v>
      </c>
    </row>
    <row r="292" spans="1:10">
      <c r="A292" s="10"/>
      <c r="B292" s="10">
        <v>41585</v>
      </c>
      <c r="D292" s="1" t="s">
        <v>230</v>
      </c>
      <c r="E292" s="1">
        <v>1700</v>
      </c>
      <c r="F292" s="7">
        <v>4.2</v>
      </c>
      <c r="G292" s="7">
        <f t="shared" si="8"/>
        <v>7140</v>
      </c>
      <c r="I292" s="7" t="s">
        <v>249</v>
      </c>
    </row>
    <row r="293" spans="1:10">
      <c r="A293" s="10"/>
      <c r="B293" s="10"/>
      <c r="D293" s="1" t="s">
        <v>95</v>
      </c>
      <c r="E293" s="1">
        <v>100</v>
      </c>
      <c r="F293" s="7">
        <v>6</v>
      </c>
      <c r="G293" s="7">
        <f t="shared" si="8"/>
        <v>600</v>
      </c>
    </row>
    <row r="294" spans="1:10">
      <c r="A294" s="10"/>
      <c r="B294" s="10"/>
      <c r="D294" s="1" t="s">
        <v>227</v>
      </c>
      <c r="E294" s="1">
        <v>100</v>
      </c>
      <c r="F294" s="7">
        <v>7</v>
      </c>
      <c r="G294" s="7">
        <f t="shared" si="8"/>
        <v>700</v>
      </c>
    </row>
    <row r="295" spans="1:10">
      <c r="A295" s="10"/>
      <c r="B295" s="10"/>
      <c r="D295" s="1" t="s">
        <v>226</v>
      </c>
      <c r="E295" s="1">
        <v>100</v>
      </c>
      <c r="F295" s="7">
        <v>7.5</v>
      </c>
      <c r="G295" s="7">
        <f t="shared" si="8"/>
        <v>750</v>
      </c>
    </row>
    <row r="296" spans="1:10">
      <c r="A296" s="10"/>
      <c r="B296" s="10"/>
      <c r="D296" s="1" t="s">
        <v>228</v>
      </c>
      <c r="E296" s="1">
        <v>475</v>
      </c>
      <c r="F296" s="7">
        <v>5</v>
      </c>
      <c r="G296" s="7">
        <f t="shared" si="8"/>
        <v>2375</v>
      </c>
    </row>
    <row r="297" spans="1:10">
      <c r="A297" s="10"/>
      <c r="B297" s="10">
        <v>41587</v>
      </c>
      <c r="D297" s="1" t="s">
        <v>230</v>
      </c>
      <c r="E297" s="1">
        <v>200</v>
      </c>
      <c r="F297" s="7">
        <v>4.2</v>
      </c>
      <c r="G297" s="7">
        <f t="shared" si="8"/>
        <v>840</v>
      </c>
      <c r="I297" s="7" t="s">
        <v>260</v>
      </c>
    </row>
    <row r="298" spans="1:10">
      <c r="A298" s="10"/>
      <c r="B298" s="10"/>
      <c r="D298" s="1" t="s">
        <v>95</v>
      </c>
      <c r="E298" s="1">
        <v>200</v>
      </c>
      <c r="F298" s="7">
        <v>6</v>
      </c>
      <c r="G298" s="7">
        <f t="shared" si="8"/>
        <v>1200</v>
      </c>
    </row>
    <row r="299" spans="1:10">
      <c r="A299" s="10"/>
      <c r="B299" s="10"/>
      <c r="D299" s="1" t="s">
        <v>227</v>
      </c>
      <c r="E299" s="1">
        <v>100</v>
      </c>
      <c r="F299" s="7">
        <v>7</v>
      </c>
      <c r="G299" s="7">
        <f t="shared" si="8"/>
        <v>700</v>
      </c>
    </row>
    <row r="300" spans="1:10">
      <c r="A300" s="10"/>
      <c r="B300" s="10"/>
      <c r="D300" s="1" t="s">
        <v>226</v>
      </c>
      <c r="E300" s="1">
        <v>100</v>
      </c>
      <c r="F300" s="7">
        <v>7.5</v>
      </c>
      <c r="G300" s="7">
        <f t="shared" si="8"/>
        <v>750</v>
      </c>
    </row>
    <row r="301" spans="1:10" s="4" customFormat="1">
      <c r="A301" s="12"/>
      <c r="B301" s="12"/>
      <c r="G301" s="4">
        <f>SUM(G286:G300)</f>
        <v>29875</v>
      </c>
      <c r="J301" s="13" t="s">
        <v>261</v>
      </c>
    </row>
    <row r="302" spans="1:10">
      <c r="A302" s="10">
        <v>41581</v>
      </c>
      <c r="B302" s="10">
        <v>41583</v>
      </c>
      <c r="C302" s="1" t="s">
        <v>178</v>
      </c>
      <c r="D302" s="1" t="s">
        <v>236</v>
      </c>
      <c r="E302" s="1">
        <v>56</v>
      </c>
      <c r="F302" s="7">
        <v>66</v>
      </c>
      <c r="G302" s="7">
        <f>E302*F302</f>
        <v>3696</v>
      </c>
      <c r="H302" s="7">
        <f>22*7</f>
        <v>154</v>
      </c>
      <c r="I302" s="7" t="s">
        <v>205</v>
      </c>
    </row>
    <row r="303" spans="1:10" s="4" customFormat="1">
      <c r="A303" s="12"/>
      <c r="B303" s="12"/>
      <c r="J303" s="13"/>
    </row>
    <row r="304" spans="1:10">
      <c r="A304" s="10">
        <v>41582</v>
      </c>
      <c r="B304" s="10">
        <v>41584</v>
      </c>
      <c r="C304" s="7" t="s">
        <v>59</v>
      </c>
      <c r="D304" s="1" t="s">
        <v>878</v>
      </c>
      <c r="E304" s="7">
        <v>950</v>
      </c>
      <c r="F304" s="7">
        <v>5.5</v>
      </c>
      <c r="G304" s="7">
        <f>E304*F304</f>
        <v>5225</v>
      </c>
      <c r="I304" s="7" t="s">
        <v>252</v>
      </c>
      <c r="J304" s="7" t="s">
        <v>254</v>
      </c>
    </row>
    <row r="305" spans="1:11">
      <c r="A305" s="10"/>
      <c r="B305" s="10"/>
      <c r="D305" s="1" t="s">
        <v>660</v>
      </c>
      <c r="E305" s="1">
        <v>500</v>
      </c>
      <c r="F305" s="7">
        <v>2.2999999999999998</v>
      </c>
      <c r="G305" s="1">
        <f>E305*F305</f>
        <v>1150</v>
      </c>
    </row>
    <row r="306" spans="1:11" s="4" customFormat="1">
      <c r="A306" s="12"/>
      <c r="B306" s="12"/>
      <c r="G306" s="4">
        <f>SUM(G304:G305)</f>
        <v>6375</v>
      </c>
      <c r="J306" s="13" t="s">
        <v>253</v>
      </c>
    </row>
    <row r="307" spans="1:11">
      <c r="A307" s="10">
        <v>41583</v>
      </c>
      <c r="B307" s="10">
        <v>41586</v>
      </c>
      <c r="C307" s="7" t="s">
        <v>17</v>
      </c>
      <c r="D307" s="1" t="s">
        <v>913</v>
      </c>
      <c r="E307" s="1">
        <v>1000</v>
      </c>
      <c r="F307" s="7">
        <v>1.9</v>
      </c>
      <c r="G307" s="7">
        <f>E307*F307</f>
        <v>1900</v>
      </c>
      <c r="H307" s="7">
        <v>88</v>
      </c>
      <c r="I307" s="7" t="s">
        <v>22</v>
      </c>
    </row>
    <row r="308" spans="1:11" s="4" customFormat="1">
      <c r="A308" s="12"/>
      <c r="B308" s="12"/>
      <c r="J308" s="13" t="s">
        <v>251</v>
      </c>
    </row>
    <row r="309" spans="1:11">
      <c r="A309" s="10">
        <v>41681</v>
      </c>
      <c r="B309" s="10">
        <v>41685</v>
      </c>
      <c r="C309" s="7" t="s">
        <v>343</v>
      </c>
      <c r="D309" s="30" t="s">
        <v>349</v>
      </c>
      <c r="E309" s="7">
        <v>1000</v>
      </c>
      <c r="F309" s="7">
        <v>0.1</v>
      </c>
      <c r="G309" s="7">
        <f t="shared" ref="G309:G316" si="9">E309*F309</f>
        <v>100</v>
      </c>
      <c r="I309" s="7" t="s">
        <v>348</v>
      </c>
      <c r="J309" s="31">
        <v>645</v>
      </c>
      <c r="K309" s="7">
        <f>300/0.35</f>
        <v>857.14285714285722</v>
      </c>
    </row>
    <row r="310" spans="1:11">
      <c r="A310" s="10"/>
      <c r="B310" s="10"/>
      <c r="D310" s="30" t="s">
        <v>350</v>
      </c>
      <c r="E310" s="7">
        <v>1000</v>
      </c>
      <c r="F310" s="7">
        <v>0.1</v>
      </c>
      <c r="G310" s="7">
        <f t="shared" si="9"/>
        <v>100</v>
      </c>
      <c r="J310" s="31">
        <v>118</v>
      </c>
      <c r="K310" s="7">
        <f>200/2500</f>
        <v>0.08</v>
      </c>
    </row>
    <row r="311" spans="1:11">
      <c r="A311" s="10"/>
      <c r="B311" s="10"/>
      <c r="D311" s="30" t="s">
        <v>351</v>
      </c>
      <c r="E311" s="7">
        <v>2000</v>
      </c>
      <c r="F311" s="7">
        <v>0.09</v>
      </c>
      <c r="G311" s="7">
        <f t="shared" si="9"/>
        <v>180</v>
      </c>
      <c r="J311" s="31" t="s">
        <v>353</v>
      </c>
      <c r="K311" s="7">
        <f>K310*3500</f>
        <v>280</v>
      </c>
    </row>
    <row r="312" spans="1:11">
      <c r="A312" s="10"/>
      <c r="B312" s="10"/>
      <c r="D312" s="30" t="s">
        <v>352</v>
      </c>
      <c r="E312" s="7">
        <v>2000</v>
      </c>
      <c r="F312" s="7">
        <v>0.09</v>
      </c>
      <c r="G312" s="7">
        <f t="shared" si="9"/>
        <v>180</v>
      </c>
      <c r="J312" s="31">
        <v>390</v>
      </c>
      <c r="K312" s="7">
        <f>260/3500</f>
        <v>7.4285714285714288E-2</v>
      </c>
    </row>
    <row r="313" spans="1:11">
      <c r="A313" s="10"/>
      <c r="B313" s="10"/>
      <c r="D313" s="30" t="s">
        <v>344</v>
      </c>
      <c r="E313" s="7">
        <v>6000</v>
      </c>
      <c r="F313" s="7">
        <f>95/6000</f>
        <v>1.5833333333333335E-2</v>
      </c>
      <c r="G313" s="7">
        <f t="shared" si="9"/>
        <v>95.000000000000014</v>
      </c>
      <c r="J313" s="31">
        <v>4137</v>
      </c>
      <c r="K313" s="7">
        <f>3*260+200+100+84</f>
        <v>1164</v>
      </c>
    </row>
    <row r="314" spans="1:11">
      <c r="A314" s="10"/>
      <c r="B314" s="10"/>
      <c r="D314" s="30" t="s">
        <v>345</v>
      </c>
      <c r="E314" s="7">
        <v>6000</v>
      </c>
      <c r="F314" s="7">
        <f>95/6000</f>
        <v>1.5833333333333335E-2</v>
      </c>
      <c r="G314" s="7">
        <f t="shared" si="9"/>
        <v>95.000000000000014</v>
      </c>
      <c r="J314" s="31">
        <v>4494</v>
      </c>
    </row>
    <row r="315" spans="1:11">
      <c r="A315" s="10"/>
      <c r="B315" s="10"/>
      <c r="D315" s="30" t="s">
        <v>346</v>
      </c>
      <c r="E315" s="7">
        <v>6000</v>
      </c>
      <c r="F315" s="7">
        <f>95/6000</f>
        <v>1.5833333333333335E-2</v>
      </c>
      <c r="G315" s="7">
        <f t="shared" si="9"/>
        <v>95.000000000000014</v>
      </c>
      <c r="J315" s="31">
        <v>6000</v>
      </c>
    </row>
    <row r="316" spans="1:11">
      <c r="A316" s="10"/>
      <c r="B316" s="10"/>
      <c r="D316" s="30" t="s">
        <v>347</v>
      </c>
      <c r="E316" s="7">
        <v>3000</v>
      </c>
      <c r="F316" s="7">
        <v>0.02</v>
      </c>
      <c r="G316" s="7">
        <f t="shared" si="9"/>
        <v>60</v>
      </c>
      <c r="J316" s="31">
        <v>2289</v>
      </c>
    </row>
    <row r="317" spans="1:11" s="4" customFormat="1">
      <c r="A317" s="12"/>
      <c r="B317" s="12"/>
      <c r="G317" s="4">
        <f>SUM(G309:G316)</f>
        <v>905</v>
      </c>
      <c r="J317" s="13" t="s">
        <v>369</v>
      </c>
    </row>
    <row r="318" spans="1:11">
      <c r="A318" s="10">
        <v>41703</v>
      </c>
      <c r="B318" s="10">
        <v>41713</v>
      </c>
      <c r="C318" s="7" t="s">
        <v>11</v>
      </c>
      <c r="D318" s="7" t="s">
        <v>42</v>
      </c>
      <c r="E318" s="7">
        <v>40</v>
      </c>
      <c r="F318" s="7">
        <v>950</v>
      </c>
      <c r="G318" s="7">
        <f>E318*F318</f>
        <v>38000</v>
      </c>
      <c r="I318" s="7" t="s">
        <v>271</v>
      </c>
    </row>
    <row r="319" spans="1:11" s="4" customFormat="1">
      <c r="A319" s="12"/>
      <c r="B319" s="12"/>
      <c r="J319" s="13" t="s">
        <v>272</v>
      </c>
    </row>
    <row r="320" spans="1:11">
      <c r="A320" s="10">
        <v>41703</v>
      </c>
      <c r="B320" s="10">
        <v>41743</v>
      </c>
      <c r="C320" s="7" t="s">
        <v>23</v>
      </c>
      <c r="D320" s="7" t="s">
        <v>312</v>
      </c>
      <c r="E320" s="7">
        <v>500</v>
      </c>
      <c r="F320" s="7">
        <v>112</v>
      </c>
      <c r="G320" s="7">
        <f>E320*F320</f>
        <v>56000</v>
      </c>
    </row>
    <row r="321" spans="1:10" s="4" customFormat="1">
      <c r="A321" s="12"/>
      <c r="B321" s="12"/>
      <c r="J321" s="13" t="s">
        <v>338</v>
      </c>
    </row>
    <row r="322" spans="1:10">
      <c r="A322" s="10">
        <v>41715</v>
      </c>
      <c r="B322" s="10">
        <v>41716</v>
      </c>
      <c r="C322" s="7" t="s">
        <v>17</v>
      </c>
      <c r="D322" s="1" t="s">
        <v>939</v>
      </c>
      <c r="E322" s="1">
        <v>2</v>
      </c>
      <c r="F322" s="7">
        <v>31</v>
      </c>
      <c r="G322" s="7">
        <f>E322*F322</f>
        <v>62</v>
      </c>
      <c r="H322" s="1">
        <v>12</v>
      </c>
      <c r="I322" s="1" t="s">
        <v>305</v>
      </c>
      <c r="J322" s="1"/>
    </row>
    <row r="323" spans="1:10">
      <c r="A323" s="10"/>
      <c r="B323" s="10"/>
      <c r="D323" s="1" t="s">
        <v>939</v>
      </c>
      <c r="E323" s="1">
        <v>2</v>
      </c>
      <c r="F323" s="7">
        <v>31</v>
      </c>
      <c r="G323" s="7">
        <f>E323*F323</f>
        <v>62</v>
      </c>
    </row>
    <row r="324" spans="1:10">
      <c r="A324" s="10"/>
      <c r="B324" s="10"/>
      <c r="D324" s="1" t="s">
        <v>290</v>
      </c>
      <c r="E324" s="1">
        <v>2</v>
      </c>
      <c r="F324" s="7">
        <v>1</v>
      </c>
      <c r="G324" s="7">
        <f>E324*F324</f>
        <v>2</v>
      </c>
    </row>
    <row r="325" spans="1:10" s="4" customFormat="1">
      <c r="A325" s="12"/>
      <c r="B325" s="12"/>
      <c r="G325" s="4">
        <f>SUM(G322:G324)</f>
        <v>126</v>
      </c>
      <c r="J325" s="13"/>
    </row>
    <row r="326" spans="1:10">
      <c r="A326" s="10">
        <v>41723</v>
      </c>
      <c r="B326" s="10">
        <v>41726</v>
      </c>
      <c r="C326" s="7" t="s">
        <v>287</v>
      </c>
      <c r="D326" s="7" t="s">
        <v>513</v>
      </c>
      <c r="E326" s="7">
        <v>1</v>
      </c>
      <c r="G326" s="7">
        <f>E326*F326</f>
        <v>0</v>
      </c>
      <c r="H326" s="1">
        <v>22</v>
      </c>
      <c r="I326" s="1" t="s">
        <v>306</v>
      </c>
      <c r="J326" s="1"/>
    </row>
    <row r="327" spans="1:10">
      <c r="D327" s="7" t="s">
        <v>914</v>
      </c>
      <c r="E327" s="7">
        <v>1</v>
      </c>
      <c r="G327" s="7">
        <f>E327*F327</f>
        <v>0</v>
      </c>
    </row>
    <row r="328" spans="1:10" s="4" customFormat="1">
      <c r="A328" s="12"/>
      <c r="B328" s="12"/>
      <c r="G328" s="4">
        <f>SUM(G326:G327)</f>
        <v>0</v>
      </c>
      <c r="J328" s="13"/>
    </row>
    <row r="329" spans="1:10">
      <c r="A329" s="10">
        <v>41725</v>
      </c>
      <c r="B329" s="10">
        <v>41742</v>
      </c>
      <c r="C329" s="1" t="s">
        <v>273</v>
      </c>
      <c r="D329" s="1" t="s">
        <v>951</v>
      </c>
      <c r="E329" s="1">
        <v>500</v>
      </c>
      <c r="F329" s="7">
        <v>3.9</v>
      </c>
      <c r="G329" s="7">
        <f>E329*F329</f>
        <v>1950</v>
      </c>
      <c r="H329" s="7">
        <v>0</v>
      </c>
      <c r="I329" s="7" t="s">
        <v>336</v>
      </c>
    </row>
    <row r="330" spans="1:10" s="4" customFormat="1">
      <c r="A330" s="12"/>
      <c r="B330" s="12"/>
      <c r="J330" s="13" t="s">
        <v>274</v>
      </c>
    </row>
    <row r="331" spans="1:10">
      <c r="A331" s="10">
        <v>41725</v>
      </c>
      <c r="B331" s="10">
        <v>41731</v>
      </c>
      <c r="C331" s="1" t="s">
        <v>178</v>
      </c>
      <c r="D331" s="1" t="s">
        <v>660</v>
      </c>
      <c r="E331" s="7">
        <v>900</v>
      </c>
      <c r="F331" s="7">
        <v>1.9</v>
      </c>
      <c r="G331" s="7">
        <f>E331*F331</f>
        <v>1710</v>
      </c>
      <c r="H331" s="7">
        <v>18</v>
      </c>
      <c r="I331" s="7" t="s">
        <v>296</v>
      </c>
    </row>
    <row r="332" spans="1:10">
      <c r="A332" s="10">
        <v>41726</v>
      </c>
      <c r="B332" s="10">
        <v>41731</v>
      </c>
      <c r="C332" s="1" t="s">
        <v>178</v>
      </c>
      <c r="D332" s="1" t="s">
        <v>279</v>
      </c>
      <c r="E332" s="7">
        <v>50</v>
      </c>
      <c r="F332" s="7">
        <v>7</v>
      </c>
      <c r="G332" s="7">
        <f>E332*F332</f>
        <v>350</v>
      </c>
    </row>
    <row r="333" spans="1:10" s="4" customFormat="1">
      <c r="A333" s="12"/>
      <c r="B333" s="12"/>
      <c r="G333" s="4">
        <f>SUM(G331:G332)</f>
        <v>2060</v>
      </c>
      <c r="J333" s="13" t="s">
        <v>304</v>
      </c>
    </row>
    <row r="334" spans="1:10">
      <c r="A334" s="10">
        <v>41725</v>
      </c>
      <c r="B334" s="10">
        <v>41726</v>
      </c>
      <c r="C334" s="1" t="s">
        <v>276</v>
      </c>
      <c r="D334" s="1" t="s">
        <v>277</v>
      </c>
      <c r="E334" s="7">
        <v>9600</v>
      </c>
      <c r="F334" s="7">
        <v>0.23</v>
      </c>
      <c r="G334" s="7">
        <f>E334*F334</f>
        <v>2208</v>
      </c>
      <c r="H334" s="7">
        <v>123</v>
      </c>
      <c r="I334" s="7" t="s">
        <v>280</v>
      </c>
    </row>
    <row r="335" spans="1:10" s="4" customFormat="1">
      <c r="A335" s="12"/>
      <c r="B335" s="12"/>
      <c r="J335" s="13"/>
    </row>
    <row r="336" spans="1:10">
      <c r="A336" s="10">
        <v>41725</v>
      </c>
      <c r="B336" s="10">
        <v>41733</v>
      </c>
      <c r="C336" s="1" t="s">
        <v>62</v>
      </c>
      <c r="D336" s="1" t="s">
        <v>176</v>
      </c>
      <c r="E336" s="1">
        <v>700</v>
      </c>
      <c r="F336" s="7">
        <v>6</v>
      </c>
      <c r="G336" s="7">
        <f t="shared" ref="G336:G341" si="10">E336*F336</f>
        <v>4200</v>
      </c>
      <c r="I336" s="7" t="s">
        <v>249</v>
      </c>
    </row>
    <row r="337" spans="1:10">
      <c r="A337" s="10"/>
      <c r="B337" s="10"/>
      <c r="D337" s="1" t="s">
        <v>175</v>
      </c>
      <c r="E337" s="1">
        <v>700</v>
      </c>
      <c r="F337" s="7">
        <v>5.4</v>
      </c>
      <c r="G337" s="7">
        <f t="shared" si="10"/>
        <v>3780.0000000000005</v>
      </c>
    </row>
    <row r="338" spans="1:10">
      <c r="A338" s="10"/>
      <c r="B338" s="10">
        <v>41743</v>
      </c>
      <c r="D338" s="1" t="s">
        <v>176</v>
      </c>
      <c r="E338" s="1">
        <v>300</v>
      </c>
      <c r="F338" s="7">
        <v>6</v>
      </c>
      <c r="G338" s="7">
        <f t="shared" si="10"/>
        <v>1800</v>
      </c>
      <c r="I338" s="7" t="s">
        <v>156</v>
      </c>
    </row>
    <row r="339" spans="1:10">
      <c r="A339" s="10"/>
      <c r="B339" s="10"/>
      <c r="D339" s="1" t="s">
        <v>175</v>
      </c>
      <c r="E339" s="1">
        <v>300</v>
      </c>
      <c r="F339" s="7">
        <v>5.4</v>
      </c>
      <c r="G339" s="7">
        <f t="shared" si="10"/>
        <v>1620</v>
      </c>
    </row>
    <row r="340" spans="1:10">
      <c r="A340" s="10"/>
      <c r="B340" s="10"/>
      <c r="D340" s="1" t="s">
        <v>230</v>
      </c>
      <c r="E340" s="1">
        <v>990</v>
      </c>
      <c r="F340" s="7">
        <v>4.2</v>
      </c>
      <c r="G340" s="7">
        <f t="shared" si="10"/>
        <v>4158</v>
      </c>
    </row>
    <row r="341" spans="1:10">
      <c r="A341" s="10"/>
      <c r="B341" s="10"/>
      <c r="D341" s="1" t="s">
        <v>275</v>
      </c>
      <c r="E341" s="1">
        <v>500</v>
      </c>
      <c r="F341" s="7">
        <v>5.8</v>
      </c>
      <c r="G341" s="7">
        <f t="shared" si="10"/>
        <v>2900</v>
      </c>
    </row>
    <row r="342" spans="1:10" s="4" customFormat="1">
      <c r="A342" s="12"/>
      <c r="B342" s="12"/>
      <c r="G342" s="4">
        <f>SUM(G336:G341)</f>
        <v>18458</v>
      </c>
      <c r="J342" s="13"/>
    </row>
    <row r="343" spans="1:10">
      <c r="A343" s="10">
        <v>41726</v>
      </c>
      <c r="B343" s="10">
        <v>41730</v>
      </c>
      <c r="C343" s="7" t="s">
        <v>163</v>
      </c>
      <c r="D343" s="16" t="s">
        <v>167</v>
      </c>
      <c r="E343" s="17">
        <v>20</v>
      </c>
      <c r="F343" s="7">
        <v>140</v>
      </c>
      <c r="G343" s="18">
        <f>E343*F343</f>
        <v>2800</v>
      </c>
      <c r="H343" s="7">
        <v>28</v>
      </c>
      <c r="I343" s="7" t="s">
        <v>291</v>
      </c>
    </row>
    <row r="344" spans="1:10">
      <c r="A344" s="10"/>
      <c r="B344" s="10"/>
      <c r="D344" s="16" t="s">
        <v>278</v>
      </c>
      <c r="E344" s="17">
        <v>1</v>
      </c>
      <c r="G344" s="18">
        <f>E344*F344</f>
        <v>0</v>
      </c>
    </row>
    <row r="345" spans="1:10" s="4" customFormat="1">
      <c r="A345" s="12"/>
      <c r="B345" s="12"/>
      <c r="G345" s="4">
        <f>SUM(G343:G344)</f>
        <v>2800</v>
      </c>
      <c r="J345" s="13"/>
    </row>
    <row r="346" spans="1:10">
      <c r="A346" s="10">
        <v>41729</v>
      </c>
      <c r="B346" s="10">
        <v>41736</v>
      </c>
      <c r="C346" s="1" t="s">
        <v>47</v>
      </c>
      <c r="D346" s="1" t="s">
        <v>24</v>
      </c>
      <c r="E346" s="1">
        <v>1000</v>
      </c>
      <c r="F346" s="7">
        <v>0.3</v>
      </c>
      <c r="G346" s="7">
        <f t="shared" ref="G346:G364" si="11">E346*F346</f>
        <v>300</v>
      </c>
      <c r="H346" s="7">
        <v>0</v>
      </c>
      <c r="I346" s="7" t="s">
        <v>328</v>
      </c>
    </row>
    <row r="347" spans="1:10">
      <c r="A347" s="10"/>
      <c r="B347" s="10"/>
      <c r="C347" s="1"/>
      <c r="D347" s="1" t="s">
        <v>32</v>
      </c>
      <c r="E347" s="1">
        <v>500</v>
      </c>
      <c r="F347" s="7">
        <v>0.22</v>
      </c>
      <c r="G347" s="7">
        <f t="shared" si="11"/>
        <v>110</v>
      </c>
    </row>
    <row r="348" spans="1:10">
      <c r="A348" s="10"/>
      <c r="B348" s="10"/>
      <c r="C348" s="1"/>
      <c r="D348" s="1" t="s">
        <v>48</v>
      </c>
      <c r="E348" s="1">
        <v>500</v>
      </c>
      <c r="F348" s="7">
        <v>0.22</v>
      </c>
      <c r="G348" s="7">
        <f t="shared" si="11"/>
        <v>110</v>
      </c>
    </row>
    <row r="349" spans="1:10">
      <c r="A349" s="10"/>
      <c r="B349" s="10"/>
      <c r="C349" s="1"/>
      <c r="D349" s="1" t="s">
        <v>49</v>
      </c>
      <c r="E349" s="1">
        <v>800</v>
      </c>
      <c r="F349" s="7">
        <v>1.5</v>
      </c>
      <c r="G349" s="7">
        <f t="shared" si="11"/>
        <v>1200</v>
      </c>
    </row>
    <row r="350" spans="1:10">
      <c r="A350" s="10"/>
      <c r="B350" s="10"/>
      <c r="C350" s="1"/>
      <c r="D350" s="1" t="s">
        <v>50</v>
      </c>
      <c r="E350" s="1">
        <v>800</v>
      </c>
      <c r="F350" s="7">
        <v>0.22</v>
      </c>
      <c r="G350" s="7">
        <f t="shared" si="11"/>
        <v>176</v>
      </c>
    </row>
    <row r="351" spans="1:10">
      <c r="A351" s="10"/>
      <c r="B351" s="10"/>
      <c r="C351" s="1"/>
      <c r="D351" s="1" t="s">
        <v>147</v>
      </c>
      <c r="E351" s="1">
        <v>500</v>
      </c>
      <c r="F351" s="7">
        <v>0.47</v>
      </c>
      <c r="G351" s="7">
        <f t="shared" si="11"/>
        <v>235</v>
      </c>
    </row>
    <row r="352" spans="1:10">
      <c r="A352" s="10"/>
      <c r="B352" s="10"/>
      <c r="C352" s="1"/>
      <c r="D352" s="1" t="s">
        <v>148</v>
      </c>
      <c r="E352" s="1">
        <v>1000</v>
      </c>
      <c r="F352" s="7">
        <v>0.47</v>
      </c>
      <c r="G352" s="7">
        <f t="shared" si="11"/>
        <v>470</v>
      </c>
    </row>
    <row r="353" spans="1:9">
      <c r="A353" s="10"/>
      <c r="B353" s="10"/>
      <c r="C353" s="1"/>
      <c r="D353" s="1" t="s">
        <v>281</v>
      </c>
      <c r="E353" s="1">
        <v>500</v>
      </c>
      <c r="F353" s="7">
        <v>1.65</v>
      </c>
      <c r="G353" s="7">
        <f t="shared" si="11"/>
        <v>825</v>
      </c>
    </row>
    <row r="354" spans="1:9">
      <c r="A354" s="10"/>
      <c r="B354" s="10"/>
      <c r="C354" s="1"/>
      <c r="D354" s="1" t="s">
        <v>282</v>
      </c>
      <c r="E354" s="1">
        <v>200</v>
      </c>
      <c r="F354" s="7">
        <v>1.6</v>
      </c>
      <c r="G354" s="7">
        <f t="shared" si="11"/>
        <v>320</v>
      </c>
    </row>
    <row r="355" spans="1:9">
      <c r="A355" s="10"/>
      <c r="B355" s="10"/>
      <c r="C355" s="1"/>
      <c r="D355" s="1" t="s">
        <v>233</v>
      </c>
      <c r="E355" s="1">
        <v>1000</v>
      </c>
      <c r="F355" s="7">
        <v>0.16500000000000001</v>
      </c>
      <c r="G355" s="7">
        <f t="shared" si="11"/>
        <v>165</v>
      </c>
    </row>
    <row r="356" spans="1:9">
      <c r="A356" s="10"/>
      <c r="B356" s="10"/>
      <c r="C356" s="1"/>
      <c r="D356" s="1" t="s">
        <v>952</v>
      </c>
      <c r="E356" s="1">
        <v>0</v>
      </c>
      <c r="F356" s="7">
        <v>0.5</v>
      </c>
      <c r="G356" s="7">
        <f t="shared" si="11"/>
        <v>0</v>
      </c>
    </row>
    <row r="357" spans="1:9">
      <c r="A357" s="10"/>
      <c r="B357" s="10"/>
      <c r="C357" s="1"/>
      <c r="D357" s="1" t="s">
        <v>639</v>
      </c>
      <c r="E357" s="1">
        <v>100</v>
      </c>
      <c r="F357" s="7">
        <v>0.5</v>
      </c>
      <c r="G357" s="7">
        <f t="shared" si="11"/>
        <v>50</v>
      </c>
    </row>
    <row r="358" spans="1:9">
      <c r="A358" s="10"/>
      <c r="B358" s="10"/>
      <c r="C358" s="1"/>
      <c r="D358" s="1" t="s">
        <v>284</v>
      </c>
      <c r="E358" s="1">
        <v>0</v>
      </c>
      <c r="F358" s="7">
        <v>0.12</v>
      </c>
      <c r="G358" s="7">
        <f t="shared" si="11"/>
        <v>0</v>
      </c>
    </row>
    <row r="359" spans="1:9">
      <c r="A359" s="10"/>
      <c r="B359" s="10"/>
      <c r="C359" s="1"/>
      <c r="D359" s="1" t="s">
        <v>644</v>
      </c>
      <c r="E359" s="1">
        <v>200</v>
      </c>
      <c r="F359" s="7">
        <v>1.8</v>
      </c>
      <c r="G359" s="7">
        <f t="shared" si="11"/>
        <v>360</v>
      </c>
    </row>
    <row r="360" spans="1:9">
      <c r="A360" s="10"/>
      <c r="B360" s="10"/>
      <c r="C360" s="1"/>
      <c r="D360" s="1" t="s">
        <v>940</v>
      </c>
      <c r="E360" s="1">
        <v>-20000</v>
      </c>
      <c r="F360" s="7">
        <v>5.0000000000000001E-3</v>
      </c>
      <c r="G360" s="7">
        <f t="shared" si="11"/>
        <v>-100</v>
      </c>
    </row>
    <row r="361" spans="1:9">
      <c r="A361" s="10">
        <v>41739</v>
      </c>
      <c r="B361" s="28">
        <v>41740</v>
      </c>
      <c r="C361" s="1"/>
      <c r="D361" s="1" t="s">
        <v>24</v>
      </c>
      <c r="E361" s="1">
        <v>1600</v>
      </c>
      <c r="F361" s="7">
        <v>0.3</v>
      </c>
      <c r="G361" s="7">
        <f t="shared" si="11"/>
        <v>480</v>
      </c>
      <c r="H361" s="7">
        <v>0</v>
      </c>
      <c r="I361" s="7" t="s">
        <v>329</v>
      </c>
    </row>
    <row r="362" spans="1:9">
      <c r="A362" s="10">
        <v>41739</v>
      </c>
      <c r="B362" s="28">
        <v>41747</v>
      </c>
      <c r="C362" s="1"/>
      <c r="D362" s="1" t="s">
        <v>24</v>
      </c>
      <c r="E362" s="1">
        <v>4400</v>
      </c>
      <c r="F362" s="7">
        <v>0.3</v>
      </c>
      <c r="G362" s="7">
        <f t="shared" si="11"/>
        <v>1320</v>
      </c>
      <c r="H362" s="7">
        <v>35</v>
      </c>
      <c r="I362" s="7" t="s">
        <v>339</v>
      </c>
    </row>
    <row r="363" spans="1:9">
      <c r="A363" s="10"/>
      <c r="B363" s="28"/>
      <c r="C363" s="1"/>
      <c r="D363" s="1" t="s">
        <v>282</v>
      </c>
      <c r="E363" s="1">
        <v>300</v>
      </c>
      <c r="F363" s="7">
        <v>1.6</v>
      </c>
      <c r="G363" s="7">
        <f t="shared" si="11"/>
        <v>480</v>
      </c>
    </row>
    <row r="364" spans="1:9">
      <c r="A364" s="10"/>
      <c r="B364" s="10"/>
      <c r="C364" s="1"/>
      <c r="D364" s="1" t="s">
        <v>283</v>
      </c>
      <c r="E364" s="1">
        <v>500</v>
      </c>
      <c r="F364" s="7">
        <v>0.3</v>
      </c>
      <c r="G364" s="7">
        <f t="shared" si="11"/>
        <v>150</v>
      </c>
    </row>
    <row r="365" spans="1:9">
      <c r="A365" s="10"/>
      <c r="B365" s="10"/>
      <c r="D365" s="1"/>
      <c r="E365" s="3" t="s">
        <v>231</v>
      </c>
      <c r="F365" s="7" t="s">
        <v>8</v>
      </c>
      <c r="G365" s="9" t="s">
        <v>9</v>
      </c>
    </row>
    <row r="366" spans="1:9">
      <c r="A366" s="10">
        <v>41763</v>
      </c>
      <c r="B366" s="10"/>
      <c r="C366" s="7" t="s">
        <v>340</v>
      </c>
      <c r="D366" s="7" t="s">
        <v>953</v>
      </c>
      <c r="E366" s="7">
        <v>-300</v>
      </c>
      <c r="F366" s="7">
        <v>0.5</v>
      </c>
      <c r="G366" s="7">
        <f>E366*F366</f>
        <v>-150</v>
      </c>
      <c r="H366" s="7">
        <v>38</v>
      </c>
      <c r="I366" s="7" t="s">
        <v>342</v>
      </c>
    </row>
    <row r="367" spans="1:9">
      <c r="A367" s="10"/>
      <c r="B367" s="10"/>
      <c r="C367" s="7" t="s">
        <v>340</v>
      </c>
      <c r="D367" s="7" t="s">
        <v>284</v>
      </c>
      <c r="E367" s="7">
        <v>-1200</v>
      </c>
      <c r="F367" s="7">
        <v>0.12</v>
      </c>
      <c r="G367" s="7">
        <f>E367*F367</f>
        <v>-144</v>
      </c>
    </row>
    <row r="368" spans="1:9">
      <c r="A368" s="10"/>
      <c r="B368" s="10"/>
      <c r="C368" s="7" t="s">
        <v>341</v>
      </c>
      <c r="D368" s="7" t="s">
        <v>952</v>
      </c>
      <c r="E368" s="7">
        <v>588</v>
      </c>
      <c r="F368" s="7">
        <v>0.5</v>
      </c>
      <c r="G368" s="7">
        <f>E368*F368</f>
        <v>294</v>
      </c>
    </row>
    <row r="369" spans="1:10" s="4" customFormat="1">
      <c r="A369" s="12"/>
      <c r="B369" s="12"/>
      <c r="G369" s="4">
        <f>SUM(G346:G367)</f>
        <v>6357</v>
      </c>
      <c r="J369" s="13" t="s">
        <v>286</v>
      </c>
    </row>
    <row r="370" spans="1:10">
      <c r="A370" s="10">
        <v>41729</v>
      </c>
      <c r="B370" s="10">
        <v>41730</v>
      </c>
      <c r="C370" s="7" t="s">
        <v>293</v>
      </c>
      <c r="D370" s="7" t="s">
        <v>294</v>
      </c>
      <c r="E370" s="7">
        <v>1</v>
      </c>
      <c r="F370" s="7">
        <v>13</v>
      </c>
      <c r="G370" s="7">
        <f>E370*F370</f>
        <v>13</v>
      </c>
      <c r="H370" s="7">
        <v>9</v>
      </c>
      <c r="I370" s="7" t="s">
        <v>168</v>
      </c>
    </row>
    <row r="371" spans="1:10">
      <c r="D371" s="7" t="s">
        <v>86</v>
      </c>
      <c r="E371" s="7">
        <v>1</v>
      </c>
      <c r="F371" s="7">
        <v>13</v>
      </c>
      <c r="G371" s="7">
        <f>E371*F371</f>
        <v>13</v>
      </c>
    </row>
    <row r="372" spans="1:10" s="4" customFormat="1">
      <c r="A372" s="12"/>
      <c r="B372" s="12"/>
      <c r="G372" s="4">
        <f>SUM(G370:G371)</f>
        <v>26</v>
      </c>
      <c r="J372" s="13"/>
    </row>
    <row r="373" spans="1:10">
      <c r="A373" s="10">
        <v>41730</v>
      </c>
      <c r="B373" s="10">
        <v>41741</v>
      </c>
      <c r="C373" s="1" t="s">
        <v>500</v>
      </c>
      <c r="D373" s="7" t="s">
        <v>288</v>
      </c>
      <c r="E373" s="7">
        <v>1000</v>
      </c>
      <c r="F373" s="7">
        <v>1.45</v>
      </c>
      <c r="G373" s="7">
        <f>E373*F373</f>
        <v>1450</v>
      </c>
      <c r="H373" s="7">
        <v>210</v>
      </c>
      <c r="I373" s="7" t="s">
        <v>292</v>
      </c>
      <c r="J373" s="7" t="s">
        <v>327</v>
      </c>
    </row>
    <row r="374" spans="1:10">
      <c r="D374" s="7" t="s">
        <v>289</v>
      </c>
      <c r="E374" s="7">
        <v>1500</v>
      </c>
      <c r="F374" s="7">
        <v>1.95</v>
      </c>
      <c r="G374" s="7">
        <f>E374*F374</f>
        <v>2925</v>
      </c>
      <c r="J374" s="7" t="s">
        <v>334</v>
      </c>
    </row>
    <row r="375" spans="1:10">
      <c r="D375" s="7" t="s">
        <v>914</v>
      </c>
      <c r="E375" s="7">
        <v>500</v>
      </c>
      <c r="F375" s="7">
        <v>3.3</v>
      </c>
      <c r="G375" s="7">
        <f>E375*F375</f>
        <v>1650</v>
      </c>
      <c r="J375" s="7" t="s">
        <v>335</v>
      </c>
    </row>
    <row r="376" spans="1:10" s="4" customFormat="1">
      <c r="A376" s="12"/>
      <c r="B376" s="12"/>
      <c r="G376" s="4">
        <f>SUM(G373:G375)</f>
        <v>6025</v>
      </c>
      <c r="J376" s="13" t="s">
        <v>313</v>
      </c>
    </row>
    <row r="377" spans="1:10">
      <c r="A377" s="10">
        <v>41730</v>
      </c>
      <c r="B377" s="10">
        <v>41731</v>
      </c>
      <c r="C377" s="7" t="s">
        <v>107</v>
      </c>
      <c r="D377" s="7" t="s">
        <v>173</v>
      </c>
      <c r="E377" s="1">
        <v>60</v>
      </c>
      <c r="F377" s="7">
        <v>6</v>
      </c>
      <c r="G377" s="7">
        <f>E377*F377</f>
        <v>360</v>
      </c>
      <c r="H377" s="7">
        <v>13</v>
      </c>
      <c r="I377" s="7" t="s">
        <v>297</v>
      </c>
    </row>
    <row r="378" spans="1:10" s="4" customFormat="1">
      <c r="A378" s="12"/>
      <c r="B378" s="12"/>
      <c r="J378" s="13"/>
    </row>
    <row r="379" spans="1:10">
      <c r="A379" s="10">
        <v>41730</v>
      </c>
      <c r="B379" s="10">
        <v>41732</v>
      </c>
      <c r="C379" s="7" t="s">
        <v>301</v>
      </c>
      <c r="D379" s="7" t="s">
        <v>302</v>
      </c>
      <c r="E379" s="7">
        <v>10</v>
      </c>
      <c r="F379" s="7">
        <v>0.7</v>
      </c>
      <c r="G379" s="7">
        <f>E379*F379</f>
        <v>7</v>
      </c>
      <c r="H379" s="1">
        <v>8</v>
      </c>
      <c r="I379" s="1" t="s">
        <v>303</v>
      </c>
    </row>
    <row r="380" spans="1:10" s="4" customFormat="1">
      <c r="A380" s="12"/>
      <c r="B380" s="12"/>
      <c r="J380" s="13" t="s">
        <v>310</v>
      </c>
    </row>
    <row r="381" spans="1:10">
      <c r="A381" s="10">
        <v>41730</v>
      </c>
      <c r="B381" s="10">
        <v>41740</v>
      </c>
      <c r="C381" s="1" t="s">
        <v>293</v>
      </c>
      <c r="D381" s="7" t="s">
        <v>294</v>
      </c>
      <c r="E381" s="7">
        <v>200</v>
      </c>
      <c r="F381" s="7">
        <v>12.5</v>
      </c>
      <c r="G381" s="7">
        <f>E381*F381</f>
        <v>2500</v>
      </c>
      <c r="H381" s="7">
        <f>200*0.8</f>
        <v>160</v>
      </c>
      <c r="I381" s="7" t="s">
        <v>330</v>
      </c>
    </row>
    <row r="382" spans="1:10">
      <c r="D382" s="7" t="s">
        <v>86</v>
      </c>
      <c r="E382" s="7">
        <v>500</v>
      </c>
      <c r="F382" s="7">
        <v>11</v>
      </c>
      <c r="G382" s="7">
        <f>E382*F382</f>
        <v>5500</v>
      </c>
    </row>
    <row r="383" spans="1:10">
      <c r="D383" s="7" t="s">
        <v>295</v>
      </c>
      <c r="E383" s="7">
        <v>200</v>
      </c>
      <c r="F383" s="7">
        <v>12.5</v>
      </c>
      <c r="G383" s="7">
        <f>E383*F383</f>
        <v>2500</v>
      </c>
    </row>
    <row r="384" spans="1:10" s="4" customFormat="1">
      <c r="A384" s="12"/>
      <c r="B384" s="12"/>
      <c r="G384" s="4">
        <f>SUM(G381:G383)</f>
        <v>10500</v>
      </c>
      <c r="J384" s="13" t="s">
        <v>300</v>
      </c>
    </row>
    <row r="385" spans="1:10">
      <c r="A385" s="10">
        <v>41731</v>
      </c>
      <c r="B385" s="10">
        <v>41732</v>
      </c>
      <c r="C385" s="7" t="s">
        <v>307</v>
      </c>
      <c r="D385" s="7" t="s">
        <v>308</v>
      </c>
      <c r="E385" s="7">
        <v>10</v>
      </c>
      <c r="F385" s="7">
        <v>0.73</v>
      </c>
      <c r="G385" s="7">
        <f>E385*F385</f>
        <v>7.3</v>
      </c>
      <c r="H385" s="1">
        <v>22</v>
      </c>
      <c r="I385" s="1" t="s">
        <v>309</v>
      </c>
      <c r="J385" s="1"/>
    </row>
    <row r="386" spans="1:10" s="4" customFormat="1">
      <c r="A386" s="12"/>
      <c r="B386" s="12"/>
      <c r="J386" s="13" t="s">
        <v>310</v>
      </c>
    </row>
    <row r="387" spans="1:10">
      <c r="A387" s="10">
        <v>41731</v>
      </c>
      <c r="B387" s="10">
        <v>41733</v>
      </c>
      <c r="C387" s="7" t="s">
        <v>59</v>
      </c>
      <c r="D387" s="7" t="s">
        <v>232</v>
      </c>
      <c r="E387" s="7">
        <v>1500</v>
      </c>
      <c r="F387" s="7">
        <v>0.2</v>
      </c>
      <c r="G387" s="7">
        <f>E387*F387</f>
        <v>300</v>
      </c>
      <c r="H387" s="27">
        <f>38+5</f>
        <v>43</v>
      </c>
      <c r="I387" s="7" t="s">
        <v>298</v>
      </c>
    </row>
    <row r="388" spans="1:10">
      <c r="D388" s="1" t="s">
        <v>33</v>
      </c>
      <c r="E388" s="7">
        <v>1000</v>
      </c>
      <c r="F388" s="7">
        <v>0.22</v>
      </c>
      <c r="G388" s="7">
        <f>E388*F388</f>
        <v>220</v>
      </c>
    </row>
    <row r="389" spans="1:10">
      <c r="D389" s="1" t="s">
        <v>878</v>
      </c>
      <c r="E389" s="7">
        <v>200</v>
      </c>
      <c r="F389" s="7">
        <v>5.5</v>
      </c>
      <c r="G389" s="7">
        <f>E389*F389</f>
        <v>1100</v>
      </c>
    </row>
    <row r="390" spans="1:10" s="4" customFormat="1">
      <c r="A390" s="12"/>
      <c r="B390" s="12"/>
      <c r="G390" s="4">
        <f>SUM(G387:G389)</f>
        <v>1620</v>
      </c>
      <c r="J390" s="13"/>
    </row>
    <row r="391" spans="1:10">
      <c r="A391" s="10">
        <v>41732</v>
      </c>
      <c r="B391" s="10">
        <v>41733</v>
      </c>
      <c r="C391" s="7" t="s">
        <v>59</v>
      </c>
      <c r="D391" s="7" t="s">
        <v>232</v>
      </c>
      <c r="E391" s="7">
        <v>1500</v>
      </c>
      <c r="F391" s="7">
        <v>0.2</v>
      </c>
      <c r="G391" s="7">
        <f t="shared" ref="G391:G396" si="12">E391*F391</f>
        <v>300</v>
      </c>
      <c r="H391" s="27">
        <f>76+12</f>
        <v>88</v>
      </c>
      <c r="I391" s="7" t="s">
        <v>299</v>
      </c>
    </row>
    <row r="392" spans="1:10">
      <c r="D392" s="7" t="s">
        <v>232</v>
      </c>
      <c r="E392" s="7">
        <v>500</v>
      </c>
      <c r="F392" s="7">
        <v>0.22</v>
      </c>
      <c r="G392" s="7">
        <f t="shared" si="12"/>
        <v>110</v>
      </c>
    </row>
    <row r="393" spans="1:10">
      <c r="D393" s="1" t="s">
        <v>323</v>
      </c>
      <c r="E393" s="7">
        <v>500</v>
      </c>
      <c r="F393" s="7">
        <v>0.22</v>
      </c>
      <c r="G393" s="7">
        <f t="shared" si="12"/>
        <v>110</v>
      </c>
    </row>
    <row r="394" spans="1:10">
      <c r="D394" s="1" t="s">
        <v>878</v>
      </c>
      <c r="E394" s="7">
        <v>550</v>
      </c>
      <c r="F394" s="7">
        <v>5.5</v>
      </c>
      <c r="G394" s="7">
        <f t="shared" si="12"/>
        <v>3025</v>
      </c>
    </row>
    <row r="395" spans="1:10">
      <c r="D395" s="1" t="s">
        <v>285</v>
      </c>
      <c r="E395" s="7">
        <v>100</v>
      </c>
      <c r="F395" s="7">
        <v>2.5</v>
      </c>
      <c r="G395" s="7">
        <f t="shared" si="12"/>
        <v>250</v>
      </c>
    </row>
    <row r="396" spans="1:10">
      <c r="D396" s="1" t="s">
        <v>311</v>
      </c>
      <c r="E396" s="7">
        <v>2600</v>
      </c>
      <c r="F396" s="7">
        <v>0.34</v>
      </c>
      <c r="G396" s="7">
        <f t="shared" si="12"/>
        <v>884.00000000000011</v>
      </c>
    </row>
    <row r="397" spans="1:10" s="4" customFormat="1">
      <c r="A397" s="12"/>
      <c r="B397" s="12"/>
      <c r="G397" s="4">
        <f>SUM(G391:G396)</f>
        <v>4679</v>
      </c>
      <c r="J397" s="13"/>
    </row>
    <row r="398" spans="1:10">
      <c r="A398" s="10">
        <v>41732</v>
      </c>
      <c r="B398" s="10">
        <v>41740</v>
      </c>
      <c r="C398" s="1" t="s">
        <v>178</v>
      </c>
      <c r="D398" s="1" t="s">
        <v>236</v>
      </c>
      <c r="E398" s="7">
        <v>400</v>
      </c>
      <c r="F398" s="7">
        <v>59</v>
      </c>
      <c r="G398" s="7">
        <f>E398*F398</f>
        <v>23600</v>
      </c>
      <c r="I398" s="7" t="s">
        <v>331</v>
      </c>
    </row>
    <row r="399" spans="1:10" s="4" customFormat="1">
      <c r="A399" s="12"/>
      <c r="B399" s="12"/>
      <c r="J399" s="13" t="s">
        <v>314</v>
      </c>
    </row>
    <row r="400" spans="1:10">
      <c r="A400" s="10">
        <v>41732</v>
      </c>
      <c r="B400" s="10">
        <v>41733</v>
      </c>
      <c r="C400" s="7" t="s">
        <v>17</v>
      </c>
      <c r="D400" s="1" t="s">
        <v>875</v>
      </c>
      <c r="E400" s="1">
        <v>20</v>
      </c>
      <c r="F400" s="7">
        <v>18</v>
      </c>
      <c r="G400" s="7">
        <f t="shared" ref="G400:G405" si="13">E400*F400</f>
        <v>360</v>
      </c>
      <c r="H400" s="7">
        <v>10</v>
      </c>
      <c r="I400" s="7" t="s">
        <v>61</v>
      </c>
    </row>
    <row r="401" spans="1:10">
      <c r="A401" s="10"/>
      <c r="B401" s="10"/>
      <c r="D401" s="1" t="s">
        <v>876</v>
      </c>
      <c r="E401" s="1">
        <v>40</v>
      </c>
      <c r="F401" s="7">
        <v>1</v>
      </c>
      <c r="G401" s="7">
        <f t="shared" si="13"/>
        <v>40</v>
      </c>
    </row>
    <row r="402" spans="1:10">
      <c r="A402" s="10"/>
      <c r="B402" s="10"/>
      <c r="D402" s="1" t="s">
        <v>879</v>
      </c>
      <c r="E402" s="1">
        <v>40</v>
      </c>
      <c r="F402" s="7">
        <v>1.5</v>
      </c>
      <c r="G402" s="7">
        <f t="shared" si="13"/>
        <v>60</v>
      </c>
    </row>
    <row r="403" spans="1:10">
      <c r="D403" s="1" t="s">
        <v>880</v>
      </c>
      <c r="E403" s="1">
        <v>40</v>
      </c>
      <c r="F403" s="7">
        <v>1.5</v>
      </c>
      <c r="G403" s="7">
        <f t="shared" si="13"/>
        <v>60</v>
      </c>
    </row>
    <row r="404" spans="1:10">
      <c r="A404" s="10">
        <v>41733</v>
      </c>
      <c r="B404" s="10">
        <v>41736</v>
      </c>
      <c r="D404" s="1" t="s">
        <v>881</v>
      </c>
      <c r="E404" s="1">
        <v>-20</v>
      </c>
      <c r="G404" s="7">
        <f t="shared" si="13"/>
        <v>0</v>
      </c>
      <c r="H404" s="1">
        <v>10</v>
      </c>
      <c r="I404" s="1" t="s">
        <v>208</v>
      </c>
      <c r="J404" s="1" t="s">
        <v>315</v>
      </c>
    </row>
    <row r="405" spans="1:10">
      <c r="A405" s="10">
        <v>41733</v>
      </c>
      <c r="B405" s="10">
        <v>41736</v>
      </c>
      <c r="D405" s="1" t="s">
        <v>882</v>
      </c>
      <c r="E405" s="1">
        <v>20</v>
      </c>
      <c r="G405" s="7">
        <f t="shared" si="13"/>
        <v>0</v>
      </c>
      <c r="H405" s="1"/>
      <c r="I405" s="1"/>
      <c r="J405" s="1"/>
    </row>
    <row r="406" spans="1:10" s="4" customFormat="1">
      <c r="A406" s="12"/>
      <c r="B406" s="12"/>
      <c r="G406" s="4">
        <f>SUM(G400:G403)</f>
        <v>520</v>
      </c>
      <c r="J406" s="13"/>
    </row>
    <row r="407" spans="1:10">
      <c r="A407" s="10">
        <v>41733</v>
      </c>
      <c r="B407" s="10">
        <v>41743</v>
      </c>
      <c r="C407" s="1" t="s">
        <v>55</v>
      </c>
      <c r="D407" s="7" t="s">
        <v>915</v>
      </c>
      <c r="E407" s="7">
        <v>3000</v>
      </c>
      <c r="F407" s="7">
        <v>3.1</v>
      </c>
      <c r="G407" s="7">
        <f>E407*F407</f>
        <v>9300</v>
      </c>
      <c r="I407" s="7" t="s">
        <v>156</v>
      </c>
    </row>
    <row r="408" spans="1:10" s="4" customFormat="1">
      <c r="A408" s="12"/>
      <c r="B408" s="12"/>
      <c r="J408" s="13" t="s">
        <v>324</v>
      </c>
    </row>
    <row r="409" spans="1:10">
      <c r="A409" s="10">
        <v>41735</v>
      </c>
      <c r="B409" s="10">
        <v>41738</v>
      </c>
      <c r="C409" s="1" t="s">
        <v>301</v>
      </c>
      <c r="D409" s="7" t="s">
        <v>302</v>
      </c>
      <c r="E409" s="7">
        <v>300</v>
      </c>
      <c r="F409" s="7">
        <v>0.7</v>
      </c>
      <c r="G409" s="7">
        <f>E409*F409</f>
        <v>210</v>
      </c>
      <c r="H409" s="1">
        <v>20</v>
      </c>
      <c r="I409" s="1"/>
    </row>
    <row r="410" spans="1:10">
      <c r="A410" s="10"/>
      <c r="B410" s="10"/>
      <c r="D410" s="7" t="s">
        <v>564</v>
      </c>
      <c r="E410" s="7">
        <v>200</v>
      </c>
      <c r="F410" s="7">
        <v>0.34</v>
      </c>
      <c r="G410" s="7">
        <f>E410*F410</f>
        <v>68</v>
      </c>
      <c r="H410" s="1"/>
      <c r="I410" s="1"/>
    </row>
    <row r="411" spans="1:10" s="4" customFormat="1">
      <c r="A411" s="12"/>
      <c r="B411" s="12"/>
      <c r="G411" s="4">
        <f>SUM(G409:G410)</f>
        <v>278</v>
      </c>
      <c r="J411" s="13" t="s">
        <v>310</v>
      </c>
    </row>
    <row r="412" spans="1:10">
      <c r="A412" s="10">
        <v>41735</v>
      </c>
      <c r="B412" s="10">
        <v>41737</v>
      </c>
      <c r="C412" s="1" t="s">
        <v>59</v>
      </c>
      <c r="D412" s="7" t="s">
        <v>869</v>
      </c>
      <c r="E412" s="7">
        <v>500</v>
      </c>
      <c r="F412" s="7">
        <v>1.5</v>
      </c>
      <c r="G412" s="7">
        <f>E412*F412</f>
        <v>750</v>
      </c>
      <c r="H412" s="27">
        <v>0</v>
      </c>
      <c r="I412" s="7" t="s">
        <v>319</v>
      </c>
    </row>
    <row r="413" spans="1:10" s="4" customFormat="1">
      <c r="A413" s="12"/>
      <c r="B413" s="12"/>
      <c r="J413" s="4" t="s">
        <v>90</v>
      </c>
    </row>
    <row r="414" spans="1:10">
      <c r="A414" s="10">
        <v>41736</v>
      </c>
      <c r="B414" s="10">
        <v>41739</v>
      </c>
      <c r="C414" s="1" t="s">
        <v>307</v>
      </c>
      <c r="D414" s="7" t="s">
        <v>308</v>
      </c>
      <c r="E414" s="7">
        <v>800</v>
      </c>
      <c r="F414" s="7">
        <v>0.64</v>
      </c>
      <c r="G414" s="7">
        <f>E414*F414</f>
        <v>512</v>
      </c>
      <c r="H414" s="1"/>
      <c r="I414" s="1" t="s">
        <v>322</v>
      </c>
      <c r="J414" s="1"/>
    </row>
    <row r="415" spans="1:10">
      <c r="A415" s="10"/>
      <c r="B415" s="10"/>
      <c r="D415" s="7" t="s">
        <v>316</v>
      </c>
      <c r="E415" s="7">
        <v>1000</v>
      </c>
      <c r="F415" s="7">
        <v>0.39</v>
      </c>
      <c r="G415" s="7">
        <f>E415*F415</f>
        <v>390</v>
      </c>
      <c r="H415" s="1"/>
      <c r="I415" s="1"/>
      <c r="J415" s="1"/>
    </row>
    <row r="416" spans="1:10">
      <c r="A416" s="10"/>
      <c r="B416" s="10"/>
      <c r="D416" s="7" t="s">
        <v>317</v>
      </c>
      <c r="E416" s="7">
        <v>1000</v>
      </c>
      <c r="F416" s="7">
        <v>0.21</v>
      </c>
      <c r="G416" s="7">
        <f>E416*F416</f>
        <v>210</v>
      </c>
      <c r="H416" s="1"/>
      <c r="I416" s="1"/>
      <c r="J416" s="1"/>
    </row>
    <row r="417" spans="1:10" s="4" customFormat="1">
      <c r="A417" s="12"/>
      <c r="B417" s="12"/>
      <c r="G417" s="4">
        <f>SUM(G414:G416)</f>
        <v>1112</v>
      </c>
      <c r="J417" s="13" t="s">
        <v>310</v>
      </c>
    </row>
    <row r="418" spans="1:10">
      <c r="A418" s="10">
        <v>41736</v>
      </c>
      <c r="B418" s="10">
        <v>41736</v>
      </c>
      <c r="C418" s="7" t="s">
        <v>318</v>
      </c>
      <c r="D418" s="7" t="s">
        <v>320</v>
      </c>
      <c r="E418" s="7">
        <v>1000</v>
      </c>
      <c r="F418" s="7">
        <v>0.15</v>
      </c>
      <c r="G418" s="7">
        <f>E418*F418</f>
        <v>150</v>
      </c>
      <c r="H418" s="1"/>
      <c r="I418" s="1" t="s">
        <v>321</v>
      </c>
      <c r="J418" s="1"/>
    </row>
    <row r="419" spans="1:10" s="4" customFormat="1">
      <c r="A419" s="12"/>
      <c r="B419" s="12"/>
      <c r="J419" s="13"/>
    </row>
    <row r="420" spans="1:10">
      <c r="A420" s="10">
        <v>41739</v>
      </c>
      <c r="B420" s="10">
        <v>41743</v>
      </c>
      <c r="C420" s="1" t="s">
        <v>55</v>
      </c>
      <c r="D420" s="7" t="s">
        <v>916</v>
      </c>
      <c r="E420" s="7">
        <v>300</v>
      </c>
      <c r="F420" s="7">
        <v>2.7</v>
      </c>
      <c r="G420" s="7">
        <f>E420*F420</f>
        <v>810</v>
      </c>
      <c r="I420" s="7" t="s">
        <v>156</v>
      </c>
    </row>
    <row r="421" spans="1:10">
      <c r="A421" s="10"/>
      <c r="B421" s="10"/>
      <c r="D421" s="7" t="s">
        <v>917</v>
      </c>
      <c r="E421" s="7">
        <v>300</v>
      </c>
      <c r="F421" s="7">
        <v>6.2</v>
      </c>
      <c r="G421" s="7">
        <f>E421*F421</f>
        <v>1860</v>
      </c>
    </row>
    <row r="422" spans="1:10" s="4" customFormat="1">
      <c r="A422" s="12"/>
      <c r="B422" s="12"/>
      <c r="G422" s="4">
        <f>SUM(G420:G421)</f>
        <v>2670</v>
      </c>
      <c r="J422" s="13"/>
    </row>
    <row r="423" spans="1:10">
      <c r="A423" s="10">
        <v>41739</v>
      </c>
      <c r="B423" s="10">
        <v>41741</v>
      </c>
      <c r="C423" s="1" t="s">
        <v>163</v>
      </c>
      <c r="D423" s="16" t="s">
        <v>165</v>
      </c>
      <c r="E423" s="17">
        <v>20</v>
      </c>
      <c r="F423" s="7">
        <v>115</v>
      </c>
      <c r="G423" s="18">
        <f>E423*F423</f>
        <v>2300</v>
      </c>
      <c r="H423" s="7">
        <v>25</v>
      </c>
      <c r="I423" s="7" t="s">
        <v>333</v>
      </c>
    </row>
    <row r="424" spans="1:10" s="4" customFormat="1">
      <c r="A424" s="12"/>
      <c r="B424" s="12"/>
      <c r="J424" s="13"/>
    </row>
    <row r="425" spans="1:10">
      <c r="A425" s="10">
        <v>41739</v>
      </c>
      <c r="B425" s="10">
        <v>41740</v>
      </c>
      <c r="C425" s="1" t="s">
        <v>178</v>
      </c>
      <c r="D425" s="1" t="s">
        <v>325</v>
      </c>
      <c r="E425" s="7">
        <v>1500</v>
      </c>
      <c r="F425" s="7">
        <v>0.05</v>
      </c>
      <c r="G425" s="7">
        <f>E425*F425</f>
        <v>75</v>
      </c>
      <c r="H425" s="7">
        <v>22</v>
      </c>
      <c r="I425" s="7" t="s">
        <v>199</v>
      </c>
    </row>
    <row r="426" spans="1:10" s="4" customFormat="1">
      <c r="A426" s="12"/>
      <c r="B426" s="12"/>
      <c r="J426" s="13" t="s">
        <v>326</v>
      </c>
    </row>
    <row r="427" spans="1:10">
      <c r="A427" s="10">
        <v>41740</v>
      </c>
      <c r="B427" s="10">
        <v>41741</v>
      </c>
      <c r="C427" s="1" t="s">
        <v>17</v>
      </c>
      <c r="D427" s="1" t="s">
        <v>883</v>
      </c>
      <c r="E427" s="1">
        <v>1</v>
      </c>
      <c r="F427" s="7">
        <v>165</v>
      </c>
      <c r="G427" s="7">
        <f>E427*F427</f>
        <v>165</v>
      </c>
      <c r="H427" s="7">
        <v>10</v>
      </c>
      <c r="I427" s="7" t="s">
        <v>205</v>
      </c>
      <c r="J427" s="7" t="s">
        <v>332</v>
      </c>
    </row>
    <row r="428" spans="1:10">
      <c r="A428" s="10"/>
      <c r="B428" s="10"/>
      <c r="D428" s="1" t="s">
        <v>884</v>
      </c>
      <c r="E428" s="1">
        <v>1</v>
      </c>
      <c r="F428" s="7">
        <v>200</v>
      </c>
      <c r="G428" s="7">
        <f>E428*F428</f>
        <v>200</v>
      </c>
    </row>
    <row r="429" spans="1:10" s="4" customFormat="1">
      <c r="A429" s="12"/>
      <c r="B429" s="12"/>
      <c r="G429" s="4">
        <f>SUM(G427:G428)</f>
        <v>365</v>
      </c>
      <c r="J429" s="13"/>
    </row>
    <row r="430" spans="1:10">
      <c r="A430" s="32">
        <v>41740</v>
      </c>
      <c r="B430" s="32" t="s">
        <v>337</v>
      </c>
      <c r="C430" s="15" t="s">
        <v>107</v>
      </c>
      <c r="D430" s="1" t="s">
        <v>871</v>
      </c>
      <c r="E430" s="7">
        <v>200</v>
      </c>
      <c r="F430" s="7">
        <v>0.25</v>
      </c>
      <c r="G430" s="7">
        <f>E430*F430</f>
        <v>50</v>
      </c>
      <c r="H430" s="1"/>
      <c r="I430" s="1"/>
      <c r="J430" s="1"/>
    </row>
    <row r="431" spans="1:10">
      <c r="A431" s="10"/>
      <c r="B431" s="10"/>
      <c r="D431" s="1" t="s">
        <v>885</v>
      </c>
      <c r="E431" s="7">
        <v>60</v>
      </c>
      <c r="F431" s="7">
        <v>1.5</v>
      </c>
      <c r="G431" s="7">
        <f>E431*F431</f>
        <v>90</v>
      </c>
      <c r="H431" s="1"/>
      <c r="I431" s="1"/>
      <c r="J431" s="1"/>
    </row>
    <row r="432" spans="1:10">
      <c r="A432" s="10"/>
      <c r="B432" s="10"/>
      <c r="D432" s="1" t="s">
        <v>886</v>
      </c>
      <c r="E432" s="7">
        <v>20</v>
      </c>
      <c r="F432" s="7">
        <v>1.5</v>
      </c>
      <c r="G432" s="7">
        <f>E432*F432</f>
        <v>30</v>
      </c>
      <c r="H432" s="1"/>
      <c r="I432" s="1"/>
      <c r="J432" s="1"/>
    </row>
    <row r="433" spans="1:10" s="4" customFormat="1">
      <c r="A433" s="12"/>
      <c r="B433" s="12"/>
      <c r="J433" s="13"/>
    </row>
    <row r="434" spans="1:10">
      <c r="A434" s="10">
        <v>41869</v>
      </c>
      <c r="B434" s="10">
        <v>41873</v>
      </c>
      <c r="C434" s="7" t="s">
        <v>343</v>
      </c>
      <c r="D434" s="30" t="s">
        <v>354</v>
      </c>
      <c r="E434" s="7">
        <v>1000</v>
      </c>
      <c r="F434" s="7">
        <v>0.11</v>
      </c>
      <c r="G434" s="7">
        <f>E434*F434</f>
        <v>110</v>
      </c>
      <c r="H434" s="7">
        <v>20</v>
      </c>
      <c r="I434" s="7" t="s">
        <v>360</v>
      </c>
      <c r="J434" s="31"/>
    </row>
    <row r="435" spans="1:10">
      <c r="A435" s="10"/>
      <c r="B435" s="10"/>
      <c r="D435" s="30" t="s">
        <v>355</v>
      </c>
      <c r="E435" s="7">
        <v>1000</v>
      </c>
      <c r="F435" s="7">
        <v>0.11</v>
      </c>
      <c r="G435" s="7">
        <f>E435*F435</f>
        <v>110</v>
      </c>
      <c r="J435" s="31"/>
    </row>
    <row r="436" spans="1:10">
      <c r="A436" s="10"/>
      <c r="B436" s="10"/>
      <c r="D436" s="30" t="s">
        <v>356</v>
      </c>
      <c r="E436" s="7">
        <v>1000</v>
      </c>
      <c r="F436" s="7">
        <v>0.08</v>
      </c>
      <c r="G436" s="7">
        <f>E436*F436</f>
        <v>80</v>
      </c>
      <c r="J436" s="31"/>
    </row>
    <row r="437" spans="1:10" s="4" customFormat="1">
      <c r="A437" s="12"/>
      <c r="B437" s="12"/>
      <c r="G437" s="4">
        <f>SUM(G434:G436)</f>
        <v>300</v>
      </c>
      <c r="J437" s="13" t="s">
        <v>369</v>
      </c>
    </row>
    <row r="438" spans="1:10">
      <c r="A438" s="10">
        <v>41870</v>
      </c>
      <c r="B438" s="10">
        <v>41871</v>
      </c>
      <c r="C438" s="1" t="s">
        <v>107</v>
      </c>
      <c r="D438" s="1" t="s">
        <v>905</v>
      </c>
      <c r="E438" s="7">
        <v>200</v>
      </c>
      <c r="F438" s="7">
        <v>0.25</v>
      </c>
      <c r="G438" s="7">
        <f>E438*F438</f>
        <v>50</v>
      </c>
      <c r="H438" s="1">
        <v>18</v>
      </c>
      <c r="I438" s="1" t="s">
        <v>297</v>
      </c>
      <c r="J438" s="1"/>
    </row>
    <row r="439" spans="1:10">
      <c r="A439" s="10"/>
      <c r="B439" s="10"/>
      <c r="D439" s="1" t="s">
        <v>204</v>
      </c>
      <c r="E439" s="7">
        <v>30</v>
      </c>
      <c r="F439" s="7">
        <f>18-2</f>
        <v>16</v>
      </c>
      <c r="G439" s="7">
        <f>E439*F439</f>
        <v>480</v>
      </c>
      <c r="H439" s="1"/>
      <c r="I439" s="1"/>
      <c r="J439" s="1"/>
    </row>
    <row r="440" spans="1:10">
      <c r="A440" s="10"/>
      <c r="B440" s="10"/>
      <c r="C440" s="1"/>
      <c r="D440" s="1" t="s">
        <v>872</v>
      </c>
      <c r="E440" s="7">
        <v>200</v>
      </c>
      <c r="F440" s="7">
        <v>0.25</v>
      </c>
      <c r="G440" s="7">
        <f>E440*F440</f>
        <v>50</v>
      </c>
      <c r="H440" s="1"/>
      <c r="I440" s="1"/>
      <c r="J440" s="1"/>
    </row>
    <row r="441" spans="1:10">
      <c r="A441" s="10"/>
      <c r="B441" s="10"/>
      <c r="D441" s="1" t="s">
        <v>887</v>
      </c>
      <c r="E441" s="7">
        <v>60</v>
      </c>
      <c r="F441" s="7">
        <v>1.5</v>
      </c>
      <c r="G441" s="7">
        <f>E441*F441</f>
        <v>90</v>
      </c>
      <c r="H441" s="1"/>
      <c r="I441" s="1"/>
      <c r="J441" s="1"/>
    </row>
    <row r="442" spans="1:10">
      <c r="A442" s="10"/>
      <c r="B442" s="10"/>
      <c r="D442" s="1" t="s">
        <v>888</v>
      </c>
      <c r="E442" s="7">
        <v>20</v>
      </c>
      <c r="F442" s="7">
        <v>1.5</v>
      </c>
      <c r="G442" s="7">
        <f>E442*F442</f>
        <v>30</v>
      </c>
      <c r="H442" s="1"/>
      <c r="I442" s="1"/>
      <c r="J442" s="1"/>
    </row>
    <row r="443" spans="1:10" s="4" customFormat="1">
      <c r="A443" s="12"/>
      <c r="B443" s="12"/>
      <c r="G443" s="4">
        <f>SUM(G438:G442)</f>
        <v>700</v>
      </c>
      <c r="J443" s="13"/>
    </row>
    <row r="444" spans="1:10">
      <c r="A444" s="32">
        <v>41871</v>
      </c>
      <c r="B444" s="15" t="s">
        <v>357</v>
      </c>
      <c r="C444" s="15" t="s">
        <v>17</v>
      </c>
      <c r="D444" s="1" t="s">
        <v>801</v>
      </c>
      <c r="E444" s="7">
        <v>50</v>
      </c>
      <c r="F444" s="7">
        <v>8</v>
      </c>
      <c r="G444" s="7">
        <f>E444*F444</f>
        <v>400</v>
      </c>
      <c r="H444" s="1">
        <v>10</v>
      </c>
      <c r="I444" s="1" t="s">
        <v>358</v>
      </c>
      <c r="J444" s="1" t="s">
        <v>359</v>
      </c>
    </row>
    <row r="445" spans="1:10">
      <c r="A445" s="10"/>
      <c r="B445" s="10"/>
      <c r="C445" s="1"/>
      <c r="D445" s="7" t="s">
        <v>389</v>
      </c>
      <c r="E445" s="7">
        <v>200</v>
      </c>
      <c r="F445" s="7">
        <v>0.25</v>
      </c>
      <c r="G445" s="7">
        <f>E445*F445</f>
        <v>50</v>
      </c>
      <c r="H445" s="1"/>
      <c r="I445" s="1"/>
      <c r="J445" s="1"/>
    </row>
    <row r="446" spans="1:10" s="4" customFormat="1">
      <c r="A446" s="12"/>
      <c r="B446" s="12"/>
      <c r="G446" s="4">
        <f>SUM(G444:G445)</f>
        <v>450</v>
      </c>
      <c r="J446" s="13"/>
    </row>
    <row r="447" spans="1:10">
      <c r="A447" s="10">
        <v>41872</v>
      </c>
      <c r="B447" s="10">
        <v>41873</v>
      </c>
      <c r="C447" s="1" t="s">
        <v>178</v>
      </c>
      <c r="D447" s="1" t="s">
        <v>802</v>
      </c>
      <c r="E447" s="7">
        <v>50</v>
      </c>
      <c r="F447" s="7">
        <v>8.5</v>
      </c>
      <c r="G447" s="7">
        <f>E447*F447</f>
        <v>425</v>
      </c>
      <c r="H447" s="1">
        <v>13</v>
      </c>
      <c r="I447" s="7" t="s">
        <v>205</v>
      </c>
      <c r="J447" s="1"/>
    </row>
    <row r="448" spans="1:10">
      <c r="A448" s="10"/>
      <c r="B448" s="10"/>
      <c r="C448" s="1"/>
      <c r="D448" s="7" t="s">
        <v>155</v>
      </c>
      <c r="E448" s="7">
        <v>200</v>
      </c>
      <c r="F448" s="7">
        <v>0.25</v>
      </c>
      <c r="G448" s="7">
        <f>E448*F448</f>
        <v>50</v>
      </c>
      <c r="H448" s="1"/>
      <c r="I448" s="1"/>
      <c r="J448" s="1"/>
    </row>
    <row r="449" spans="1:10" s="4" customFormat="1">
      <c r="A449" s="12"/>
      <c r="B449" s="12"/>
      <c r="G449" s="4">
        <f>SUM(G447:G448)</f>
        <v>475</v>
      </c>
      <c r="J449" s="13"/>
    </row>
    <row r="450" spans="1:10">
      <c r="A450" s="10">
        <v>41892</v>
      </c>
      <c r="B450" s="10">
        <v>41909</v>
      </c>
      <c r="C450" s="7" t="s">
        <v>229</v>
      </c>
      <c r="D450" s="7" t="s">
        <v>406</v>
      </c>
      <c r="E450" s="7">
        <v>500</v>
      </c>
      <c r="F450" s="7">
        <v>3.1</v>
      </c>
      <c r="G450" s="7">
        <f>E450*F450</f>
        <v>1550</v>
      </c>
      <c r="H450" s="7">
        <v>200</v>
      </c>
      <c r="I450" s="7" t="s">
        <v>404</v>
      </c>
    </row>
    <row r="451" spans="1:10" s="4" customFormat="1">
      <c r="A451" s="12"/>
      <c r="B451" s="12"/>
      <c r="J451" s="13" t="s">
        <v>405</v>
      </c>
    </row>
    <row r="452" spans="1:10">
      <c r="A452" s="10">
        <v>41894</v>
      </c>
      <c r="B452" s="10">
        <v>41898</v>
      </c>
      <c r="C452" s="7" t="s">
        <v>343</v>
      </c>
      <c r="D452" s="30" t="s">
        <v>344</v>
      </c>
      <c r="E452" s="7">
        <v>3000</v>
      </c>
      <c r="F452" s="7">
        <v>0.02</v>
      </c>
      <c r="G452" s="7">
        <f>E452*F452</f>
        <v>60</v>
      </c>
      <c r="H452" s="7">
        <v>10</v>
      </c>
      <c r="I452" s="7" t="s">
        <v>368</v>
      </c>
      <c r="J452" s="31"/>
    </row>
    <row r="453" spans="1:10">
      <c r="A453" s="10"/>
      <c r="B453" s="10"/>
      <c r="D453" s="30" t="s">
        <v>345</v>
      </c>
      <c r="E453" s="7">
        <v>3000</v>
      </c>
      <c r="F453" s="7">
        <v>0.02</v>
      </c>
      <c r="G453" s="7">
        <f>E453*F453</f>
        <v>60</v>
      </c>
      <c r="J453" s="31"/>
    </row>
    <row r="454" spans="1:10">
      <c r="A454" s="10"/>
      <c r="B454" s="10"/>
      <c r="D454" s="30" t="s">
        <v>347</v>
      </c>
      <c r="E454" s="7">
        <v>3000</v>
      </c>
      <c r="F454" s="7">
        <v>0.02</v>
      </c>
      <c r="G454" s="7">
        <f>E454*F454</f>
        <v>60</v>
      </c>
      <c r="J454" s="31"/>
    </row>
    <row r="455" spans="1:10" s="4" customFormat="1">
      <c r="A455" s="12"/>
      <c r="B455" s="12"/>
      <c r="G455" s="4">
        <f>SUM(G452:G454)</f>
        <v>180</v>
      </c>
      <c r="J455" s="13" t="s">
        <v>369</v>
      </c>
    </row>
    <row r="456" spans="1:10">
      <c r="A456" s="10">
        <v>41897</v>
      </c>
      <c r="B456" s="10">
        <v>41906</v>
      </c>
      <c r="C456" s="1" t="s">
        <v>525</v>
      </c>
      <c r="D456" s="1" t="s">
        <v>176</v>
      </c>
      <c r="E456" s="1">
        <v>1200</v>
      </c>
      <c r="F456" s="7">
        <v>6</v>
      </c>
      <c r="G456" s="7">
        <f>E456*F456</f>
        <v>7200</v>
      </c>
      <c r="I456" s="7" t="s">
        <v>249</v>
      </c>
    </row>
    <row r="457" spans="1:10">
      <c r="A457" s="10"/>
      <c r="B457" s="10"/>
      <c r="D457" s="1" t="s">
        <v>175</v>
      </c>
      <c r="E457" s="1">
        <v>1500</v>
      </c>
      <c r="F457" s="7">
        <v>5.4</v>
      </c>
      <c r="G457" s="7">
        <f>E457*F457</f>
        <v>8100.0000000000009</v>
      </c>
    </row>
    <row r="458" spans="1:10">
      <c r="A458" s="10"/>
      <c r="B458" s="10">
        <v>41908</v>
      </c>
      <c r="C458" s="1"/>
      <c r="D458" s="1" t="s">
        <v>176</v>
      </c>
      <c r="E458" s="1">
        <v>300</v>
      </c>
      <c r="F458" s="7">
        <v>6</v>
      </c>
      <c r="G458" s="7">
        <f>E458*F458</f>
        <v>1800</v>
      </c>
      <c r="I458" s="7" t="s">
        <v>249</v>
      </c>
    </row>
    <row r="459" spans="1:10">
      <c r="A459" s="10"/>
      <c r="B459" s="10"/>
      <c r="D459" s="1" t="s">
        <v>230</v>
      </c>
      <c r="E459" s="1">
        <v>1500</v>
      </c>
      <c r="F459" s="7">
        <v>4.2</v>
      </c>
      <c r="G459" s="7">
        <f>E459*F459</f>
        <v>6300</v>
      </c>
    </row>
    <row r="460" spans="1:10">
      <c r="A460" s="10"/>
      <c r="B460" s="10"/>
      <c r="D460" s="1" t="s">
        <v>275</v>
      </c>
      <c r="E460" s="1">
        <v>200</v>
      </c>
      <c r="F460" s="7">
        <v>5</v>
      </c>
      <c r="G460" s="7">
        <f>E460*F460</f>
        <v>1000</v>
      </c>
    </row>
    <row r="461" spans="1:10" s="4" customFormat="1">
      <c r="A461" s="12"/>
      <c r="B461" s="12"/>
      <c r="G461" s="4">
        <f>SUM(G456:G460)</f>
        <v>24400</v>
      </c>
      <c r="J461" s="13" t="s">
        <v>377</v>
      </c>
    </row>
    <row r="462" spans="1:10">
      <c r="A462" s="10">
        <v>41899</v>
      </c>
      <c r="B462" s="10">
        <v>41911</v>
      </c>
      <c r="C462" s="1" t="s">
        <v>362</v>
      </c>
      <c r="D462" s="7" t="s">
        <v>539</v>
      </c>
      <c r="E462" s="7">
        <v>10000</v>
      </c>
      <c r="F462" s="7">
        <v>0.19</v>
      </c>
      <c r="G462" s="7">
        <f>E462*F462</f>
        <v>1900</v>
      </c>
      <c r="H462" s="7">
        <v>0</v>
      </c>
      <c r="I462" s="7" t="s">
        <v>384</v>
      </c>
    </row>
    <row r="463" spans="1:10" s="4" customFormat="1">
      <c r="A463" s="12"/>
      <c r="B463" s="12"/>
      <c r="J463" s="13"/>
    </row>
    <row r="464" spans="1:10">
      <c r="A464" s="10">
        <v>41899</v>
      </c>
      <c r="B464" s="10">
        <v>41903</v>
      </c>
      <c r="C464" s="1" t="s">
        <v>87</v>
      </c>
      <c r="D464" s="1" t="s">
        <v>88</v>
      </c>
      <c r="E464" s="7">
        <v>300</v>
      </c>
      <c r="F464" s="7">
        <v>1.6</v>
      </c>
      <c r="G464" s="7">
        <f>E464*F464</f>
        <v>480</v>
      </c>
      <c r="H464" s="1">
        <v>20</v>
      </c>
      <c r="I464" s="7" t="s">
        <v>380</v>
      </c>
      <c r="J464" s="1"/>
    </row>
    <row r="465" spans="1:10">
      <c r="A465" s="10"/>
      <c r="B465" s="10"/>
      <c r="C465" s="1"/>
      <c r="D465" s="1" t="s">
        <v>10</v>
      </c>
      <c r="E465" s="7">
        <v>100</v>
      </c>
      <c r="F465" s="7">
        <v>5.8</v>
      </c>
      <c r="G465" s="7">
        <f>E465*F465</f>
        <v>580</v>
      </c>
      <c r="H465" s="1"/>
      <c r="I465" s="1"/>
      <c r="J465" s="1"/>
    </row>
    <row r="466" spans="1:10">
      <c r="A466" s="10"/>
      <c r="B466" s="10"/>
      <c r="C466" s="1"/>
      <c r="D466" s="1" t="s">
        <v>365</v>
      </c>
      <c r="E466" s="7">
        <v>200</v>
      </c>
      <c r="F466" s="7">
        <v>1.38</v>
      </c>
      <c r="G466" s="7">
        <f>E466*F466</f>
        <v>276</v>
      </c>
      <c r="H466" s="1"/>
      <c r="I466" s="1"/>
      <c r="J466" s="1"/>
    </row>
    <row r="467" spans="1:10" s="4" customFormat="1">
      <c r="A467" s="12"/>
      <c r="B467" s="12"/>
      <c r="G467" s="4">
        <f>SUM(G464:G466)</f>
        <v>1336</v>
      </c>
      <c r="J467" s="13" t="s">
        <v>367</v>
      </c>
    </row>
    <row r="468" spans="1:10">
      <c r="A468" s="10">
        <v>41899</v>
      </c>
      <c r="B468" s="10">
        <v>41907</v>
      </c>
      <c r="C468" s="1" t="s">
        <v>25</v>
      </c>
      <c r="D468" s="1" t="s">
        <v>102</v>
      </c>
      <c r="E468" s="7">
        <v>2000</v>
      </c>
      <c r="F468" s="7">
        <v>2.4</v>
      </c>
      <c r="G468" s="7">
        <f>E468*F468</f>
        <v>4800</v>
      </c>
      <c r="H468" s="7">
        <v>80</v>
      </c>
      <c r="I468" s="7" t="s">
        <v>381</v>
      </c>
    </row>
    <row r="469" spans="1:10" s="4" customFormat="1">
      <c r="A469" s="12"/>
      <c r="B469" s="12"/>
      <c r="J469" s="13" t="s">
        <v>371</v>
      </c>
    </row>
    <row r="470" spans="1:10">
      <c r="A470" s="10">
        <v>41899</v>
      </c>
      <c r="B470" s="10">
        <v>41907</v>
      </c>
      <c r="C470" s="1" t="s">
        <v>178</v>
      </c>
      <c r="D470" s="1" t="s">
        <v>660</v>
      </c>
      <c r="E470" s="7">
        <v>700</v>
      </c>
      <c r="F470" s="7">
        <v>1.9</v>
      </c>
      <c r="G470" s="7">
        <f>E470*F470</f>
        <v>1330</v>
      </c>
      <c r="H470" s="1">
        <v>17</v>
      </c>
      <c r="I470" s="7" t="s">
        <v>376</v>
      </c>
      <c r="J470" s="1"/>
    </row>
    <row r="471" spans="1:10">
      <c r="A471" s="10"/>
      <c r="C471" s="1"/>
      <c r="D471" s="1" t="s">
        <v>660</v>
      </c>
      <c r="E471" s="7">
        <v>1100</v>
      </c>
      <c r="F471" s="7">
        <v>1.9</v>
      </c>
      <c r="G471" s="7">
        <f>E471*F471</f>
        <v>2090</v>
      </c>
      <c r="H471" s="1"/>
      <c r="J471" s="1"/>
    </row>
    <row r="472" spans="1:10">
      <c r="A472" s="32">
        <v>41912</v>
      </c>
      <c r="B472" s="15" t="s">
        <v>385</v>
      </c>
      <c r="C472" s="15"/>
      <c r="D472" s="1" t="s">
        <v>661</v>
      </c>
      <c r="E472" s="7">
        <v>-1100</v>
      </c>
      <c r="F472" s="7">
        <v>1.9</v>
      </c>
      <c r="G472" s="7">
        <f>E472*F472</f>
        <v>-2090</v>
      </c>
      <c r="H472" s="1"/>
      <c r="J472" s="1" t="s">
        <v>393</v>
      </c>
    </row>
    <row r="473" spans="1:10" s="4" customFormat="1">
      <c r="A473" s="12"/>
      <c r="B473" s="12"/>
      <c r="G473" s="4">
        <f>SUM(G470:G471)</f>
        <v>3420</v>
      </c>
      <c r="J473" s="13" t="s">
        <v>372</v>
      </c>
    </row>
    <row r="474" spans="1:10">
      <c r="A474" s="10">
        <v>41900</v>
      </c>
      <c r="B474" s="10">
        <v>41908</v>
      </c>
      <c r="C474" s="1" t="s">
        <v>81</v>
      </c>
      <c r="D474" s="1" t="s">
        <v>184</v>
      </c>
      <c r="E474" s="7">
        <v>500</v>
      </c>
      <c r="F474" s="7">
        <v>1.5</v>
      </c>
      <c r="G474" s="7">
        <f>E474*F474</f>
        <v>750</v>
      </c>
      <c r="H474" s="1">
        <v>45</v>
      </c>
      <c r="I474" s="7" t="s">
        <v>84</v>
      </c>
      <c r="J474" s="1"/>
    </row>
    <row r="475" spans="1:10">
      <c r="A475" s="10"/>
      <c r="B475" s="10"/>
      <c r="C475" s="1"/>
      <c r="D475" s="1" t="s">
        <v>185</v>
      </c>
      <c r="E475" s="7">
        <v>500</v>
      </c>
      <c r="F475" s="7">
        <v>1</v>
      </c>
      <c r="G475" s="7">
        <f>E475*F475</f>
        <v>500</v>
      </c>
      <c r="H475" s="1"/>
      <c r="I475" s="1"/>
      <c r="J475" s="1"/>
    </row>
    <row r="476" spans="1:10">
      <c r="A476" s="10"/>
      <c r="B476" s="10"/>
      <c r="C476" s="1"/>
      <c r="D476" s="1" t="s">
        <v>918</v>
      </c>
      <c r="E476" s="7">
        <v>3000</v>
      </c>
      <c r="F476" s="7">
        <v>1.8</v>
      </c>
      <c r="G476" s="7">
        <f>E476*F476</f>
        <v>5400</v>
      </c>
      <c r="H476" s="1"/>
      <c r="I476" s="1"/>
      <c r="J476" s="1"/>
    </row>
    <row r="477" spans="1:10" s="4" customFormat="1">
      <c r="A477" s="12"/>
      <c r="B477" s="12"/>
      <c r="G477" s="4">
        <f>SUM(G474:G476)</f>
        <v>6650</v>
      </c>
      <c r="J477" s="13" t="s">
        <v>373</v>
      </c>
    </row>
    <row r="478" spans="1:10">
      <c r="A478" s="10">
        <v>41900</v>
      </c>
      <c r="B478" s="10">
        <v>41901</v>
      </c>
      <c r="C478" s="7" t="s">
        <v>59</v>
      </c>
      <c r="D478" s="1" t="s">
        <v>91</v>
      </c>
      <c r="E478" s="7">
        <v>500</v>
      </c>
      <c r="F478" s="7">
        <v>0.18</v>
      </c>
      <c r="G478" s="7">
        <f>E478*F478</f>
        <v>90</v>
      </c>
      <c r="H478" s="7">
        <v>0</v>
      </c>
      <c r="I478" s="7" t="s">
        <v>299</v>
      </c>
    </row>
    <row r="479" spans="1:10">
      <c r="D479" s="7" t="s">
        <v>232</v>
      </c>
      <c r="E479" s="7">
        <v>7000</v>
      </c>
      <c r="F479" s="7">
        <v>0.2</v>
      </c>
      <c r="G479" s="7">
        <f>E479*F479</f>
        <v>1400</v>
      </c>
    </row>
    <row r="480" spans="1:10">
      <c r="D480" s="1" t="s">
        <v>33</v>
      </c>
      <c r="E480" s="7">
        <v>5000</v>
      </c>
      <c r="F480" s="7">
        <v>0.2</v>
      </c>
      <c r="G480" s="7">
        <f>E480*F480</f>
        <v>1000</v>
      </c>
    </row>
    <row r="481" spans="1:10">
      <c r="B481" s="10">
        <v>41903</v>
      </c>
      <c r="D481" s="1" t="s">
        <v>878</v>
      </c>
      <c r="E481" s="7">
        <v>1000</v>
      </c>
      <c r="F481" s="7">
        <v>5.5</v>
      </c>
      <c r="G481" s="7">
        <f>E481*F481</f>
        <v>5500</v>
      </c>
      <c r="H481" s="27">
        <v>0</v>
      </c>
      <c r="I481" s="7" t="s">
        <v>299</v>
      </c>
    </row>
    <row r="482" spans="1:10">
      <c r="B482" s="10">
        <v>41905</v>
      </c>
      <c r="D482" s="1" t="s">
        <v>878</v>
      </c>
      <c r="E482" s="7">
        <v>800</v>
      </c>
      <c r="F482" s="7">
        <v>5.5</v>
      </c>
      <c r="G482" s="7">
        <f>E482*F482</f>
        <v>4400</v>
      </c>
      <c r="H482" s="27">
        <v>0</v>
      </c>
      <c r="I482" s="7" t="s">
        <v>299</v>
      </c>
      <c r="J482" s="7" t="s">
        <v>378</v>
      </c>
    </row>
    <row r="483" spans="1:10" s="4" customFormat="1">
      <c r="A483" s="12"/>
      <c r="B483" s="12"/>
      <c r="G483" s="4">
        <f>SUM(G478:G481)</f>
        <v>7990</v>
      </c>
      <c r="J483" s="13" t="s">
        <v>366</v>
      </c>
    </row>
    <row r="484" spans="1:10">
      <c r="A484" s="10">
        <v>41900</v>
      </c>
      <c r="B484" s="10">
        <v>41902</v>
      </c>
      <c r="C484" s="1" t="s">
        <v>47</v>
      </c>
      <c r="D484" s="1" t="s">
        <v>24</v>
      </c>
      <c r="E484" s="7">
        <v>12000</v>
      </c>
      <c r="F484" s="7">
        <v>0.3</v>
      </c>
      <c r="G484" s="7">
        <f t="shared" ref="G484:G492" si="14">E484*F484</f>
        <v>3600</v>
      </c>
      <c r="H484" s="27">
        <v>0</v>
      </c>
      <c r="I484" s="7" t="s">
        <v>379</v>
      </c>
    </row>
    <row r="485" spans="1:10">
      <c r="D485" s="1" t="s">
        <v>364</v>
      </c>
      <c r="E485" s="7">
        <v>1800</v>
      </c>
      <c r="F485" s="7">
        <v>0.22</v>
      </c>
      <c r="G485" s="7">
        <f t="shared" si="14"/>
        <v>396</v>
      </c>
    </row>
    <row r="486" spans="1:10">
      <c r="D486" s="7" t="s">
        <v>361</v>
      </c>
      <c r="E486" s="7">
        <v>500</v>
      </c>
      <c r="F486" s="7">
        <v>1.65</v>
      </c>
      <c r="G486" s="7">
        <f t="shared" si="14"/>
        <v>825</v>
      </c>
    </row>
    <row r="487" spans="1:10">
      <c r="D487" s="1" t="s">
        <v>32</v>
      </c>
      <c r="E487" s="7">
        <v>1000</v>
      </c>
      <c r="F487" s="7">
        <v>0.22</v>
      </c>
      <c r="G487" s="7">
        <f t="shared" si="14"/>
        <v>220</v>
      </c>
    </row>
    <row r="488" spans="1:10">
      <c r="D488" s="1" t="s">
        <v>155</v>
      </c>
      <c r="E488" s="7">
        <v>500</v>
      </c>
      <c r="F488" s="7">
        <v>0.22</v>
      </c>
      <c r="G488" s="7">
        <f t="shared" si="14"/>
        <v>110</v>
      </c>
    </row>
    <row r="489" spans="1:10">
      <c r="D489" s="7" t="s">
        <v>954</v>
      </c>
      <c r="E489" s="7">
        <v>200</v>
      </c>
      <c r="F489" s="7">
        <v>0.6</v>
      </c>
      <c r="G489" s="7">
        <f t="shared" si="14"/>
        <v>120</v>
      </c>
    </row>
    <row r="490" spans="1:10">
      <c r="D490" s="1" t="s">
        <v>51</v>
      </c>
      <c r="E490" s="7">
        <v>2000</v>
      </c>
      <c r="F490" s="7">
        <v>0.16500000000000001</v>
      </c>
      <c r="G490" s="7">
        <f t="shared" si="14"/>
        <v>330</v>
      </c>
    </row>
    <row r="491" spans="1:10">
      <c r="D491" s="1" t="s">
        <v>3</v>
      </c>
      <c r="E491" s="7">
        <v>2000</v>
      </c>
      <c r="F491" s="7">
        <v>0.22</v>
      </c>
      <c r="G491" s="7">
        <f t="shared" si="14"/>
        <v>440</v>
      </c>
    </row>
    <row r="492" spans="1:10">
      <c r="A492" s="10"/>
      <c r="B492" s="10"/>
      <c r="D492" s="1" t="s">
        <v>938</v>
      </c>
      <c r="E492" s="7">
        <v>-30500</v>
      </c>
      <c r="F492" s="7">
        <v>5.0000000000000001E-3</v>
      </c>
      <c r="G492" s="7">
        <f t="shared" si="14"/>
        <v>-152.5</v>
      </c>
    </row>
    <row r="493" spans="1:10" s="4" customFormat="1">
      <c r="A493" s="12"/>
      <c r="B493" s="12"/>
      <c r="G493" s="4">
        <f>SUM(G484:G492)</f>
        <v>5888.5</v>
      </c>
      <c r="J493" s="13" t="s">
        <v>374</v>
      </c>
    </row>
    <row r="494" spans="1:10">
      <c r="A494" s="10">
        <v>41900</v>
      </c>
      <c r="B494" s="10">
        <v>41901</v>
      </c>
      <c r="C494" s="1" t="s">
        <v>107</v>
      </c>
      <c r="D494" s="1" t="s">
        <v>277</v>
      </c>
      <c r="E494" s="7">
        <v>10000</v>
      </c>
      <c r="F494" s="7">
        <v>0.24</v>
      </c>
      <c r="G494" s="7">
        <f>E494*F494</f>
        <v>2400</v>
      </c>
      <c r="H494" s="7">
        <f>16*10*1</f>
        <v>160</v>
      </c>
      <c r="I494" s="7" t="s">
        <v>40</v>
      </c>
    </row>
    <row r="495" spans="1:10" s="4" customFormat="1">
      <c r="A495" s="12"/>
      <c r="B495" s="12"/>
      <c r="J495" s="13"/>
    </row>
    <row r="496" spans="1:10">
      <c r="A496" s="10">
        <v>41901</v>
      </c>
      <c r="B496" s="10">
        <v>41903</v>
      </c>
      <c r="C496" s="1" t="s">
        <v>370</v>
      </c>
      <c r="D496" s="1" t="s">
        <v>148</v>
      </c>
      <c r="E496" s="1">
        <v>500</v>
      </c>
      <c r="F496" s="7">
        <v>0.45</v>
      </c>
      <c r="G496" s="7">
        <f>E496*F496</f>
        <v>225</v>
      </c>
      <c r="H496" s="27">
        <v>20</v>
      </c>
      <c r="I496" s="7" t="s">
        <v>376</v>
      </c>
    </row>
    <row r="497" spans="1:12">
      <c r="D497" s="1" t="s">
        <v>49</v>
      </c>
      <c r="E497" s="1">
        <v>1800</v>
      </c>
      <c r="F497" s="7">
        <v>1.2</v>
      </c>
      <c r="G497" s="7">
        <f>E497*F497</f>
        <v>2160</v>
      </c>
    </row>
    <row r="498" spans="1:12" s="4" customFormat="1">
      <c r="A498" s="12"/>
      <c r="B498" s="12"/>
      <c r="G498" s="4">
        <f>SUM(G496:G497)</f>
        <v>2385</v>
      </c>
      <c r="J498" s="13" t="s">
        <v>375</v>
      </c>
    </row>
    <row r="499" spans="1:12">
      <c r="A499" s="10">
        <v>41907</v>
      </c>
      <c r="B499" s="10">
        <v>41909</v>
      </c>
      <c r="C499" s="7" t="s">
        <v>343</v>
      </c>
      <c r="D499" s="30" t="s">
        <v>504</v>
      </c>
      <c r="E499" s="7">
        <v>1000</v>
      </c>
      <c r="F499" s="7">
        <v>0.1</v>
      </c>
      <c r="G499" s="7">
        <f>E499*F499</f>
        <v>100</v>
      </c>
      <c r="H499" s="7">
        <v>20</v>
      </c>
      <c r="I499" s="7" t="s">
        <v>71</v>
      </c>
      <c r="J499" s="31"/>
    </row>
    <row r="500" spans="1:12">
      <c r="A500" s="10"/>
      <c r="B500" s="10"/>
      <c r="D500" s="30" t="s">
        <v>355</v>
      </c>
      <c r="E500" s="7">
        <v>1000</v>
      </c>
      <c r="F500" s="7">
        <v>0.1</v>
      </c>
      <c r="G500" s="7">
        <f>E500*F500</f>
        <v>100</v>
      </c>
      <c r="J500" s="31"/>
    </row>
    <row r="501" spans="1:12" s="4" customFormat="1">
      <c r="A501" s="12"/>
      <c r="B501" s="12"/>
      <c r="G501" s="4">
        <f>SUM(G499:G500)</f>
        <v>200</v>
      </c>
      <c r="J501" s="13" t="s">
        <v>369</v>
      </c>
    </row>
    <row r="502" spans="1:12">
      <c r="A502" s="10">
        <v>41907</v>
      </c>
      <c r="B502" s="10">
        <v>41913</v>
      </c>
      <c r="C502" s="7" t="s">
        <v>17</v>
      </c>
      <c r="D502" s="1" t="s">
        <v>913</v>
      </c>
      <c r="E502" s="1">
        <v>2000</v>
      </c>
      <c r="F502" s="15">
        <v>1.9</v>
      </c>
      <c r="G502" s="7">
        <f>E502*F502</f>
        <v>3800</v>
      </c>
      <c r="H502" s="7">
        <f>160+50</f>
        <v>210</v>
      </c>
      <c r="I502" s="7" t="s">
        <v>299</v>
      </c>
      <c r="J502" s="15" t="s">
        <v>388</v>
      </c>
      <c r="K502" s="15"/>
      <c r="L502" s="15"/>
    </row>
    <row r="503" spans="1:12">
      <c r="A503" s="10"/>
      <c r="B503" s="1"/>
      <c r="D503" s="1" t="s">
        <v>942</v>
      </c>
      <c r="E503" s="1">
        <v>281</v>
      </c>
      <c r="F503" s="7">
        <v>8</v>
      </c>
      <c r="G503" s="7">
        <f>E503*F503</f>
        <v>2248</v>
      </c>
    </row>
    <row r="504" spans="1:12">
      <c r="A504" s="15" t="s">
        <v>392</v>
      </c>
      <c r="B504" s="15" t="s">
        <v>394</v>
      </c>
      <c r="C504" s="15"/>
      <c r="D504" s="1" t="s">
        <v>942</v>
      </c>
      <c r="E504" s="1">
        <v>19</v>
      </c>
      <c r="F504" s="7">
        <v>8</v>
      </c>
      <c r="G504" s="7">
        <f>E504*F504</f>
        <v>152</v>
      </c>
    </row>
    <row r="505" spans="1:12" s="4" customFormat="1">
      <c r="A505" s="12"/>
      <c r="B505" s="12"/>
      <c r="G505" s="4">
        <f>SUM(G502:G503)</f>
        <v>6048</v>
      </c>
      <c r="J505" s="13" t="s">
        <v>382</v>
      </c>
    </row>
    <row r="506" spans="1:12">
      <c r="A506" s="10">
        <v>41907</v>
      </c>
      <c r="B506" s="10">
        <v>41924</v>
      </c>
      <c r="C506" s="1" t="s">
        <v>55</v>
      </c>
      <c r="D506" s="7" t="s">
        <v>915</v>
      </c>
      <c r="E506" s="7">
        <v>4000</v>
      </c>
      <c r="F506" s="7">
        <v>3.2</v>
      </c>
      <c r="G506" s="7">
        <f>E506*F506</f>
        <v>12800</v>
      </c>
      <c r="H506" s="7">
        <v>-200</v>
      </c>
      <c r="I506" s="7" t="s">
        <v>383</v>
      </c>
    </row>
    <row r="507" spans="1:12" s="4" customFormat="1">
      <c r="A507" s="12"/>
      <c r="B507" s="12"/>
      <c r="J507" s="13" t="s">
        <v>398</v>
      </c>
    </row>
    <row r="508" spans="1:12">
      <c r="A508" s="10">
        <v>41912</v>
      </c>
      <c r="B508" s="10">
        <v>41913</v>
      </c>
      <c r="C508" s="1" t="s">
        <v>386</v>
      </c>
      <c r="D508" s="1" t="s">
        <v>660</v>
      </c>
      <c r="E508" s="7">
        <v>1100</v>
      </c>
      <c r="F508" s="7">
        <v>1.8</v>
      </c>
      <c r="G508" s="7">
        <f>E508*F508</f>
        <v>1980</v>
      </c>
      <c r="H508" s="1">
        <v>53</v>
      </c>
      <c r="I508" s="7" t="s">
        <v>199</v>
      </c>
      <c r="J508" s="1"/>
    </row>
    <row r="509" spans="1:12" s="4" customFormat="1">
      <c r="A509" s="12"/>
      <c r="B509" s="12"/>
      <c r="J509" s="13" t="s">
        <v>387</v>
      </c>
    </row>
    <row r="510" spans="1:12">
      <c r="A510" s="10">
        <v>41920</v>
      </c>
      <c r="B510" s="10">
        <v>41921</v>
      </c>
      <c r="C510" s="7" t="s">
        <v>395</v>
      </c>
      <c r="D510" s="30" t="s">
        <v>396</v>
      </c>
      <c r="E510" s="7">
        <v>100</v>
      </c>
      <c r="F510" s="7">
        <v>2.7</v>
      </c>
      <c r="G510" s="7">
        <f>E510*F510</f>
        <v>270</v>
      </c>
      <c r="H510" s="7">
        <v>46</v>
      </c>
      <c r="I510" s="7" t="s">
        <v>199</v>
      </c>
      <c r="J510" s="31"/>
    </row>
    <row r="511" spans="1:12">
      <c r="A511" s="10"/>
      <c r="B511" s="10"/>
      <c r="D511" s="30" t="s">
        <v>397</v>
      </c>
      <c r="E511" s="7">
        <v>10</v>
      </c>
      <c r="F511" s="7">
        <v>1.6</v>
      </c>
      <c r="G511" s="7">
        <f>E511*F511</f>
        <v>16</v>
      </c>
      <c r="J511" s="31"/>
    </row>
    <row r="512" spans="1:12" s="4" customFormat="1">
      <c r="A512" s="12"/>
      <c r="B512" s="12"/>
      <c r="G512" s="4">
        <f>SUM(G510:G511)</f>
        <v>286</v>
      </c>
      <c r="J512" s="13" t="s">
        <v>369</v>
      </c>
    </row>
    <row r="513" spans="1:10">
      <c r="A513" s="10">
        <v>41985</v>
      </c>
      <c r="B513" s="10">
        <v>41991</v>
      </c>
      <c r="C513" s="7" t="s">
        <v>189</v>
      </c>
      <c r="D513" s="7" t="s">
        <v>518</v>
      </c>
      <c r="E513" s="7">
        <v>3000</v>
      </c>
      <c r="F513" s="7">
        <v>0.3</v>
      </c>
      <c r="G513" s="7">
        <f>E513*F513</f>
        <v>900</v>
      </c>
      <c r="H513" s="7">
        <v>90</v>
      </c>
      <c r="I513" s="7" t="s">
        <v>199</v>
      </c>
    </row>
    <row r="514" spans="1:10" s="4" customFormat="1">
      <c r="A514" s="12"/>
      <c r="B514" s="12"/>
      <c r="J514" s="13" t="s">
        <v>193</v>
      </c>
    </row>
    <row r="515" spans="1:10">
      <c r="A515" s="10">
        <v>41985</v>
      </c>
      <c r="B515" s="10">
        <v>41998</v>
      </c>
      <c r="C515" s="7" t="s">
        <v>47</v>
      </c>
      <c r="D515" s="1" t="s">
        <v>187</v>
      </c>
      <c r="E515" s="1">
        <v>3000</v>
      </c>
      <c r="F515" s="7">
        <v>0.85</v>
      </c>
      <c r="G515" s="7">
        <f>E515*F515</f>
        <v>2550</v>
      </c>
      <c r="H515" s="7">
        <v>0</v>
      </c>
      <c r="I515" s="7" t="s">
        <v>408</v>
      </c>
    </row>
    <row r="516" spans="1:10">
      <c r="D516" s="7" t="s">
        <v>361</v>
      </c>
      <c r="E516" s="7">
        <v>1000</v>
      </c>
      <c r="F516" s="7">
        <v>1.5</v>
      </c>
      <c r="G516" s="7">
        <f>E516*F516</f>
        <v>1500</v>
      </c>
    </row>
    <row r="517" spans="1:10" s="4" customFormat="1">
      <c r="A517" s="12"/>
      <c r="B517" s="12"/>
      <c r="G517" s="4">
        <f>SUM(G515:G516)</f>
        <v>4050</v>
      </c>
      <c r="J517" s="13" t="s">
        <v>400</v>
      </c>
    </row>
    <row r="518" spans="1:10">
      <c r="A518" s="10">
        <v>41986</v>
      </c>
      <c r="B518" s="10">
        <v>41989</v>
      </c>
      <c r="C518" s="7" t="s">
        <v>318</v>
      </c>
      <c r="D518" s="7" t="s">
        <v>403</v>
      </c>
      <c r="E518" s="7">
        <v>10000</v>
      </c>
      <c r="F518" s="7">
        <v>3.2000000000000001E-2</v>
      </c>
      <c r="G518" s="7">
        <f>E518*F518</f>
        <v>320</v>
      </c>
      <c r="H518" s="7">
        <v>0</v>
      </c>
      <c r="I518" s="7" t="s">
        <v>407</v>
      </c>
    </row>
    <row r="519" spans="1:10" s="4" customFormat="1">
      <c r="A519" s="12"/>
      <c r="B519" s="12"/>
      <c r="J519" s="13"/>
    </row>
    <row r="520" spans="1:10">
      <c r="A520" s="10">
        <v>41999</v>
      </c>
      <c r="B520" s="10">
        <v>42005</v>
      </c>
      <c r="C520" s="1" t="s">
        <v>47</v>
      </c>
      <c r="D520" s="1" t="s">
        <v>24</v>
      </c>
      <c r="E520" s="1">
        <v>3000</v>
      </c>
      <c r="F520" s="7">
        <v>0.3</v>
      </c>
      <c r="G520" s="7">
        <f>E520*F520</f>
        <v>900</v>
      </c>
      <c r="H520" s="7">
        <v>0</v>
      </c>
      <c r="I520" s="7" t="s">
        <v>410</v>
      </c>
    </row>
    <row r="521" spans="1:10">
      <c r="A521" s="10"/>
      <c r="B521" s="10"/>
      <c r="D521" s="1" t="s">
        <v>32</v>
      </c>
      <c r="E521" s="1">
        <v>1000</v>
      </c>
      <c r="F521" s="7">
        <v>0.2</v>
      </c>
      <c r="G521" s="7">
        <f>E521*F521</f>
        <v>200</v>
      </c>
    </row>
    <row r="522" spans="1:10" s="4" customFormat="1">
      <c r="A522" s="12"/>
      <c r="B522" s="12"/>
      <c r="G522" s="4">
        <f>SUM(G520:G521)</f>
        <v>1100</v>
      </c>
      <c r="J522" s="13" t="s">
        <v>409</v>
      </c>
    </row>
    <row r="523" spans="1:10">
      <c r="A523" s="10">
        <v>42004</v>
      </c>
      <c r="B523" s="10">
        <v>42006</v>
      </c>
      <c r="C523" s="1" t="s">
        <v>178</v>
      </c>
      <c r="D523" s="1" t="s">
        <v>802</v>
      </c>
      <c r="E523" s="7">
        <v>100</v>
      </c>
      <c r="F523" s="7">
        <v>8.5</v>
      </c>
      <c r="G523" s="7">
        <f>E523*F523</f>
        <v>850</v>
      </c>
      <c r="H523" s="1">
        <v>20</v>
      </c>
      <c r="I523" s="7" t="s">
        <v>205</v>
      </c>
      <c r="J523" s="1"/>
    </row>
    <row r="524" spans="1:10">
      <c r="A524" s="10"/>
      <c r="B524" s="10"/>
      <c r="C524" s="1"/>
      <c r="D524" s="7" t="s">
        <v>204</v>
      </c>
      <c r="E524" s="7">
        <v>100</v>
      </c>
      <c r="F524" s="7">
        <v>14</v>
      </c>
      <c r="G524" s="7">
        <f>E524*F524</f>
        <v>1400</v>
      </c>
    </row>
    <row r="525" spans="1:10" s="4" customFormat="1">
      <c r="A525" s="12"/>
      <c r="B525" s="12"/>
      <c r="G525" s="4">
        <f>SUM(G523:G524)</f>
        <v>2250</v>
      </c>
      <c r="J525" s="13"/>
    </row>
    <row r="526" spans="1:10">
      <c r="A526" s="10">
        <v>42004</v>
      </c>
      <c r="B526" s="10">
        <v>42011</v>
      </c>
      <c r="C526" s="1" t="s">
        <v>47</v>
      </c>
      <c r="D526" s="1" t="s">
        <v>147</v>
      </c>
      <c r="E526" s="1">
        <v>1000</v>
      </c>
      <c r="F526" s="7">
        <v>0.47</v>
      </c>
      <c r="G526" s="7">
        <f>E526*F526</f>
        <v>470</v>
      </c>
      <c r="H526" s="7">
        <v>0</v>
      </c>
      <c r="I526" s="7" t="s">
        <v>408</v>
      </c>
    </row>
    <row r="527" spans="1:10">
      <c r="A527" s="10"/>
      <c r="B527" s="10"/>
      <c r="D527" s="1" t="s">
        <v>148</v>
      </c>
      <c r="E527" s="1">
        <v>2000</v>
      </c>
      <c r="F527" s="7">
        <v>0.47</v>
      </c>
      <c r="G527" s="7">
        <f>E527*F527</f>
        <v>940</v>
      </c>
    </row>
    <row r="528" spans="1:10" s="4" customFormat="1">
      <c r="A528" s="12"/>
      <c r="B528" s="12"/>
      <c r="G528" s="4">
        <f>SUM(G526:G527)</f>
        <v>1410</v>
      </c>
      <c r="J528" s="13" t="s">
        <v>411</v>
      </c>
    </row>
    <row r="529" spans="1:12">
      <c r="A529" s="10">
        <v>42004</v>
      </c>
      <c r="B529" s="28">
        <v>42009</v>
      </c>
      <c r="C529" s="1" t="s">
        <v>87</v>
      </c>
      <c r="D529" s="1" t="s">
        <v>365</v>
      </c>
      <c r="E529" s="7">
        <v>500</v>
      </c>
      <c r="F529" s="7">
        <v>1.35</v>
      </c>
      <c r="G529" s="7">
        <f>E529*F529</f>
        <v>675</v>
      </c>
      <c r="H529" s="1">
        <v>40</v>
      </c>
      <c r="I529" s="7" t="s">
        <v>360</v>
      </c>
      <c r="J529" s="1"/>
    </row>
    <row r="530" spans="1:12" s="4" customFormat="1">
      <c r="A530" s="12"/>
      <c r="B530" s="12"/>
      <c r="J530" s="13" t="s">
        <v>412</v>
      </c>
    </row>
    <row r="531" spans="1:12">
      <c r="A531" s="10">
        <v>42007</v>
      </c>
      <c r="B531" s="28">
        <v>42009</v>
      </c>
      <c r="C531" s="7" t="s">
        <v>420</v>
      </c>
      <c r="D531" s="1" t="s">
        <v>418</v>
      </c>
      <c r="E531" s="1">
        <v>30</v>
      </c>
      <c r="F531" s="1">
        <v>4</v>
      </c>
      <c r="G531" s="7">
        <f t="shared" ref="G531:G541" si="15">E531*F531</f>
        <v>120</v>
      </c>
      <c r="H531" s="7">
        <v>55</v>
      </c>
      <c r="I531" s="7" t="s">
        <v>444</v>
      </c>
      <c r="J531" s="1"/>
      <c r="K531" s="1"/>
      <c r="L531" s="1"/>
    </row>
    <row r="532" spans="1:12">
      <c r="A532" s="10"/>
      <c r="B532" s="28">
        <v>42009</v>
      </c>
      <c r="D532" s="1" t="s">
        <v>873</v>
      </c>
      <c r="E532" s="1">
        <v>10</v>
      </c>
      <c r="F532" s="1">
        <v>25</v>
      </c>
      <c r="G532" s="7">
        <f t="shared" si="15"/>
        <v>250</v>
      </c>
      <c r="J532" s="1"/>
      <c r="K532" s="1"/>
      <c r="L532" s="1"/>
    </row>
    <row r="533" spans="1:12">
      <c r="A533" s="10"/>
      <c r="B533" s="28">
        <v>42009</v>
      </c>
      <c r="D533" s="1" t="s">
        <v>419</v>
      </c>
      <c r="E533" s="7">
        <v>70</v>
      </c>
      <c r="F533" s="1">
        <v>1</v>
      </c>
      <c r="G533" s="7">
        <f t="shared" si="15"/>
        <v>70</v>
      </c>
      <c r="J533" s="1"/>
      <c r="K533" s="1"/>
      <c r="L533" s="1"/>
    </row>
    <row r="534" spans="1:12">
      <c r="A534" s="10"/>
      <c r="B534" s="28">
        <v>42009</v>
      </c>
      <c r="D534" s="1" t="s">
        <v>437</v>
      </c>
      <c r="E534" s="7">
        <v>25</v>
      </c>
      <c r="F534" s="1">
        <v>20</v>
      </c>
      <c r="G534" s="7">
        <f t="shared" si="15"/>
        <v>500</v>
      </c>
      <c r="J534" s="1"/>
      <c r="K534" s="1"/>
      <c r="L534" s="1"/>
    </row>
    <row r="535" spans="1:12">
      <c r="A535" s="10"/>
      <c r="B535" s="28">
        <v>42009</v>
      </c>
      <c r="D535" s="1" t="s">
        <v>927</v>
      </c>
      <c r="E535" s="1">
        <v>10</v>
      </c>
      <c r="F535" s="1">
        <v>14</v>
      </c>
      <c r="G535" s="7">
        <f t="shared" si="15"/>
        <v>140</v>
      </c>
      <c r="J535" s="1"/>
      <c r="K535" s="1"/>
      <c r="L535" s="1"/>
    </row>
    <row r="536" spans="1:12" s="1" customFormat="1">
      <c r="A536" s="28"/>
      <c r="B536" s="28">
        <v>42009</v>
      </c>
      <c r="D536" s="1" t="s">
        <v>889</v>
      </c>
      <c r="E536" s="1">
        <v>1</v>
      </c>
      <c r="F536" s="1">
        <v>8.6</v>
      </c>
      <c r="G536" s="7">
        <f t="shared" si="15"/>
        <v>8.6</v>
      </c>
    </row>
    <row r="537" spans="1:12">
      <c r="A537" s="10"/>
      <c r="B537" s="28">
        <v>42017</v>
      </c>
      <c r="D537" s="1" t="s">
        <v>419</v>
      </c>
      <c r="E537" s="7">
        <v>30</v>
      </c>
      <c r="F537" s="1">
        <v>1</v>
      </c>
      <c r="G537" s="7">
        <f t="shared" si="15"/>
        <v>30</v>
      </c>
      <c r="I537" s="7" t="s">
        <v>172</v>
      </c>
      <c r="J537" s="1"/>
      <c r="K537" s="1"/>
      <c r="L537" s="1"/>
    </row>
    <row r="538" spans="1:12">
      <c r="A538" s="10"/>
      <c r="B538" s="28">
        <v>42017</v>
      </c>
      <c r="D538" s="1" t="s">
        <v>889</v>
      </c>
      <c r="E538" s="1">
        <v>99</v>
      </c>
      <c r="F538" s="1">
        <v>8.6</v>
      </c>
      <c r="G538" s="7">
        <f t="shared" si="15"/>
        <v>851.4</v>
      </c>
      <c r="I538" s="7" t="s">
        <v>172</v>
      </c>
      <c r="J538" s="39" t="s">
        <v>453</v>
      </c>
      <c r="K538" s="1"/>
      <c r="L538" s="1"/>
    </row>
    <row r="539" spans="1:12">
      <c r="A539" s="10">
        <v>42008</v>
      </c>
      <c r="B539" s="28">
        <v>42009</v>
      </c>
      <c r="D539" s="1" t="s">
        <v>436</v>
      </c>
      <c r="E539" s="1">
        <v>30</v>
      </c>
      <c r="F539" s="1">
        <v>9</v>
      </c>
      <c r="G539" s="7">
        <f t="shared" si="15"/>
        <v>270</v>
      </c>
      <c r="J539" s="39" t="s">
        <v>454</v>
      </c>
      <c r="K539" s="1"/>
      <c r="L539" s="1"/>
    </row>
    <row r="540" spans="1:12">
      <c r="A540" s="10">
        <v>42010</v>
      </c>
      <c r="B540" s="28">
        <v>42017</v>
      </c>
      <c r="D540" s="1" t="s">
        <v>451</v>
      </c>
      <c r="E540" s="1">
        <v>10</v>
      </c>
      <c r="F540" s="1">
        <v>0.9</v>
      </c>
      <c r="G540" s="7">
        <f t="shared" si="15"/>
        <v>9</v>
      </c>
      <c r="I540" s="7" t="s">
        <v>172</v>
      </c>
      <c r="J540" s="14"/>
      <c r="K540" s="1"/>
      <c r="L540" s="1"/>
    </row>
    <row r="541" spans="1:12">
      <c r="A541" s="10"/>
      <c r="B541" s="28">
        <v>42017</v>
      </c>
      <c r="D541" s="1" t="s">
        <v>452</v>
      </c>
      <c r="E541" s="1">
        <v>20</v>
      </c>
      <c r="F541" s="1">
        <v>1</v>
      </c>
      <c r="G541" s="7">
        <f t="shared" si="15"/>
        <v>20</v>
      </c>
      <c r="I541" s="7" t="s">
        <v>172</v>
      </c>
      <c r="J541" s="39" t="s">
        <v>455</v>
      </c>
      <c r="K541" s="1"/>
      <c r="L541" s="1"/>
    </row>
    <row r="542" spans="1:12" s="4" customFormat="1">
      <c r="A542" s="12"/>
      <c r="B542" s="12"/>
      <c r="G542" s="4">
        <f>SUM(G531:G541)</f>
        <v>2269</v>
      </c>
      <c r="J542" s="13" t="s">
        <v>369</v>
      </c>
    </row>
    <row r="543" spans="1:12" s="1" customFormat="1">
      <c r="A543" s="28">
        <v>42008</v>
      </c>
      <c r="B543" s="28">
        <v>42015</v>
      </c>
      <c r="C543" s="1" t="s">
        <v>591</v>
      </c>
      <c r="D543" s="1" t="s">
        <v>433</v>
      </c>
      <c r="E543" s="1">
        <v>150</v>
      </c>
      <c r="F543" s="1">
        <v>3.5</v>
      </c>
      <c r="G543" s="7">
        <f>E543*F543</f>
        <v>525</v>
      </c>
      <c r="J543" s="1" t="s">
        <v>458</v>
      </c>
    </row>
    <row r="544" spans="1:12" s="1" customFormat="1">
      <c r="A544" s="28"/>
      <c r="B544" s="28"/>
      <c r="D544" s="1" t="s">
        <v>432</v>
      </c>
      <c r="E544" s="1">
        <v>150</v>
      </c>
      <c r="F544" s="1">
        <v>3.5</v>
      </c>
      <c r="G544" s="7">
        <f>E544*F544</f>
        <v>525</v>
      </c>
      <c r="J544" s="1" t="s">
        <v>459</v>
      </c>
    </row>
    <row r="545" spans="1:10">
      <c r="A545" s="10"/>
      <c r="B545" s="10"/>
      <c r="C545" s="1"/>
      <c r="D545" s="1" t="s">
        <v>364</v>
      </c>
      <c r="E545" s="7">
        <v>300</v>
      </c>
      <c r="F545" s="7">
        <v>0.22</v>
      </c>
      <c r="G545" s="7">
        <f>E545*F545</f>
        <v>66</v>
      </c>
      <c r="H545" s="27"/>
    </row>
    <row r="546" spans="1:10">
      <c r="A546" s="10"/>
      <c r="B546" s="10"/>
      <c r="C546" s="1"/>
      <c r="D546" s="1" t="s">
        <v>215</v>
      </c>
      <c r="E546" s="7">
        <v>40</v>
      </c>
      <c r="H546" s="27"/>
    </row>
    <row r="547" spans="1:10">
      <c r="A547" s="10"/>
      <c r="B547" s="10"/>
      <c r="C547" s="1"/>
      <c r="D547" s="1" t="s">
        <v>919</v>
      </c>
      <c r="E547" s="7">
        <v>100</v>
      </c>
      <c r="H547" s="27"/>
    </row>
    <row r="548" spans="1:10">
      <c r="A548" s="10"/>
      <c r="B548" s="10"/>
      <c r="C548" s="1"/>
      <c r="D548" s="1" t="s">
        <v>460</v>
      </c>
      <c r="E548" s="7">
        <v>67</v>
      </c>
      <c r="H548" s="27"/>
    </row>
    <row r="549" spans="1:10">
      <c r="A549" s="10"/>
      <c r="B549" s="10"/>
      <c r="C549" s="1"/>
      <c r="D549" s="1" t="s">
        <v>461</v>
      </c>
      <c r="E549" s="7">
        <v>1000</v>
      </c>
      <c r="H549" s="27"/>
    </row>
    <row r="550" spans="1:10">
      <c r="A550" s="10"/>
      <c r="B550" s="10"/>
      <c r="C550" s="1"/>
      <c r="D550" s="1" t="s">
        <v>462</v>
      </c>
      <c r="E550" s="7">
        <v>1000</v>
      </c>
      <c r="H550" s="27"/>
    </row>
    <row r="551" spans="1:10">
      <c r="A551" s="10"/>
      <c r="B551" s="10"/>
      <c r="C551" s="1"/>
      <c r="D551" s="1" t="s">
        <v>465</v>
      </c>
      <c r="E551" s="7">
        <v>200</v>
      </c>
      <c r="H551" s="27"/>
    </row>
    <row r="552" spans="1:10">
      <c r="A552" s="10"/>
      <c r="B552" s="10"/>
      <c r="C552" s="1"/>
      <c r="D552" s="1" t="s">
        <v>463</v>
      </c>
      <c r="E552" s="7">
        <v>3000</v>
      </c>
      <c r="H552" s="27"/>
    </row>
    <row r="553" spans="1:10">
      <c r="A553" s="10"/>
      <c r="B553" s="10"/>
      <c r="C553" s="1"/>
      <c r="D553" s="1" t="s">
        <v>464</v>
      </c>
      <c r="E553" s="7">
        <v>1000</v>
      </c>
      <c r="H553" s="27"/>
    </row>
    <row r="554" spans="1:10">
      <c r="A554" s="10"/>
      <c r="B554" s="10"/>
      <c r="C554" s="1"/>
      <c r="D554" s="1" t="s">
        <v>466</v>
      </c>
      <c r="E554" s="15">
        <v>2000</v>
      </c>
      <c r="H554" s="27"/>
    </row>
    <row r="555" spans="1:10">
      <c r="A555" s="10"/>
      <c r="B555" s="10"/>
      <c r="C555" s="1"/>
      <c r="D555" s="1" t="s">
        <v>469</v>
      </c>
      <c r="E555" s="7">
        <v>200</v>
      </c>
      <c r="H555" s="27"/>
    </row>
    <row r="556" spans="1:10">
      <c r="A556" s="10"/>
      <c r="B556" s="10"/>
      <c r="C556" s="1"/>
      <c r="D556" s="1" t="s">
        <v>920</v>
      </c>
      <c r="E556" s="7">
        <v>100</v>
      </c>
      <c r="H556" s="27"/>
    </row>
    <row r="557" spans="1:10">
      <c r="A557" s="10"/>
      <c r="B557" s="10"/>
      <c r="C557" s="1"/>
      <c r="D557" s="1" t="s">
        <v>921</v>
      </c>
      <c r="E557" s="7">
        <v>300</v>
      </c>
      <c r="H557" s="27"/>
    </row>
    <row r="558" spans="1:10" s="4" customFormat="1">
      <c r="A558" s="12"/>
      <c r="B558" s="12"/>
      <c r="J558" s="13"/>
    </row>
    <row r="559" spans="1:10" s="1" customFormat="1">
      <c r="A559" s="28">
        <v>42008</v>
      </c>
      <c r="B559" s="10">
        <v>42011</v>
      </c>
      <c r="C559" s="1" t="s">
        <v>429</v>
      </c>
      <c r="D559" s="1" t="s">
        <v>430</v>
      </c>
      <c r="E559" s="1">
        <v>50</v>
      </c>
      <c r="F559" s="1">
        <v>11</v>
      </c>
      <c r="G559" s="7">
        <f>E559*F559</f>
        <v>550</v>
      </c>
      <c r="H559" s="1">
        <v>0</v>
      </c>
      <c r="I559" s="1" t="s">
        <v>199</v>
      </c>
    </row>
    <row r="560" spans="1:10" s="1" customFormat="1">
      <c r="A560" s="28"/>
      <c r="B560" s="28"/>
      <c r="D560" s="1" t="s">
        <v>431</v>
      </c>
      <c r="E560" s="1">
        <v>50</v>
      </c>
      <c r="F560" s="1">
        <v>11</v>
      </c>
      <c r="G560" s="7">
        <f>E560*F560</f>
        <v>550</v>
      </c>
    </row>
    <row r="561" spans="1:12" s="4" customFormat="1">
      <c r="A561" s="12"/>
      <c r="B561" s="12"/>
      <c r="G561" s="4">
        <f>SUM(G559:G560)</f>
        <v>1100</v>
      </c>
      <c r="J561" s="13" t="s">
        <v>369</v>
      </c>
    </row>
    <row r="562" spans="1:12">
      <c r="A562" s="28">
        <v>42008</v>
      </c>
      <c r="B562" s="28">
        <v>42009</v>
      </c>
      <c r="C562" s="7" t="s">
        <v>107</v>
      </c>
      <c r="D562" s="7" t="s">
        <v>491</v>
      </c>
      <c r="E562" s="1">
        <v>200</v>
      </c>
      <c r="F562" s="7">
        <v>6</v>
      </c>
      <c r="G562" s="7">
        <f>E562*F562</f>
        <v>1200</v>
      </c>
      <c r="H562" s="7">
        <v>22</v>
      </c>
      <c r="I562" s="7" t="s">
        <v>443</v>
      </c>
    </row>
    <row r="563" spans="1:12" s="4" customFormat="1">
      <c r="A563" s="12"/>
      <c r="B563" s="12"/>
      <c r="J563" s="13"/>
    </row>
    <row r="564" spans="1:12">
      <c r="A564" s="28">
        <v>42008</v>
      </c>
      <c r="B564" s="28">
        <v>42009</v>
      </c>
      <c r="C564" s="1" t="s">
        <v>293</v>
      </c>
      <c r="D564" s="7" t="s">
        <v>428</v>
      </c>
      <c r="E564" s="7">
        <v>20</v>
      </c>
      <c r="F564" s="7">
        <v>27</v>
      </c>
      <c r="G564" s="7">
        <f>E564*F564</f>
        <v>540</v>
      </c>
      <c r="H564" s="7">
        <v>10</v>
      </c>
      <c r="I564" s="7" t="s">
        <v>442</v>
      </c>
    </row>
    <row r="565" spans="1:12" s="4" customFormat="1">
      <c r="A565" s="12"/>
      <c r="B565" s="12"/>
      <c r="J565" s="13" t="s">
        <v>369</v>
      </c>
    </row>
    <row r="566" spans="1:12">
      <c r="A566" s="28">
        <v>42008</v>
      </c>
      <c r="B566" s="28">
        <v>42009</v>
      </c>
      <c r="C566" s="7" t="s">
        <v>440</v>
      </c>
      <c r="D566" s="1" t="s">
        <v>439</v>
      </c>
      <c r="E566" s="1">
        <v>100</v>
      </c>
      <c r="F566" s="1">
        <v>4.5</v>
      </c>
      <c r="G566" s="7">
        <f>E566*F566</f>
        <v>450</v>
      </c>
      <c r="H566" s="7">
        <v>8</v>
      </c>
      <c r="I566" s="7" t="s">
        <v>384</v>
      </c>
      <c r="J566" s="1"/>
      <c r="K566" s="1"/>
      <c r="L566" s="1"/>
    </row>
    <row r="567" spans="1:12" s="4" customFormat="1">
      <c r="A567" s="12"/>
      <c r="B567" s="12"/>
      <c r="J567" s="13" t="s">
        <v>369</v>
      </c>
    </row>
    <row r="568" spans="1:12" s="1" customFormat="1">
      <c r="A568" s="28">
        <v>42009</v>
      </c>
      <c r="B568" s="28">
        <v>42012</v>
      </c>
      <c r="C568" s="1" t="s">
        <v>427</v>
      </c>
      <c r="D568" s="1" t="s">
        <v>425</v>
      </c>
      <c r="E568" s="1">
        <v>200</v>
      </c>
      <c r="F568" s="1">
        <v>14</v>
      </c>
      <c r="G568" s="7">
        <f t="shared" ref="G568:G573" si="16">E568*F568</f>
        <v>2800</v>
      </c>
      <c r="H568" s="1">
        <f>110+45</f>
        <v>155</v>
      </c>
      <c r="I568" s="1" t="s">
        <v>473</v>
      </c>
      <c r="J568" s="35"/>
    </row>
    <row r="569" spans="1:12" s="1" customFormat="1">
      <c r="A569" s="28"/>
      <c r="B569" s="28"/>
      <c r="D569" s="1" t="s">
        <v>426</v>
      </c>
      <c r="E569" s="1">
        <v>400</v>
      </c>
      <c r="F569" s="1">
        <v>4</v>
      </c>
      <c r="G569" s="7">
        <f t="shared" si="16"/>
        <v>1600</v>
      </c>
      <c r="J569" s="35"/>
    </row>
    <row r="570" spans="1:12" s="1" customFormat="1">
      <c r="A570" s="28"/>
      <c r="B570" s="28"/>
      <c r="D570" s="1" t="s">
        <v>423</v>
      </c>
      <c r="E570" s="1">
        <v>100</v>
      </c>
      <c r="F570" s="1">
        <v>8</v>
      </c>
      <c r="G570" s="7">
        <f t="shared" si="16"/>
        <v>800</v>
      </c>
      <c r="J570" s="35"/>
    </row>
    <row r="571" spans="1:12" s="1" customFormat="1">
      <c r="A571" s="28"/>
      <c r="B571" s="28"/>
      <c r="D571" s="1" t="s">
        <v>424</v>
      </c>
      <c r="E571" s="1">
        <v>200</v>
      </c>
      <c r="F571" s="1">
        <v>4</v>
      </c>
      <c r="G571" s="7">
        <f t="shared" si="16"/>
        <v>800</v>
      </c>
      <c r="J571" s="35"/>
    </row>
    <row r="572" spans="1:12" s="1" customFormat="1">
      <c r="A572" s="28"/>
      <c r="B572" s="28"/>
      <c r="D572" s="1" t="s">
        <v>422</v>
      </c>
      <c r="E572" s="1">
        <v>50</v>
      </c>
      <c r="F572" s="1">
        <v>20</v>
      </c>
      <c r="G572" s="7">
        <f t="shared" si="16"/>
        <v>1000</v>
      </c>
      <c r="J572" s="35"/>
    </row>
    <row r="573" spans="1:12" s="1" customFormat="1">
      <c r="A573" s="28"/>
      <c r="B573" s="28"/>
      <c r="D573" s="1" t="s">
        <v>421</v>
      </c>
      <c r="E573" s="1">
        <v>50</v>
      </c>
      <c r="F573" s="1">
        <v>8</v>
      </c>
      <c r="G573" s="7">
        <f t="shared" si="16"/>
        <v>400</v>
      </c>
      <c r="J573" s="35"/>
    </row>
    <row r="574" spans="1:12" s="4" customFormat="1">
      <c r="A574" s="12"/>
      <c r="B574" s="12"/>
      <c r="G574" s="4">
        <f>SUM(G568:G573)</f>
        <v>7400</v>
      </c>
      <c r="J574" s="13" t="s">
        <v>445</v>
      </c>
    </row>
    <row r="575" spans="1:12" s="1" customFormat="1">
      <c r="A575" s="28">
        <v>42009</v>
      </c>
      <c r="B575" s="28">
        <v>42014</v>
      </c>
      <c r="C575" s="1" t="s">
        <v>446</v>
      </c>
      <c r="D575" s="1" t="s">
        <v>922</v>
      </c>
      <c r="E575" s="1">
        <v>50</v>
      </c>
      <c r="F575" s="1">
        <v>45</v>
      </c>
      <c r="G575" s="7">
        <f>E575*F575</f>
        <v>2250</v>
      </c>
      <c r="H575" s="1">
        <v>65</v>
      </c>
      <c r="I575" s="1" t="s">
        <v>474</v>
      </c>
    </row>
    <row r="576" spans="1:12" s="1" customFormat="1">
      <c r="A576" s="28"/>
      <c r="B576" s="28"/>
      <c r="D576" s="1" t="s">
        <v>438</v>
      </c>
      <c r="E576" s="1">
        <v>50</v>
      </c>
      <c r="F576" s="1">
        <v>40</v>
      </c>
      <c r="G576" s="7">
        <f>E576*F576</f>
        <v>2000</v>
      </c>
    </row>
    <row r="577" spans="1:13" s="4" customFormat="1">
      <c r="A577" s="12"/>
      <c r="B577" s="12"/>
      <c r="G577" s="4">
        <f>SUM(G575:G576)</f>
        <v>4250</v>
      </c>
      <c r="J577" s="13" t="s">
        <v>369</v>
      </c>
    </row>
    <row r="578" spans="1:13">
      <c r="A578" s="28">
        <v>42009</v>
      </c>
      <c r="B578" s="28">
        <v>42012</v>
      </c>
      <c r="C578" s="1" t="s">
        <v>447</v>
      </c>
      <c r="D578" s="1" t="s">
        <v>448</v>
      </c>
      <c r="E578" s="7">
        <v>100</v>
      </c>
      <c r="F578" s="7">
        <v>2.6</v>
      </c>
      <c r="G578" s="7">
        <f>E578*F578</f>
        <v>260</v>
      </c>
      <c r="H578" s="27">
        <v>0</v>
      </c>
      <c r="I578" s="7" t="s">
        <v>476</v>
      </c>
    </row>
    <row r="579" spans="1:13" s="4" customFormat="1">
      <c r="A579" s="12"/>
      <c r="B579" s="12"/>
      <c r="J579" s="13" t="s">
        <v>369</v>
      </c>
    </row>
    <row r="580" spans="1:13">
      <c r="A580" s="28">
        <v>42010</v>
      </c>
      <c r="B580" s="10">
        <v>42011</v>
      </c>
      <c r="C580" s="7" t="s">
        <v>449</v>
      </c>
      <c r="D580" s="1" t="s">
        <v>450</v>
      </c>
      <c r="E580" s="1">
        <v>3</v>
      </c>
      <c r="F580" s="1">
        <v>165</v>
      </c>
      <c r="G580" s="7">
        <f>E580*F580</f>
        <v>495</v>
      </c>
      <c r="H580" s="7">
        <v>0</v>
      </c>
      <c r="I580" s="7" t="s">
        <v>472</v>
      </c>
      <c r="J580" s="1"/>
      <c r="K580" s="1"/>
      <c r="L580" s="1"/>
      <c r="M580" s="1"/>
    </row>
    <row r="581" spans="1:13" s="4" customFormat="1">
      <c r="A581" s="12"/>
      <c r="B581" s="12"/>
      <c r="J581" s="13"/>
    </row>
    <row r="582" spans="1:13">
      <c r="A582" s="28">
        <v>42010</v>
      </c>
      <c r="B582" s="10">
        <v>42011</v>
      </c>
      <c r="C582" s="7" t="s">
        <v>456</v>
      </c>
      <c r="D582" s="1" t="s">
        <v>457</v>
      </c>
      <c r="E582" s="1">
        <v>1</v>
      </c>
      <c r="F582" s="1">
        <v>460</v>
      </c>
      <c r="G582" s="7">
        <f>E582*F582</f>
        <v>460</v>
      </c>
      <c r="H582" s="7">
        <v>10</v>
      </c>
      <c r="I582" s="7" t="s">
        <v>471</v>
      </c>
      <c r="K582" s="1"/>
      <c r="L582" s="1"/>
      <c r="M582" s="1"/>
    </row>
    <row r="583" spans="1:13" s="4" customFormat="1">
      <c r="A583" s="12"/>
      <c r="B583" s="12"/>
      <c r="J583" s="13" t="s">
        <v>369</v>
      </c>
    </row>
    <row r="584" spans="1:13">
      <c r="A584" s="28">
        <v>42010</v>
      </c>
      <c r="B584" s="10">
        <v>42012</v>
      </c>
      <c r="C584" s="7" t="s">
        <v>17</v>
      </c>
      <c r="D584" s="1" t="s">
        <v>467</v>
      </c>
      <c r="E584" s="1">
        <v>200</v>
      </c>
      <c r="F584" s="15">
        <v>2.2000000000000002</v>
      </c>
      <c r="G584" s="7">
        <f>E584*F584</f>
        <v>440.00000000000006</v>
      </c>
      <c r="H584" s="7">
        <v>30</v>
      </c>
      <c r="I584" s="7" t="s">
        <v>468</v>
      </c>
      <c r="J584" s="15" t="s">
        <v>413</v>
      </c>
      <c r="K584" s="15"/>
      <c r="L584" s="15"/>
    </row>
    <row r="585" spans="1:13" s="4" customFormat="1">
      <c r="A585" s="12"/>
      <c r="B585" s="12"/>
      <c r="J585" s="13" t="s">
        <v>470</v>
      </c>
    </row>
    <row r="586" spans="1:13">
      <c r="A586" s="10">
        <v>42014</v>
      </c>
      <c r="B586" s="28">
        <v>42016</v>
      </c>
      <c r="C586" s="7" t="s">
        <v>475</v>
      </c>
      <c r="D586" s="1" t="s">
        <v>889</v>
      </c>
      <c r="E586" s="1">
        <v>23</v>
      </c>
      <c r="F586" s="1">
        <v>7</v>
      </c>
      <c r="G586" s="7">
        <f>E586*F586</f>
        <v>161</v>
      </c>
      <c r="H586" s="7">
        <v>28</v>
      </c>
      <c r="I586" s="7" t="s">
        <v>479</v>
      </c>
      <c r="J586" s="39"/>
      <c r="K586" s="1"/>
      <c r="L586" s="1"/>
    </row>
    <row r="587" spans="1:13" s="4" customFormat="1">
      <c r="A587" s="12"/>
      <c r="B587" s="12"/>
      <c r="J587" s="13" t="s">
        <v>369</v>
      </c>
    </row>
    <row r="588" spans="1:13">
      <c r="A588" s="10">
        <v>42014</v>
      </c>
      <c r="B588" s="28">
        <v>42015</v>
      </c>
      <c r="C588" s="7" t="s">
        <v>477</v>
      </c>
      <c r="D588" s="1" t="s">
        <v>478</v>
      </c>
      <c r="E588" s="1">
        <v>0.98</v>
      </c>
      <c r="F588" s="1">
        <v>30</v>
      </c>
      <c r="G588" s="7">
        <f>E588*F588</f>
        <v>29.4</v>
      </c>
      <c r="H588" s="7">
        <v>6</v>
      </c>
      <c r="I588" s="7" t="s">
        <v>376</v>
      </c>
      <c r="J588" s="39" t="s">
        <v>410</v>
      </c>
      <c r="K588" s="1"/>
      <c r="L588" s="1"/>
    </row>
    <row r="589" spans="1:13" s="4" customFormat="1">
      <c r="A589" s="12"/>
      <c r="B589" s="12"/>
      <c r="J589" s="13" t="s">
        <v>369</v>
      </c>
    </row>
    <row r="590" spans="1:13">
      <c r="A590" s="10">
        <v>42090</v>
      </c>
      <c r="B590" s="10">
        <v>42100</v>
      </c>
      <c r="C590" s="7" t="s">
        <v>11</v>
      </c>
      <c r="D590" s="7" t="s">
        <v>42</v>
      </c>
      <c r="E590" s="7">
        <v>48</v>
      </c>
      <c r="F590" s="7">
        <v>950</v>
      </c>
      <c r="G590" s="7">
        <f>E590*F590</f>
        <v>45600</v>
      </c>
      <c r="H590" s="7">
        <v>0</v>
      </c>
      <c r="I590" s="7" t="s">
        <v>497</v>
      </c>
    </row>
    <row r="591" spans="1:13" s="4" customFormat="1">
      <c r="A591" s="12"/>
      <c r="B591" s="12"/>
      <c r="J591" s="13" t="s">
        <v>650</v>
      </c>
    </row>
    <row r="592" spans="1:13">
      <c r="A592" s="10">
        <v>42091</v>
      </c>
      <c r="B592" s="10">
        <v>42114</v>
      </c>
      <c r="C592" s="1" t="s">
        <v>525</v>
      </c>
      <c r="D592" s="1" t="s">
        <v>176</v>
      </c>
      <c r="E592" s="1">
        <v>2500</v>
      </c>
      <c r="F592" s="7">
        <v>6</v>
      </c>
      <c r="G592" s="7">
        <f t="shared" ref="G592:G597" si="17">E592*F592</f>
        <v>15000</v>
      </c>
      <c r="H592" s="7">
        <v>0</v>
      </c>
      <c r="I592" s="7" t="s">
        <v>498</v>
      </c>
    </row>
    <row r="593" spans="1:10">
      <c r="A593" s="10"/>
      <c r="B593" s="10"/>
      <c r="D593" s="1" t="s">
        <v>175</v>
      </c>
      <c r="E593" s="1">
        <v>2500</v>
      </c>
      <c r="F593" s="7">
        <v>5.4</v>
      </c>
      <c r="G593" s="7">
        <f t="shared" si="17"/>
        <v>13500</v>
      </c>
    </row>
    <row r="594" spans="1:10">
      <c r="A594" s="10"/>
      <c r="B594" s="10"/>
      <c r="D594" s="1" t="s">
        <v>230</v>
      </c>
      <c r="E594" s="1">
        <v>4800</v>
      </c>
      <c r="F594" s="7">
        <v>4.2</v>
      </c>
      <c r="G594" s="7">
        <f t="shared" si="17"/>
        <v>20160</v>
      </c>
    </row>
    <row r="595" spans="1:10">
      <c r="B595" s="10"/>
      <c r="D595" s="1" t="s">
        <v>878</v>
      </c>
      <c r="E595" s="7">
        <v>2500</v>
      </c>
      <c r="F595" s="7">
        <v>5.5</v>
      </c>
      <c r="G595" s="7">
        <f t="shared" si="17"/>
        <v>13750</v>
      </c>
      <c r="H595" s="27"/>
    </row>
    <row r="596" spans="1:10">
      <c r="D596" s="7" t="s">
        <v>232</v>
      </c>
      <c r="E596" s="7">
        <v>10000</v>
      </c>
      <c r="F596" s="7">
        <v>0.2</v>
      </c>
      <c r="G596" s="7">
        <f t="shared" si="17"/>
        <v>2000</v>
      </c>
    </row>
    <row r="597" spans="1:10">
      <c r="D597" s="1" t="s">
        <v>33</v>
      </c>
      <c r="E597" s="7">
        <v>5000</v>
      </c>
      <c r="F597" s="7">
        <v>0.2</v>
      </c>
      <c r="G597" s="7">
        <f t="shared" si="17"/>
        <v>1000</v>
      </c>
    </row>
    <row r="598" spans="1:10" s="4" customFormat="1">
      <c r="A598" s="12"/>
      <c r="B598" s="12"/>
      <c r="G598" s="4">
        <f>SUM(G592:G597)</f>
        <v>65410</v>
      </c>
      <c r="J598" s="13" t="s">
        <v>527</v>
      </c>
    </row>
    <row r="599" spans="1:10">
      <c r="A599" s="10">
        <v>42093</v>
      </c>
      <c r="B599" s="10">
        <v>42097</v>
      </c>
      <c r="C599" s="7" t="s">
        <v>343</v>
      </c>
      <c r="D599" s="30" t="s">
        <v>344</v>
      </c>
      <c r="E599" s="7">
        <v>4000</v>
      </c>
      <c r="F599" s="7">
        <v>1.4999999999999999E-2</v>
      </c>
      <c r="G599" s="7">
        <f>E599*F599</f>
        <v>60</v>
      </c>
      <c r="H599" s="7">
        <v>10</v>
      </c>
      <c r="I599" s="7" t="s">
        <v>368</v>
      </c>
      <c r="J599" s="31"/>
    </row>
    <row r="600" spans="1:10">
      <c r="A600" s="10"/>
      <c r="B600" s="10"/>
      <c r="D600" s="30" t="s">
        <v>345</v>
      </c>
      <c r="E600" s="7">
        <v>2000</v>
      </c>
      <c r="F600" s="7">
        <v>0.03</v>
      </c>
      <c r="G600" s="7">
        <f>E600*F600</f>
        <v>60</v>
      </c>
      <c r="J600" s="31"/>
    </row>
    <row r="601" spans="1:10">
      <c r="A601" s="10"/>
      <c r="B601" s="10"/>
      <c r="D601" s="30" t="s">
        <v>347</v>
      </c>
      <c r="E601" s="7">
        <v>2000</v>
      </c>
      <c r="F601" s="7">
        <v>0.03</v>
      </c>
      <c r="G601" s="7">
        <f>E601*F601</f>
        <v>60</v>
      </c>
      <c r="J601" s="31"/>
    </row>
    <row r="602" spans="1:10" s="4" customFormat="1">
      <c r="A602" s="12"/>
      <c r="B602" s="12"/>
      <c r="G602" s="4">
        <f>SUM(G599:G601)</f>
        <v>180</v>
      </c>
      <c r="J602" s="13" t="s">
        <v>499</v>
      </c>
    </row>
    <row r="603" spans="1:10">
      <c r="A603" s="10">
        <v>42093</v>
      </c>
      <c r="B603" s="10">
        <v>42095</v>
      </c>
      <c r="C603" s="1" t="s">
        <v>107</v>
      </c>
      <c r="D603" s="1" t="s">
        <v>277</v>
      </c>
      <c r="E603" s="7">
        <v>14000</v>
      </c>
      <c r="F603" s="7">
        <v>0.24</v>
      </c>
      <c r="G603" s="7">
        <f>E603*F603</f>
        <v>3360</v>
      </c>
      <c r="H603" s="7">
        <v>180</v>
      </c>
      <c r="I603" s="7" t="s">
        <v>496</v>
      </c>
    </row>
    <row r="604" spans="1:10" s="4" customFormat="1">
      <c r="A604" s="12"/>
      <c r="B604" s="12"/>
      <c r="J604" s="13" t="s">
        <v>488</v>
      </c>
    </row>
    <row r="605" spans="1:10">
      <c r="A605" s="10">
        <v>42093</v>
      </c>
      <c r="B605" s="10">
        <v>42101</v>
      </c>
      <c r="C605" s="1" t="s">
        <v>47</v>
      </c>
      <c r="D605" s="1" t="s">
        <v>24</v>
      </c>
      <c r="E605" s="1">
        <v>18000</v>
      </c>
      <c r="F605" s="7">
        <v>0.3</v>
      </c>
      <c r="G605" s="7">
        <f t="shared" ref="G605:G612" si="18">E605*F605</f>
        <v>5400</v>
      </c>
      <c r="H605" s="7">
        <v>0</v>
      </c>
      <c r="I605" s="7" t="s">
        <v>502</v>
      </c>
    </row>
    <row r="606" spans="1:10">
      <c r="A606" s="10"/>
      <c r="B606" s="10"/>
      <c r="D606" s="1" t="s">
        <v>364</v>
      </c>
      <c r="E606" s="1">
        <v>2500</v>
      </c>
      <c r="F606" s="7">
        <v>0.2</v>
      </c>
      <c r="G606" s="7">
        <f t="shared" si="18"/>
        <v>500</v>
      </c>
    </row>
    <row r="607" spans="1:10">
      <c r="A607" s="10"/>
      <c r="B607" s="10"/>
      <c r="C607" s="1"/>
      <c r="D607" s="1" t="s">
        <v>49</v>
      </c>
      <c r="E607" s="1">
        <v>2500</v>
      </c>
      <c r="F607" s="7">
        <v>1.4</v>
      </c>
      <c r="G607" s="7">
        <f t="shared" si="18"/>
        <v>3500</v>
      </c>
    </row>
    <row r="608" spans="1:10">
      <c r="A608" s="10"/>
      <c r="B608" s="10"/>
      <c r="D608" s="1" t="s">
        <v>955</v>
      </c>
      <c r="E608" s="7">
        <v>2500</v>
      </c>
      <c r="F608" s="7">
        <v>0.15</v>
      </c>
      <c r="G608" s="7">
        <f t="shared" si="18"/>
        <v>375</v>
      </c>
    </row>
    <row r="609" spans="1:10">
      <c r="A609" s="10"/>
      <c r="B609" s="10"/>
      <c r="C609" s="1"/>
      <c r="D609" s="1" t="s">
        <v>489</v>
      </c>
      <c r="E609" s="1">
        <v>3000</v>
      </c>
      <c r="F609" s="7">
        <v>0.8</v>
      </c>
      <c r="G609" s="7">
        <f t="shared" si="18"/>
        <v>2400</v>
      </c>
    </row>
    <row r="610" spans="1:10">
      <c r="A610" s="10"/>
      <c r="B610" s="10"/>
      <c r="D610" s="1" t="s">
        <v>796</v>
      </c>
      <c r="E610" s="1">
        <v>3000</v>
      </c>
      <c r="F610" s="7">
        <v>0.08</v>
      </c>
      <c r="G610" s="7">
        <f t="shared" si="18"/>
        <v>240</v>
      </c>
    </row>
    <row r="611" spans="1:10">
      <c r="A611" s="10"/>
      <c r="B611" s="10"/>
      <c r="C611" s="1"/>
      <c r="D611" s="41" t="s">
        <v>490</v>
      </c>
      <c r="E611" s="1">
        <v>2000</v>
      </c>
      <c r="F611" s="7">
        <v>0</v>
      </c>
      <c r="G611" s="7">
        <f t="shared" si="18"/>
        <v>0</v>
      </c>
    </row>
    <row r="612" spans="1:10">
      <c r="A612" s="10"/>
      <c r="B612" s="10"/>
      <c r="D612" s="1" t="s">
        <v>938</v>
      </c>
      <c r="E612" s="7">
        <v>-43500</v>
      </c>
      <c r="F612" s="7">
        <v>5.0000000000000001E-3</v>
      </c>
      <c r="G612" s="7">
        <f t="shared" si="18"/>
        <v>-217.5</v>
      </c>
      <c r="J612" s="7" t="s">
        <v>512</v>
      </c>
    </row>
    <row r="613" spans="1:10" s="4" customFormat="1">
      <c r="A613" s="12"/>
      <c r="B613" s="12"/>
      <c r="G613" s="4">
        <f>SUM(G605:G612)</f>
        <v>12197.5</v>
      </c>
      <c r="J613" s="13" t="s">
        <v>492</v>
      </c>
    </row>
    <row r="614" spans="1:10">
      <c r="A614" s="10">
        <v>42097</v>
      </c>
      <c r="B614" s="10">
        <v>42103</v>
      </c>
      <c r="C614" s="1" t="s">
        <v>516</v>
      </c>
      <c r="D614" s="7" t="s">
        <v>515</v>
      </c>
      <c r="E614" s="7">
        <v>2000</v>
      </c>
      <c r="F614" s="7">
        <v>0.35</v>
      </c>
      <c r="G614" s="7">
        <f>E614*F614</f>
        <v>700</v>
      </c>
      <c r="H614" s="1">
        <v>0</v>
      </c>
      <c r="I614" s="1" t="s">
        <v>493</v>
      </c>
      <c r="J614" s="1"/>
    </row>
    <row r="615" spans="1:10" s="4" customFormat="1">
      <c r="A615" s="12"/>
      <c r="B615" s="12"/>
      <c r="G615" s="4">
        <f>SUM(G614:G614)</f>
        <v>700</v>
      </c>
      <c r="J615" s="13" t="s">
        <v>310</v>
      </c>
    </row>
    <row r="616" spans="1:10">
      <c r="A616" s="10">
        <v>42097</v>
      </c>
      <c r="B616" s="10">
        <v>42108</v>
      </c>
      <c r="C616" s="1" t="s">
        <v>500</v>
      </c>
      <c r="D616" s="7" t="s">
        <v>561</v>
      </c>
      <c r="E616" s="7">
        <v>2000</v>
      </c>
      <c r="F616" s="7">
        <v>1.95</v>
      </c>
      <c r="G616" s="7">
        <f>E616*F616</f>
        <v>3900</v>
      </c>
      <c r="H616" s="7">
        <v>150</v>
      </c>
      <c r="I616" s="1" t="s">
        <v>493</v>
      </c>
    </row>
    <row r="617" spans="1:10" s="4" customFormat="1">
      <c r="A617" s="12"/>
      <c r="B617" s="12"/>
      <c r="G617" s="4">
        <f>SUM(G616:G616)</f>
        <v>3900</v>
      </c>
      <c r="J617" s="13" t="s">
        <v>501</v>
      </c>
    </row>
    <row r="618" spans="1:10">
      <c r="A618" s="10">
        <v>42101</v>
      </c>
      <c r="B618" s="10">
        <v>42103</v>
      </c>
      <c r="C618" s="1" t="s">
        <v>386</v>
      </c>
      <c r="D618" s="1" t="s">
        <v>660</v>
      </c>
      <c r="E618" s="7">
        <v>2500</v>
      </c>
      <c r="F618" s="7">
        <v>1.8</v>
      </c>
      <c r="G618" s="7">
        <f>E618*F618</f>
        <v>4500</v>
      </c>
      <c r="H618" s="1">
        <v>50</v>
      </c>
      <c r="I618" s="1" t="s">
        <v>503</v>
      </c>
      <c r="J618" s="1"/>
    </row>
    <row r="619" spans="1:10" s="4" customFormat="1">
      <c r="A619" s="12"/>
      <c r="B619" s="12"/>
      <c r="J619" s="13" t="s">
        <v>511</v>
      </c>
    </row>
    <row r="620" spans="1:10">
      <c r="A620" s="10">
        <v>42101</v>
      </c>
      <c r="B620" s="10">
        <v>42106</v>
      </c>
      <c r="C620" s="7" t="s">
        <v>343</v>
      </c>
      <c r="D620" s="30" t="s">
        <v>505</v>
      </c>
      <c r="E620" s="7">
        <v>2500</v>
      </c>
      <c r="F620" s="7">
        <v>0.08</v>
      </c>
      <c r="G620" s="7">
        <f>E620*F620</f>
        <v>200</v>
      </c>
      <c r="H620" s="7">
        <v>84</v>
      </c>
      <c r="I620" s="1" t="s">
        <v>503</v>
      </c>
      <c r="J620" s="31"/>
    </row>
    <row r="621" spans="1:10">
      <c r="A621" s="10"/>
      <c r="B621" s="10"/>
      <c r="D621" s="30" t="s">
        <v>506</v>
      </c>
      <c r="E621" s="7">
        <v>1000</v>
      </c>
      <c r="F621" s="7">
        <v>0.1</v>
      </c>
      <c r="G621" s="7">
        <f>E621*F621</f>
        <v>100</v>
      </c>
      <c r="J621" s="31"/>
    </row>
    <row r="622" spans="1:10">
      <c r="A622" s="10"/>
      <c r="B622" s="10"/>
      <c r="D622" s="30" t="s">
        <v>507</v>
      </c>
      <c r="E622" s="7">
        <v>3500</v>
      </c>
      <c r="F622" s="7">
        <f>260/3500</f>
        <v>7.4285714285714288E-2</v>
      </c>
      <c r="G622" s="7">
        <f>E622*F622</f>
        <v>260</v>
      </c>
      <c r="J622" s="31"/>
    </row>
    <row r="623" spans="1:10">
      <c r="A623" s="10"/>
      <c r="B623" s="10"/>
      <c r="D623" s="30" t="s">
        <v>508</v>
      </c>
      <c r="E623" s="7">
        <v>3500</v>
      </c>
      <c r="F623" s="7">
        <f>260/3500</f>
        <v>7.4285714285714288E-2</v>
      </c>
      <c r="G623" s="7">
        <f>E623*F623</f>
        <v>260</v>
      </c>
      <c r="J623" s="31"/>
    </row>
    <row r="624" spans="1:10">
      <c r="A624" s="10"/>
      <c r="B624" s="10"/>
      <c r="D624" s="30" t="s">
        <v>509</v>
      </c>
      <c r="E624" s="7">
        <v>3500</v>
      </c>
      <c r="F624" s="7">
        <f>260/3500</f>
        <v>7.4285714285714288E-2</v>
      </c>
      <c r="G624" s="7">
        <f>E624*F624</f>
        <v>260</v>
      </c>
      <c r="J624" s="31"/>
    </row>
    <row r="625" spans="1:10" s="4" customFormat="1">
      <c r="A625" s="12"/>
      <c r="B625" s="12"/>
      <c r="G625" s="4">
        <f>SUM(G620:G624)</f>
        <v>1080</v>
      </c>
      <c r="J625" s="13" t="s">
        <v>369</v>
      </c>
    </row>
    <row r="626" spans="1:10">
      <c r="A626" s="10">
        <v>42101</v>
      </c>
      <c r="B626" s="10">
        <v>42102</v>
      </c>
      <c r="C626" s="7" t="s">
        <v>495</v>
      </c>
      <c r="D626" s="7" t="s">
        <v>510</v>
      </c>
      <c r="E626" s="7">
        <v>2000</v>
      </c>
      <c r="F626" s="7">
        <v>0.1</v>
      </c>
      <c r="G626" s="7">
        <f>E626*F626</f>
        <v>200</v>
      </c>
      <c r="H626" s="7">
        <v>8</v>
      </c>
      <c r="I626" s="7" t="s">
        <v>523</v>
      </c>
    </row>
    <row r="627" spans="1:10" s="4" customFormat="1">
      <c r="A627" s="12"/>
      <c r="B627" s="12"/>
      <c r="J627" s="13"/>
    </row>
    <row r="628" spans="1:10">
      <c r="A628" s="10">
        <v>42108</v>
      </c>
      <c r="B628" s="10">
        <v>42111</v>
      </c>
      <c r="C628" s="7" t="s">
        <v>526</v>
      </c>
      <c r="D628" s="7" t="s">
        <v>524</v>
      </c>
      <c r="E628" s="7">
        <v>3000</v>
      </c>
      <c r="F628" s="7">
        <v>0.3</v>
      </c>
      <c r="G628" s="7">
        <f>E628*F628</f>
        <v>900</v>
      </c>
      <c r="H628" s="7">
        <v>90</v>
      </c>
      <c r="I628" s="1" t="s">
        <v>503</v>
      </c>
    </row>
    <row r="629" spans="1:10">
      <c r="A629" s="10"/>
      <c r="B629" s="10"/>
      <c r="D629" s="7" t="s">
        <v>522</v>
      </c>
      <c r="E629" s="7">
        <v>500</v>
      </c>
      <c r="F629" s="7">
        <v>1.2</v>
      </c>
      <c r="G629" s="7">
        <f>E629*F629</f>
        <v>600</v>
      </c>
    </row>
    <row r="630" spans="1:10" s="4" customFormat="1">
      <c r="A630" s="12"/>
      <c r="B630" s="12"/>
      <c r="G630" s="4">
        <f>SUM(G628:G629)</f>
        <v>1500</v>
      </c>
      <c r="J630" s="13" t="s">
        <v>528</v>
      </c>
    </row>
    <row r="631" spans="1:10">
      <c r="A631" s="10">
        <v>42106</v>
      </c>
      <c r="B631" s="10">
        <v>42108</v>
      </c>
      <c r="C631" s="7" t="s">
        <v>4</v>
      </c>
      <c r="D631" s="1" t="s">
        <v>183</v>
      </c>
      <c r="E631" s="1">
        <v>1000</v>
      </c>
      <c r="F631" s="7">
        <v>1.5</v>
      </c>
      <c r="G631" s="7">
        <f>E631*F631</f>
        <v>1500</v>
      </c>
      <c r="H631" s="7">
        <v>70</v>
      </c>
      <c r="I631" s="1" t="s">
        <v>503</v>
      </c>
    </row>
    <row r="632" spans="1:10">
      <c r="A632" s="10"/>
      <c r="B632" s="10"/>
      <c r="D632" s="1" t="s">
        <v>517</v>
      </c>
      <c r="E632" s="1">
        <v>200</v>
      </c>
      <c r="F632" s="7">
        <v>0.5</v>
      </c>
      <c r="G632" s="7">
        <f>E632*F632</f>
        <v>100</v>
      </c>
    </row>
    <row r="633" spans="1:10">
      <c r="A633" s="10"/>
      <c r="B633" s="10"/>
      <c r="D633" s="1" t="s">
        <v>519</v>
      </c>
      <c r="E633" s="1">
        <v>100</v>
      </c>
      <c r="F633" s="7">
        <v>0.9</v>
      </c>
      <c r="G633" s="7">
        <f>E633*F633</f>
        <v>90</v>
      </c>
    </row>
    <row r="634" spans="1:10">
      <c r="A634" s="10"/>
      <c r="B634" s="10"/>
      <c r="D634" s="1" t="s">
        <v>520</v>
      </c>
      <c r="E634" s="1">
        <v>100</v>
      </c>
      <c r="F634" s="7">
        <v>0.9</v>
      </c>
      <c r="G634" s="7">
        <f>E634*F634</f>
        <v>90</v>
      </c>
    </row>
    <row r="635" spans="1:10" s="4" customFormat="1">
      <c r="A635" s="12"/>
      <c r="B635" s="12"/>
      <c r="G635" s="4">
        <f>SUM(G631:G634)</f>
        <v>1780</v>
      </c>
      <c r="J635" s="13" t="s">
        <v>521</v>
      </c>
    </row>
    <row r="636" spans="1:10">
      <c r="A636" s="10">
        <v>42212</v>
      </c>
      <c r="B636" s="10">
        <v>42213</v>
      </c>
      <c r="C636" s="1" t="s">
        <v>386</v>
      </c>
      <c r="D636" s="1" t="s">
        <v>529</v>
      </c>
      <c r="E636" s="7">
        <v>200</v>
      </c>
      <c r="F636" s="7">
        <v>4</v>
      </c>
      <c r="G636" s="7">
        <f>E636*F636</f>
        <v>800</v>
      </c>
      <c r="H636" s="1">
        <v>15</v>
      </c>
      <c r="I636" s="1" t="s">
        <v>530</v>
      </c>
      <c r="J636" s="1" t="s">
        <v>531</v>
      </c>
    </row>
    <row r="637" spans="1:10" s="4" customFormat="1">
      <c r="A637" s="12"/>
      <c r="B637" s="12"/>
      <c r="J637" s="13"/>
    </row>
    <row r="638" spans="1:10">
      <c r="A638" s="10">
        <v>42238</v>
      </c>
      <c r="B638" s="10">
        <v>42238</v>
      </c>
      <c r="C638" s="1" t="s">
        <v>178</v>
      </c>
      <c r="D638" s="1" t="s">
        <v>802</v>
      </c>
      <c r="E638" s="7">
        <v>100</v>
      </c>
      <c r="F638" s="7">
        <v>8.5</v>
      </c>
      <c r="G638" s="7">
        <f>E638*F638</f>
        <v>850</v>
      </c>
      <c r="H638" s="1"/>
      <c r="I638" s="7" t="s">
        <v>205</v>
      </c>
      <c r="J638" s="1"/>
    </row>
    <row r="639" spans="1:10" s="4" customFormat="1">
      <c r="A639" s="12"/>
      <c r="B639" s="12"/>
      <c r="G639" s="4">
        <f>SUM(G638:G638)</f>
        <v>850</v>
      </c>
      <c r="J639" s="13"/>
    </row>
    <row r="640" spans="1:10">
      <c r="A640" s="10">
        <v>42238</v>
      </c>
      <c r="B640" s="10">
        <v>42243</v>
      </c>
      <c r="C640" s="7" t="s">
        <v>163</v>
      </c>
      <c r="D640" s="42" t="s">
        <v>165</v>
      </c>
      <c r="E640" s="7">
        <v>30</v>
      </c>
      <c r="F640" s="7">
        <v>115</v>
      </c>
      <c r="G640" s="7">
        <f>E640*F640</f>
        <v>3450</v>
      </c>
      <c r="H640" s="7">
        <v>50</v>
      </c>
      <c r="I640" s="7" t="s">
        <v>537</v>
      </c>
    </row>
    <row r="641" spans="1:10">
      <c r="A641" s="10"/>
      <c r="B641" s="10"/>
      <c r="D641" s="42" t="s">
        <v>167</v>
      </c>
      <c r="E641" s="7">
        <v>20</v>
      </c>
      <c r="F641" s="7">
        <v>140</v>
      </c>
      <c r="G641" s="7">
        <f>E641*F641</f>
        <v>2800</v>
      </c>
    </row>
    <row r="642" spans="1:10">
      <c r="A642" s="10"/>
      <c r="B642" s="10"/>
      <c r="D642" s="42" t="s">
        <v>532</v>
      </c>
      <c r="E642" s="7">
        <v>2</v>
      </c>
      <c r="F642" s="7">
        <v>3</v>
      </c>
      <c r="G642" s="7">
        <f>E642*F642</f>
        <v>6</v>
      </c>
    </row>
    <row r="643" spans="1:10" s="4" customFormat="1">
      <c r="A643" s="12"/>
      <c r="B643" s="12"/>
      <c r="G643" s="4">
        <f>SUM(G640:G642)</f>
        <v>6256</v>
      </c>
      <c r="J643" s="13" t="s">
        <v>535</v>
      </c>
    </row>
    <row r="644" spans="1:10">
      <c r="A644" s="10">
        <v>42238</v>
      </c>
      <c r="B644" s="10">
        <v>42245</v>
      </c>
      <c r="C644" s="7" t="s">
        <v>343</v>
      </c>
      <c r="D644" s="30" t="s">
        <v>533</v>
      </c>
      <c r="E644" s="7">
        <v>1000</v>
      </c>
      <c r="F644" s="7">
        <v>0.1</v>
      </c>
      <c r="G644" s="7">
        <f>E644*F644</f>
        <v>100</v>
      </c>
      <c r="H644" s="7">
        <v>15</v>
      </c>
      <c r="I644" s="7" t="s">
        <v>536</v>
      </c>
      <c r="J644" s="31"/>
    </row>
    <row r="645" spans="1:10" s="4" customFormat="1">
      <c r="A645" s="12"/>
      <c r="B645" s="12"/>
      <c r="G645" s="4">
        <f>SUM(G644:G644)</f>
        <v>100</v>
      </c>
      <c r="J645" s="13" t="s">
        <v>534</v>
      </c>
    </row>
    <row r="646" spans="1:10" s="1" customFormat="1">
      <c r="A646" s="28">
        <v>42254</v>
      </c>
      <c r="B646" s="28">
        <v>42254</v>
      </c>
      <c r="C646" s="1" t="s">
        <v>587</v>
      </c>
      <c r="D646" s="1" t="s">
        <v>560</v>
      </c>
      <c r="E646" s="1">
        <v>200</v>
      </c>
      <c r="F646" s="1">
        <v>112</v>
      </c>
    </row>
    <row r="647" spans="1:10" s="1" customFormat="1">
      <c r="A647" s="28"/>
      <c r="B647" s="28"/>
      <c r="D647" s="1" t="s">
        <v>481</v>
      </c>
      <c r="E647" s="1">
        <v>600</v>
      </c>
      <c r="F647" s="1">
        <v>8</v>
      </c>
      <c r="J647" s="1" t="s">
        <v>458</v>
      </c>
    </row>
    <row r="648" spans="1:10" s="1" customFormat="1">
      <c r="A648" s="28"/>
      <c r="B648" s="28"/>
      <c r="D648" s="1" t="s">
        <v>482</v>
      </c>
      <c r="E648" s="1">
        <v>100</v>
      </c>
      <c r="F648" s="1">
        <v>6</v>
      </c>
      <c r="G648" s="7"/>
      <c r="J648" s="1" t="s">
        <v>459</v>
      </c>
    </row>
    <row r="649" spans="1:10" s="1" customFormat="1">
      <c r="A649" s="28"/>
      <c r="B649" s="28"/>
      <c r="D649" s="1" t="s">
        <v>483</v>
      </c>
      <c r="E649" s="1">
        <v>420</v>
      </c>
      <c r="F649" s="1">
        <v>12.5</v>
      </c>
    </row>
    <row r="650" spans="1:10" s="1" customFormat="1">
      <c r="A650" s="28"/>
      <c r="B650" s="28"/>
      <c r="D650" s="1" t="s">
        <v>484</v>
      </c>
      <c r="E650" s="1">
        <v>1580</v>
      </c>
      <c r="F650" s="1">
        <v>18.5</v>
      </c>
      <c r="G650" s="7"/>
    </row>
    <row r="651" spans="1:10">
      <c r="A651" s="10"/>
      <c r="B651" s="10"/>
      <c r="C651" s="1"/>
      <c r="D651" s="1" t="s">
        <v>891</v>
      </c>
      <c r="E651" s="7">
        <v>2600</v>
      </c>
      <c r="F651" s="7">
        <v>0.1</v>
      </c>
      <c r="H651" s="27"/>
    </row>
    <row r="652" spans="1:10">
      <c r="A652" s="10"/>
      <c r="B652" s="10"/>
      <c r="C652" s="1"/>
      <c r="D652" s="1" t="s">
        <v>892</v>
      </c>
      <c r="E652" s="7">
        <v>1300</v>
      </c>
      <c r="F652" s="7">
        <v>0.6</v>
      </c>
      <c r="H652" s="27"/>
    </row>
    <row r="653" spans="1:10">
      <c r="A653" s="10"/>
      <c r="B653" s="10"/>
      <c r="C653" s="1"/>
      <c r="D653" s="1" t="s">
        <v>893</v>
      </c>
      <c r="E653" s="7">
        <v>8000</v>
      </c>
      <c r="F653" s="7">
        <v>0.03</v>
      </c>
      <c r="H653" s="27"/>
    </row>
    <row r="654" spans="1:10">
      <c r="A654" s="10"/>
      <c r="B654" s="10"/>
      <c r="C654" s="1"/>
      <c r="D654" s="1" t="s">
        <v>485</v>
      </c>
      <c r="E654" s="7">
        <v>1020</v>
      </c>
      <c r="F654" s="7">
        <v>1.9</v>
      </c>
      <c r="H654" s="27"/>
    </row>
    <row r="655" spans="1:10">
      <c r="A655" s="10"/>
      <c r="B655" s="10"/>
      <c r="C655" s="1"/>
      <c r="D655" s="1" t="s">
        <v>486</v>
      </c>
      <c r="E655" s="7">
        <v>2064</v>
      </c>
      <c r="F655" s="7">
        <v>3.1</v>
      </c>
      <c r="H655" s="27"/>
    </row>
    <row r="656" spans="1:10">
      <c r="A656" s="10"/>
      <c r="B656" s="10"/>
      <c r="C656" s="1"/>
      <c r="D656" s="1" t="s">
        <v>487</v>
      </c>
      <c r="E656" s="7">
        <v>1202</v>
      </c>
      <c r="F656" s="7">
        <v>0.7</v>
      </c>
      <c r="H656" s="27"/>
    </row>
    <row r="657" spans="1:10">
      <c r="A657" s="10"/>
      <c r="B657" s="10"/>
      <c r="C657" s="1"/>
      <c r="D657" s="62" t="s">
        <v>928</v>
      </c>
      <c r="E657" s="7">
        <v>30</v>
      </c>
      <c r="F657" s="7">
        <v>5</v>
      </c>
      <c r="H657" s="27"/>
    </row>
    <row r="658" spans="1:10">
      <c r="A658" s="10"/>
      <c r="B658" s="10"/>
      <c r="C658" s="1"/>
      <c r="D658" s="1" t="s">
        <v>929</v>
      </c>
      <c r="E658" s="7">
        <v>20</v>
      </c>
      <c r="F658" s="7">
        <v>2</v>
      </c>
      <c r="H658" s="27"/>
    </row>
    <row r="659" spans="1:10">
      <c r="A659" s="10"/>
      <c r="B659" s="10"/>
      <c r="C659" s="1"/>
      <c r="D659" s="1" t="s">
        <v>232</v>
      </c>
      <c r="E659" s="7">
        <v>100</v>
      </c>
      <c r="F659" s="7">
        <v>0.2</v>
      </c>
      <c r="H659" s="27"/>
    </row>
    <row r="660" spans="1:10">
      <c r="A660" s="10"/>
      <c r="B660" s="10"/>
      <c r="C660" s="1"/>
      <c r="D660" s="1" t="s">
        <v>538</v>
      </c>
      <c r="E660" s="7">
        <v>200</v>
      </c>
      <c r="F660" s="7">
        <v>4</v>
      </c>
      <c r="H660" s="27"/>
    </row>
    <row r="661" spans="1:10" s="4" customFormat="1">
      <c r="A661" s="12"/>
      <c r="B661" s="12"/>
      <c r="J661" s="13"/>
    </row>
    <row r="662" spans="1:10" s="1" customFormat="1">
      <c r="A662" s="28">
        <v>42338</v>
      </c>
      <c r="B662" s="28">
        <v>42339</v>
      </c>
      <c r="C662" s="1" t="s">
        <v>23</v>
      </c>
      <c r="D662" s="1" t="s">
        <v>323</v>
      </c>
      <c r="E662" s="1">
        <v>600</v>
      </c>
      <c r="F662" s="1">
        <v>0.24</v>
      </c>
      <c r="G662" s="7">
        <f>E662*F662</f>
        <v>144</v>
      </c>
      <c r="H662" s="1">
        <v>20</v>
      </c>
      <c r="I662" s="7" t="s">
        <v>523</v>
      </c>
    </row>
    <row r="663" spans="1:10" s="1" customFormat="1">
      <c r="A663" s="28"/>
      <c r="B663" s="28"/>
      <c r="D663" s="33" t="s">
        <v>1</v>
      </c>
      <c r="E663" s="1">
        <v>400</v>
      </c>
      <c r="F663" s="1">
        <v>0.31</v>
      </c>
      <c r="G663" s="7">
        <f>E663*F663</f>
        <v>124</v>
      </c>
    </row>
    <row r="664" spans="1:10">
      <c r="A664" s="10"/>
      <c r="B664" s="10"/>
      <c r="C664" s="1"/>
      <c r="D664" s="33" t="s">
        <v>2</v>
      </c>
      <c r="E664" s="7">
        <v>200</v>
      </c>
      <c r="F664" s="7">
        <v>0.31</v>
      </c>
      <c r="G664" s="7">
        <f>E664*F664</f>
        <v>62</v>
      </c>
      <c r="H664" s="27"/>
    </row>
    <row r="665" spans="1:10" s="4" customFormat="1">
      <c r="A665" s="12"/>
      <c r="B665" s="12"/>
      <c r="G665" s="4">
        <f>SUM(G662:G664)</f>
        <v>330</v>
      </c>
      <c r="J665" s="13"/>
    </row>
    <row r="666" spans="1:10">
      <c r="A666" s="10">
        <v>42341</v>
      </c>
      <c r="B666" s="10">
        <v>42342</v>
      </c>
      <c r="C666" s="7" t="s">
        <v>107</v>
      </c>
      <c r="D666" s="7" t="s">
        <v>108</v>
      </c>
      <c r="E666" s="7">
        <v>30</v>
      </c>
      <c r="F666" s="7">
        <v>5</v>
      </c>
      <c r="G666" s="7">
        <f>E666*F666</f>
        <v>150</v>
      </c>
      <c r="J666" s="7" t="s">
        <v>85</v>
      </c>
    </row>
    <row r="667" spans="1:10" s="4" customFormat="1">
      <c r="A667" s="12"/>
      <c r="B667" s="12"/>
      <c r="G667" s="4">
        <f>SUM(G666:G666)</f>
        <v>150</v>
      </c>
      <c r="J667" s="13"/>
    </row>
    <row r="668" spans="1:10">
      <c r="A668" s="10">
        <v>42468</v>
      </c>
      <c r="B668" s="10">
        <v>42482</v>
      </c>
      <c r="C668" s="1" t="s">
        <v>362</v>
      </c>
      <c r="D668" s="7" t="s">
        <v>997</v>
      </c>
      <c r="E668" s="7">
        <v>10000</v>
      </c>
      <c r="F668" s="7">
        <v>0.19</v>
      </c>
      <c r="G668" s="7">
        <f>E668*F668</f>
        <v>1900</v>
      </c>
      <c r="H668" s="7">
        <v>0</v>
      </c>
      <c r="I668" s="7" t="s">
        <v>384</v>
      </c>
    </row>
    <row r="669" spans="1:10" s="4" customFormat="1">
      <c r="A669" s="12"/>
      <c r="B669" s="12"/>
      <c r="J669" s="13"/>
    </row>
    <row r="670" spans="1:10">
      <c r="A670" s="10">
        <v>42468</v>
      </c>
      <c r="B670" s="10">
        <v>42477</v>
      </c>
      <c r="C670" s="7" t="s">
        <v>11</v>
      </c>
      <c r="D670" s="7" t="s">
        <v>42</v>
      </c>
      <c r="E670" s="7">
        <v>48</v>
      </c>
      <c r="F670" s="7">
        <v>950</v>
      </c>
      <c r="G670" s="7">
        <f>E670*F670</f>
        <v>45600</v>
      </c>
      <c r="H670" s="7">
        <v>0</v>
      </c>
      <c r="I670" s="7" t="s">
        <v>497</v>
      </c>
    </row>
    <row r="671" spans="1:10" s="4" customFormat="1">
      <c r="A671" s="12"/>
      <c r="B671" s="12"/>
      <c r="J671" s="13" t="s">
        <v>786</v>
      </c>
    </row>
    <row r="672" spans="1:10">
      <c r="A672" s="10">
        <v>42468</v>
      </c>
      <c r="B672" s="10">
        <v>42480</v>
      </c>
      <c r="C672" s="1" t="s">
        <v>81</v>
      </c>
      <c r="D672" s="1" t="s">
        <v>918</v>
      </c>
      <c r="E672" s="7">
        <v>3000</v>
      </c>
      <c r="F672" s="7">
        <v>1.5</v>
      </c>
      <c r="G672" s="7">
        <f>E672*F672</f>
        <v>4500</v>
      </c>
      <c r="H672" s="1">
        <v>37</v>
      </c>
      <c r="I672" s="7" t="s">
        <v>84</v>
      </c>
      <c r="J672" s="1"/>
    </row>
    <row r="673" spans="1:10" s="4" customFormat="1">
      <c r="A673" s="12"/>
      <c r="B673" s="12"/>
      <c r="J673" s="13" t="s">
        <v>601</v>
      </c>
    </row>
    <row r="674" spans="1:10">
      <c r="A674" s="10">
        <v>42468</v>
      </c>
      <c r="B674" s="10">
        <v>42485</v>
      </c>
      <c r="C674" s="1" t="s">
        <v>525</v>
      </c>
      <c r="D674" s="1" t="s">
        <v>176</v>
      </c>
      <c r="E674" s="1">
        <v>500</v>
      </c>
      <c r="F674" s="7">
        <v>6</v>
      </c>
      <c r="G674" s="7">
        <f>E674*F674</f>
        <v>3000</v>
      </c>
      <c r="H674" s="7">
        <v>0</v>
      </c>
      <c r="I674" s="7" t="s">
        <v>543</v>
      </c>
    </row>
    <row r="675" spans="1:10">
      <c r="A675" s="10"/>
      <c r="B675" s="10"/>
      <c r="D675" s="1" t="s">
        <v>230</v>
      </c>
      <c r="E675" s="1">
        <v>4800</v>
      </c>
      <c r="F675" s="7">
        <v>4.2</v>
      </c>
      <c r="G675" s="7">
        <f>E675*F675</f>
        <v>20160</v>
      </c>
    </row>
    <row r="676" spans="1:10" s="4" customFormat="1">
      <c r="A676" s="12"/>
      <c r="B676" s="12"/>
      <c r="G676" s="4">
        <f>SUM(G674:G675)</f>
        <v>23160</v>
      </c>
      <c r="J676" s="13" t="s">
        <v>545</v>
      </c>
    </row>
    <row r="677" spans="1:10">
      <c r="A677" s="10">
        <v>42468</v>
      </c>
      <c r="B677" s="10">
        <v>42483</v>
      </c>
      <c r="C677" s="1" t="s">
        <v>47</v>
      </c>
      <c r="D677" s="1" t="s">
        <v>24</v>
      </c>
      <c r="E677" s="1">
        <v>6000</v>
      </c>
      <c r="F677" s="7">
        <v>0.3</v>
      </c>
      <c r="G677" s="7">
        <f t="shared" ref="G677:G682" si="19">E677*F677</f>
        <v>1800</v>
      </c>
      <c r="H677" s="7">
        <v>0</v>
      </c>
      <c r="I677" s="7" t="s">
        <v>544</v>
      </c>
    </row>
    <row r="678" spans="1:10">
      <c r="A678" s="10"/>
      <c r="B678" s="10"/>
      <c r="D678" s="1" t="s">
        <v>148</v>
      </c>
      <c r="E678" s="1">
        <v>2000</v>
      </c>
      <c r="F678" s="7">
        <v>0.47</v>
      </c>
      <c r="G678" s="7">
        <f t="shared" si="19"/>
        <v>940</v>
      </c>
    </row>
    <row r="679" spans="1:10">
      <c r="D679" s="7" t="s">
        <v>361</v>
      </c>
      <c r="E679" s="7">
        <v>2000</v>
      </c>
      <c r="F679" s="7">
        <v>1.5</v>
      </c>
      <c r="G679" s="7">
        <f t="shared" si="19"/>
        <v>3000</v>
      </c>
    </row>
    <row r="680" spans="1:10">
      <c r="A680" s="10"/>
      <c r="B680" s="10"/>
      <c r="C680" s="1"/>
      <c r="D680" s="1" t="s">
        <v>147</v>
      </c>
      <c r="E680" s="1">
        <v>600</v>
      </c>
      <c r="F680" s="7">
        <v>0.47</v>
      </c>
      <c r="G680" s="7">
        <f t="shared" si="19"/>
        <v>282</v>
      </c>
    </row>
    <row r="681" spans="1:10">
      <c r="D681" s="1" t="s">
        <v>32</v>
      </c>
      <c r="E681" s="7">
        <v>400</v>
      </c>
      <c r="F681" s="7">
        <v>0.2</v>
      </c>
      <c r="G681" s="7">
        <f t="shared" si="19"/>
        <v>80</v>
      </c>
    </row>
    <row r="682" spans="1:10">
      <c r="A682" s="10"/>
      <c r="B682" s="10"/>
      <c r="D682" s="1" t="s">
        <v>938</v>
      </c>
      <c r="E682" s="7">
        <v>-23800</v>
      </c>
      <c r="F682" s="7">
        <v>5.0000000000000001E-3</v>
      </c>
      <c r="G682" s="7">
        <f t="shared" si="19"/>
        <v>-119</v>
      </c>
    </row>
    <row r="683" spans="1:10" s="4" customFormat="1">
      <c r="A683" s="12"/>
      <c r="B683" s="12"/>
      <c r="G683" s="4">
        <f>SUM(G677:G682)</f>
        <v>5983</v>
      </c>
      <c r="J683" s="13" t="s">
        <v>542</v>
      </c>
    </row>
    <row r="684" spans="1:10" s="1" customFormat="1">
      <c r="A684" s="10">
        <v>42468</v>
      </c>
      <c r="B684" s="28"/>
      <c r="C684" s="1" t="s">
        <v>589</v>
      </c>
      <c r="D684" s="1" t="s">
        <v>480</v>
      </c>
      <c r="E684" s="1">
        <v>300</v>
      </c>
      <c r="F684" s="1">
        <v>112</v>
      </c>
      <c r="G684" s="7">
        <f t="shared" ref="G684:G693" si="20">E684*F684</f>
        <v>33600</v>
      </c>
    </row>
    <row r="685" spans="1:10">
      <c r="A685" s="10"/>
      <c r="B685" s="10"/>
      <c r="C685" s="1"/>
      <c r="D685" s="1" t="s">
        <v>590</v>
      </c>
      <c r="E685" s="7">
        <v>300</v>
      </c>
      <c r="F685" s="7">
        <v>4</v>
      </c>
      <c r="G685" s="7">
        <f t="shared" si="20"/>
        <v>1200</v>
      </c>
      <c r="H685" s="27"/>
    </row>
    <row r="686" spans="1:10">
      <c r="A686" s="10"/>
      <c r="B686" s="10"/>
      <c r="C686" s="1"/>
      <c r="D686" s="1" t="s">
        <v>540</v>
      </c>
      <c r="E686" s="7">
        <v>600</v>
      </c>
      <c r="F686" s="7">
        <v>6.2</v>
      </c>
      <c r="G686" s="7">
        <f t="shared" si="20"/>
        <v>3720</v>
      </c>
      <c r="H686" s="27"/>
    </row>
    <row r="687" spans="1:10">
      <c r="A687" s="10"/>
      <c r="B687" s="10"/>
      <c r="C687" s="1"/>
      <c r="D687" s="1" t="s">
        <v>481</v>
      </c>
      <c r="E687" s="7">
        <v>50</v>
      </c>
      <c r="F687" s="7">
        <v>8</v>
      </c>
      <c r="G687" s="7">
        <f t="shared" si="20"/>
        <v>400</v>
      </c>
      <c r="H687" s="27"/>
    </row>
    <row r="688" spans="1:10">
      <c r="A688" s="10"/>
      <c r="B688" s="10"/>
      <c r="C688" s="1"/>
      <c r="D688" s="1" t="s">
        <v>928</v>
      </c>
      <c r="E688" s="7">
        <v>60</v>
      </c>
      <c r="F688" s="7">
        <v>5</v>
      </c>
      <c r="G688" s="7">
        <f t="shared" si="20"/>
        <v>300</v>
      </c>
      <c r="H688" s="27"/>
    </row>
    <row r="689" spans="1:10">
      <c r="A689" s="10"/>
      <c r="B689" s="10"/>
      <c r="C689" s="1"/>
      <c r="D689" s="1" t="s">
        <v>461</v>
      </c>
      <c r="E689" s="7">
        <v>600</v>
      </c>
      <c r="F689" s="7">
        <v>0.38</v>
      </c>
      <c r="G689" s="7">
        <f t="shared" si="20"/>
        <v>228</v>
      </c>
      <c r="H689" s="27"/>
    </row>
    <row r="690" spans="1:10">
      <c r="A690" s="10"/>
      <c r="B690" s="10"/>
      <c r="C690" s="1"/>
      <c r="D690" s="1" t="s">
        <v>462</v>
      </c>
      <c r="E690" s="7">
        <v>600</v>
      </c>
      <c r="F690" s="7">
        <v>0.38</v>
      </c>
      <c r="G690" s="7">
        <f t="shared" si="20"/>
        <v>228</v>
      </c>
      <c r="H690" s="27"/>
    </row>
    <row r="691" spans="1:10">
      <c r="A691" s="10"/>
      <c r="B691" s="10"/>
      <c r="C691" s="1"/>
      <c r="D691" s="1" t="s">
        <v>551</v>
      </c>
      <c r="E691" s="7">
        <v>200</v>
      </c>
      <c r="F691" s="7">
        <v>0.65</v>
      </c>
      <c r="G691" s="7">
        <f t="shared" si="20"/>
        <v>130</v>
      </c>
      <c r="H691" s="27"/>
    </row>
    <row r="692" spans="1:10">
      <c r="A692" s="10"/>
      <c r="B692" s="10"/>
      <c r="C692" s="1"/>
      <c r="D692" s="1" t="s">
        <v>550</v>
      </c>
      <c r="E692" s="7">
        <v>50</v>
      </c>
      <c r="F692" s="7">
        <v>4.5</v>
      </c>
      <c r="G692" s="7">
        <f t="shared" si="20"/>
        <v>225</v>
      </c>
      <c r="H692" s="27"/>
    </row>
    <row r="693" spans="1:10">
      <c r="A693" s="10"/>
      <c r="B693" s="10"/>
      <c r="C693" s="1"/>
      <c r="D693" s="1" t="s">
        <v>787</v>
      </c>
      <c r="E693" s="7">
        <v>300</v>
      </c>
      <c r="F693" s="7">
        <v>-13.7</v>
      </c>
      <c r="G693" s="7">
        <f t="shared" si="20"/>
        <v>-4110</v>
      </c>
      <c r="H693" s="27"/>
    </row>
    <row r="694" spans="1:10" s="4" customFormat="1">
      <c r="A694" s="12"/>
      <c r="B694" s="12"/>
      <c r="G694" s="4">
        <f>SUM(G684:G693)</f>
        <v>35921</v>
      </c>
      <c r="J694" s="13" t="s">
        <v>552</v>
      </c>
    </row>
    <row r="695" spans="1:10">
      <c r="A695" s="10">
        <v>42474</v>
      </c>
      <c r="B695" s="10">
        <v>42479</v>
      </c>
      <c r="C695" s="7" t="s">
        <v>343</v>
      </c>
      <c r="D695" s="30" t="s">
        <v>344</v>
      </c>
      <c r="E695" s="7">
        <v>4000</v>
      </c>
      <c r="F695" s="7">
        <v>0.02</v>
      </c>
      <c r="G695" s="7">
        <f>E695*F695</f>
        <v>80</v>
      </c>
      <c r="H695" s="7">
        <v>8</v>
      </c>
      <c r="I695" s="7" t="s">
        <v>368</v>
      </c>
      <c r="J695" s="31"/>
    </row>
    <row r="696" spans="1:10" s="4" customFormat="1">
      <c r="A696" s="12"/>
      <c r="B696" s="12"/>
      <c r="J696" s="13" t="s">
        <v>541</v>
      </c>
    </row>
    <row r="697" spans="1:10">
      <c r="A697" s="10">
        <v>42495</v>
      </c>
      <c r="B697" s="10">
        <v>42496</v>
      </c>
      <c r="C697" s="7" t="s">
        <v>96</v>
      </c>
      <c r="D697" s="7" t="s">
        <v>547</v>
      </c>
      <c r="E697" s="7">
        <v>30</v>
      </c>
      <c r="F697" s="7">
        <v>25</v>
      </c>
      <c r="G697" s="7">
        <f>E697*F697</f>
        <v>750</v>
      </c>
      <c r="H697" s="7">
        <v>10</v>
      </c>
      <c r="I697" s="7" t="s">
        <v>546</v>
      </c>
      <c r="J697" s="7" t="s">
        <v>85</v>
      </c>
    </row>
    <row r="698" spans="1:10" s="4" customFormat="1">
      <c r="A698" s="12"/>
      <c r="B698" s="12"/>
      <c r="J698" s="13"/>
    </row>
    <row r="699" spans="1:10">
      <c r="A699" s="10">
        <v>42499</v>
      </c>
      <c r="B699" s="10">
        <v>42507</v>
      </c>
      <c r="C699" s="7" t="s">
        <v>514</v>
      </c>
      <c r="D699" s="30" t="s">
        <v>505</v>
      </c>
      <c r="E699" s="7">
        <v>2000</v>
      </c>
      <c r="F699" s="7">
        <v>0.08</v>
      </c>
      <c r="G699" s="7">
        <f>E699*F699</f>
        <v>160</v>
      </c>
      <c r="H699" s="7">
        <v>20</v>
      </c>
      <c r="I699" s="1" t="s">
        <v>548</v>
      </c>
      <c r="J699" s="31"/>
    </row>
    <row r="700" spans="1:10" s="4" customFormat="1">
      <c r="A700" s="12"/>
      <c r="B700" s="12"/>
      <c r="G700" s="4">
        <f>SUM(G699:G699)</f>
        <v>160</v>
      </c>
      <c r="J700" s="13" t="s">
        <v>549</v>
      </c>
    </row>
    <row r="701" spans="1:10" s="1" customFormat="1">
      <c r="A701" s="10">
        <v>42543</v>
      </c>
      <c r="B701" s="10">
        <v>42544</v>
      </c>
      <c r="C701" s="1" t="s">
        <v>23</v>
      </c>
      <c r="D701" s="1" t="s">
        <v>553</v>
      </c>
      <c r="E701" s="1">
        <v>1500</v>
      </c>
      <c r="F701" s="1">
        <v>0.28000000000000003</v>
      </c>
      <c r="G701" s="7">
        <f>E701*F701</f>
        <v>420.00000000000006</v>
      </c>
      <c r="H701" s="1">
        <v>30</v>
      </c>
      <c r="I701" s="1" t="s">
        <v>554</v>
      </c>
      <c r="J701" s="1" t="s">
        <v>555</v>
      </c>
    </row>
    <row r="702" spans="1:10" s="4" customFormat="1">
      <c r="A702" s="12"/>
      <c r="B702" s="12"/>
      <c r="G702" s="4">
        <f>SUM(G701:G701)</f>
        <v>420.00000000000006</v>
      </c>
      <c r="J702" s="13"/>
    </row>
    <row r="703" spans="1:10">
      <c r="A703" s="10">
        <v>42553</v>
      </c>
      <c r="B703" s="10">
        <v>42562</v>
      </c>
      <c r="C703" s="1" t="s">
        <v>47</v>
      </c>
      <c r="D703" s="1" t="s">
        <v>24</v>
      </c>
      <c r="E703" s="1">
        <f>1500*8+4000</f>
        <v>16000</v>
      </c>
      <c r="F703" s="7">
        <v>0.3</v>
      </c>
      <c r="G703" s="7">
        <f>E703*F703</f>
        <v>4800</v>
      </c>
      <c r="H703" s="7">
        <v>0</v>
      </c>
      <c r="I703" s="7" t="s">
        <v>557</v>
      </c>
    </row>
    <row r="704" spans="1:10">
      <c r="A704" s="10"/>
      <c r="B704" s="10"/>
      <c r="D704" s="1" t="s">
        <v>364</v>
      </c>
      <c r="E704" s="1">
        <v>1500</v>
      </c>
      <c r="F704" s="7">
        <v>0.2</v>
      </c>
      <c r="G704" s="7">
        <f>E704*F704</f>
        <v>300</v>
      </c>
    </row>
    <row r="705" spans="1:10">
      <c r="D705" s="1" t="s">
        <v>49</v>
      </c>
      <c r="E705" s="1">
        <v>1500</v>
      </c>
      <c r="F705" s="7">
        <v>1.4</v>
      </c>
      <c r="G705" s="7">
        <f>E705*F705</f>
        <v>2100</v>
      </c>
    </row>
    <row r="706" spans="1:10">
      <c r="A706" s="10"/>
      <c r="B706" s="10"/>
      <c r="C706" s="1"/>
      <c r="D706" s="1" t="s">
        <v>51</v>
      </c>
      <c r="E706" s="1">
        <v>1500</v>
      </c>
      <c r="F706" s="7">
        <v>0.15</v>
      </c>
      <c r="G706" s="7">
        <f>E706*F706</f>
        <v>225</v>
      </c>
    </row>
    <row r="707" spans="1:10">
      <c r="A707" s="10"/>
      <c r="B707" s="10"/>
      <c r="D707" s="1" t="s">
        <v>938</v>
      </c>
      <c r="E707" s="7">
        <v>-36500</v>
      </c>
      <c r="F707" s="7">
        <v>5.0000000000000001E-3</v>
      </c>
      <c r="G707" s="7">
        <f>E707*F707</f>
        <v>-182.5</v>
      </c>
    </row>
    <row r="708" spans="1:10" s="4" customFormat="1">
      <c r="A708" s="12"/>
      <c r="B708" s="12"/>
      <c r="G708" s="4">
        <f>SUM(G703:G707)</f>
        <v>7242.5</v>
      </c>
      <c r="J708" s="13" t="s">
        <v>556</v>
      </c>
    </row>
    <row r="709" spans="1:10">
      <c r="A709" s="10">
        <v>42574</v>
      </c>
      <c r="B709" s="10">
        <v>42579</v>
      </c>
      <c r="C709" s="1" t="s">
        <v>558</v>
      </c>
      <c r="D709" s="1" t="s">
        <v>660</v>
      </c>
      <c r="E709" s="7">
        <v>1500</v>
      </c>
      <c r="F709" s="7">
        <v>1.8</v>
      </c>
      <c r="G709" s="7">
        <f>E709*F709</f>
        <v>2700</v>
      </c>
      <c r="H709" s="1">
        <v>30</v>
      </c>
      <c r="I709" s="1" t="s">
        <v>595</v>
      </c>
      <c r="J709" s="1"/>
    </row>
    <row r="710" spans="1:10" s="4" customFormat="1">
      <c r="A710" s="12"/>
      <c r="B710" s="12"/>
      <c r="J710" s="13" t="s">
        <v>559</v>
      </c>
    </row>
    <row r="711" spans="1:10">
      <c r="A711" s="10">
        <v>42582</v>
      </c>
      <c r="B711" s="10">
        <v>42585</v>
      </c>
      <c r="C711" s="1" t="s">
        <v>567</v>
      </c>
      <c r="D711" s="7" t="s">
        <v>564</v>
      </c>
      <c r="E711" s="7">
        <v>200</v>
      </c>
      <c r="F711" s="7">
        <v>0.34</v>
      </c>
      <c r="G711" s="7">
        <f>E711*F711</f>
        <v>68</v>
      </c>
      <c r="H711" s="1">
        <v>10</v>
      </c>
      <c r="I711" s="7" t="s">
        <v>565</v>
      </c>
    </row>
    <row r="712" spans="1:10" s="4" customFormat="1">
      <c r="A712" s="12"/>
      <c r="B712" s="12"/>
      <c r="J712" s="13" t="s">
        <v>566</v>
      </c>
    </row>
    <row r="713" spans="1:10">
      <c r="A713" s="10">
        <v>42586</v>
      </c>
      <c r="B713" s="10">
        <v>42609</v>
      </c>
      <c r="C713" s="43" t="s">
        <v>870</v>
      </c>
      <c r="D713" s="7" t="s">
        <v>568</v>
      </c>
      <c r="E713" s="7">
        <v>2600</v>
      </c>
      <c r="F713" s="7">
        <v>1.35</v>
      </c>
      <c r="G713" s="7">
        <f>E713*F713</f>
        <v>3510.0000000000005</v>
      </c>
      <c r="H713" s="7">
        <v>390</v>
      </c>
      <c r="I713" s="7" t="s">
        <v>575</v>
      </c>
    </row>
    <row r="714" spans="1:10" s="4" customFormat="1">
      <c r="A714" s="12"/>
      <c r="B714" s="12"/>
      <c r="J714" s="13" t="s">
        <v>572</v>
      </c>
    </row>
    <row r="715" spans="1:10">
      <c r="A715" s="10">
        <v>42586</v>
      </c>
      <c r="B715" s="10">
        <v>42588</v>
      </c>
      <c r="C715" s="7" t="s">
        <v>163</v>
      </c>
      <c r="D715" s="42" t="s">
        <v>570</v>
      </c>
      <c r="E715" s="7">
        <v>30</v>
      </c>
      <c r="F715" s="7">
        <v>115</v>
      </c>
      <c r="G715" s="7">
        <f>E715*F715</f>
        <v>3450</v>
      </c>
      <c r="H715" s="7">
        <v>30</v>
      </c>
      <c r="I715" s="7" t="s">
        <v>573</v>
      </c>
    </row>
    <row r="716" spans="1:10" s="4" customFormat="1">
      <c r="A716" s="12"/>
      <c r="B716" s="12"/>
      <c r="J716" s="13" t="s">
        <v>576</v>
      </c>
    </row>
    <row r="717" spans="1:10">
      <c r="A717" s="10">
        <v>42586</v>
      </c>
      <c r="B717" s="10">
        <v>42595</v>
      </c>
      <c r="C717" s="7" t="s">
        <v>514</v>
      </c>
      <c r="D717" s="30" t="s">
        <v>507</v>
      </c>
      <c r="E717" s="7">
        <v>2000</v>
      </c>
      <c r="F717" s="7">
        <v>0.08</v>
      </c>
      <c r="G717" s="7">
        <f>E717*F717</f>
        <v>160</v>
      </c>
      <c r="H717" s="7">
        <v>50</v>
      </c>
      <c r="I717" s="7" t="s">
        <v>573</v>
      </c>
      <c r="J717" s="31"/>
    </row>
    <row r="718" spans="1:10">
      <c r="A718" s="10"/>
      <c r="B718" s="10"/>
      <c r="D718" s="30" t="s">
        <v>508</v>
      </c>
      <c r="E718" s="7">
        <v>2000</v>
      </c>
      <c r="F718" s="7">
        <v>0.08</v>
      </c>
      <c r="G718" s="7">
        <f>E718*F718</f>
        <v>160</v>
      </c>
      <c r="J718" s="31"/>
    </row>
    <row r="719" spans="1:10">
      <c r="A719" s="10"/>
      <c r="B719" s="10"/>
      <c r="D719" s="30" t="s">
        <v>509</v>
      </c>
      <c r="E719" s="7">
        <v>2000</v>
      </c>
      <c r="F719" s="7">
        <v>0.08</v>
      </c>
      <c r="G719" s="7">
        <f>E719*F719</f>
        <v>160</v>
      </c>
      <c r="J719" s="31"/>
    </row>
    <row r="720" spans="1:10">
      <c r="A720" s="10"/>
      <c r="B720" s="10"/>
      <c r="D720" s="30" t="s">
        <v>506</v>
      </c>
      <c r="E720" s="7">
        <v>1000</v>
      </c>
      <c r="F720" s="7">
        <v>0.08</v>
      </c>
      <c r="G720" s="7">
        <f>E720*F720</f>
        <v>80</v>
      </c>
      <c r="J720" s="31"/>
    </row>
    <row r="721" spans="1:10">
      <c r="A721" s="10"/>
      <c r="B721" s="10"/>
      <c r="D721" s="30" t="s">
        <v>533</v>
      </c>
      <c r="E721" s="7">
        <v>1000</v>
      </c>
      <c r="F721" s="7">
        <v>0.08</v>
      </c>
      <c r="G721" s="7">
        <f>E721*F721</f>
        <v>80</v>
      </c>
      <c r="J721" s="31"/>
    </row>
    <row r="722" spans="1:10" s="4" customFormat="1">
      <c r="A722" s="12"/>
      <c r="B722" s="12"/>
      <c r="G722" s="4">
        <f>SUM(G717:G721)</f>
        <v>640</v>
      </c>
      <c r="J722" s="13"/>
    </row>
    <row r="723" spans="1:10">
      <c r="A723" s="10">
        <v>42586</v>
      </c>
      <c r="B723" s="10">
        <v>42593</v>
      </c>
      <c r="C723" s="7" t="s">
        <v>514</v>
      </c>
      <c r="D723" s="30" t="s">
        <v>345</v>
      </c>
      <c r="E723" s="7">
        <v>4000</v>
      </c>
      <c r="F723" s="7">
        <v>0.02</v>
      </c>
      <c r="G723" s="7">
        <f>E723*F723</f>
        <v>80</v>
      </c>
      <c r="H723" s="7">
        <v>10</v>
      </c>
      <c r="I723" s="7" t="s">
        <v>574</v>
      </c>
      <c r="J723" s="31"/>
    </row>
    <row r="724" spans="1:10">
      <c r="A724" s="10"/>
      <c r="B724" s="10"/>
      <c r="D724" s="30" t="s">
        <v>347</v>
      </c>
      <c r="E724" s="7">
        <v>1000</v>
      </c>
      <c r="F724" s="7">
        <v>0.02</v>
      </c>
      <c r="G724" s="7">
        <f>E724*F724</f>
        <v>20</v>
      </c>
      <c r="J724" s="31"/>
    </row>
    <row r="725" spans="1:10" s="4" customFormat="1">
      <c r="A725" s="12"/>
      <c r="B725" s="12"/>
      <c r="G725" s="4">
        <f>SUM(G723:G724)</f>
        <v>100</v>
      </c>
      <c r="J725" s="13" t="s">
        <v>577</v>
      </c>
    </row>
    <row r="726" spans="1:10">
      <c r="A726" s="10">
        <v>42586</v>
      </c>
      <c r="B726" s="10">
        <v>42605</v>
      </c>
      <c r="C726" s="1" t="s">
        <v>525</v>
      </c>
      <c r="D726" s="1" t="s">
        <v>578</v>
      </c>
      <c r="E726" s="1">
        <v>2000</v>
      </c>
      <c r="F726" s="7">
        <v>5.4</v>
      </c>
      <c r="G726" s="7">
        <f t="shared" ref="G726:G733" si="21">E726*F726</f>
        <v>10800</v>
      </c>
      <c r="H726" s="7">
        <v>0</v>
      </c>
      <c r="I726" s="7" t="s">
        <v>543</v>
      </c>
    </row>
    <row r="727" spans="1:10">
      <c r="A727" s="10"/>
      <c r="B727" s="10"/>
      <c r="D727" s="1" t="s">
        <v>562</v>
      </c>
      <c r="E727" s="1">
        <v>4000</v>
      </c>
      <c r="F727" s="7">
        <v>6</v>
      </c>
      <c r="G727" s="7">
        <f t="shared" si="21"/>
        <v>24000</v>
      </c>
    </row>
    <row r="728" spans="1:10">
      <c r="B728" s="10"/>
      <c r="D728" s="1" t="s">
        <v>878</v>
      </c>
      <c r="E728" s="7">
        <v>1600</v>
      </c>
      <c r="F728" s="7">
        <v>5</v>
      </c>
      <c r="G728" s="7">
        <f t="shared" si="21"/>
        <v>8000</v>
      </c>
      <c r="H728" s="27"/>
    </row>
    <row r="729" spans="1:10">
      <c r="A729" s="10"/>
      <c r="B729" s="10"/>
      <c r="D729" s="1" t="s">
        <v>275</v>
      </c>
      <c r="E729" s="1">
        <v>300</v>
      </c>
      <c r="F729" s="7">
        <v>5</v>
      </c>
      <c r="G729" s="7">
        <f t="shared" si="21"/>
        <v>1500</v>
      </c>
    </row>
    <row r="730" spans="1:10">
      <c r="A730" s="10"/>
      <c r="B730" s="10"/>
      <c r="D730" s="1" t="s">
        <v>563</v>
      </c>
      <c r="E730" s="1">
        <v>100</v>
      </c>
      <c r="F730" s="7">
        <v>6</v>
      </c>
      <c r="G730" s="7">
        <f t="shared" si="21"/>
        <v>600</v>
      </c>
    </row>
    <row r="731" spans="1:10">
      <c r="A731" s="10"/>
      <c r="B731" s="10"/>
      <c r="D731" s="7" t="s">
        <v>569</v>
      </c>
      <c r="E731" s="7">
        <v>50</v>
      </c>
      <c r="F731" s="7">
        <v>20</v>
      </c>
      <c r="G731" s="7">
        <f t="shared" si="21"/>
        <v>1000</v>
      </c>
    </row>
    <row r="732" spans="1:10">
      <c r="D732" s="7" t="s">
        <v>232</v>
      </c>
      <c r="E732" s="7">
        <v>6000</v>
      </c>
      <c r="F732" s="7">
        <v>0.2</v>
      </c>
      <c r="G732" s="7">
        <f t="shared" si="21"/>
        <v>1200</v>
      </c>
    </row>
    <row r="733" spans="1:10">
      <c r="D733" s="1" t="s">
        <v>33</v>
      </c>
      <c r="E733" s="7">
        <v>3000</v>
      </c>
      <c r="F733" s="7">
        <v>0.2</v>
      </c>
      <c r="G733" s="7">
        <f t="shared" si="21"/>
        <v>600</v>
      </c>
    </row>
    <row r="734" spans="1:10" s="4" customFormat="1">
      <c r="A734" s="12"/>
      <c r="B734" s="12"/>
      <c r="G734" s="4">
        <f>SUM(G726:G733)</f>
        <v>47700</v>
      </c>
      <c r="J734" s="13" t="s">
        <v>579</v>
      </c>
    </row>
    <row r="735" spans="1:10" s="1" customFormat="1">
      <c r="A735" s="10">
        <v>42623</v>
      </c>
      <c r="B735" s="28"/>
      <c r="C735" s="1" t="s">
        <v>588</v>
      </c>
      <c r="D735" s="51" t="s">
        <v>480</v>
      </c>
      <c r="E735" s="1">
        <v>200</v>
      </c>
      <c r="F735" s="1">
        <v>112</v>
      </c>
      <c r="G735" s="1">
        <f>E735*F735</f>
        <v>22400</v>
      </c>
    </row>
    <row r="736" spans="1:10" s="1" customFormat="1">
      <c r="A736" s="28"/>
      <c r="B736" s="28"/>
      <c r="D736" s="1" t="s">
        <v>583</v>
      </c>
      <c r="E736" s="1">
        <v>500</v>
      </c>
      <c r="F736" s="1">
        <v>5</v>
      </c>
      <c r="G736" s="7">
        <f>E736*F736</f>
        <v>2500</v>
      </c>
    </row>
    <row r="737" spans="1:10" s="1" customFormat="1">
      <c r="A737" s="28"/>
      <c r="B737" s="28"/>
      <c r="D737" s="1" t="s">
        <v>481</v>
      </c>
      <c r="E737" s="1">
        <v>500</v>
      </c>
      <c r="F737" s="1">
        <v>8</v>
      </c>
      <c r="G737" s="7">
        <f t="shared" ref="G737:G751" si="22">E737*F737</f>
        <v>4000</v>
      </c>
    </row>
    <row r="738" spans="1:10">
      <c r="A738" s="10"/>
      <c r="B738" s="10"/>
      <c r="C738" s="1"/>
      <c r="D738" s="1" t="s">
        <v>892</v>
      </c>
      <c r="E738" s="7">
        <f>E737*2</f>
        <v>1000</v>
      </c>
      <c r="F738" s="7">
        <v>0.6</v>
      </c>
      <c r="G738" s="7">
        <f t="shared" si="22"/>
        <v>600</v>
      </c>
      <c r="H738" s="27"/>
    </row>
    <row r="739" spans="1:10">
      <c r="A739" s="10"/>
      <c r="B739" s="10"/>
      <c r="C739" s="1"/>
      <c r="D739" s="1" t="s">
        <v>891</v>
      </c>
      <c r="E739" s="7">
        <f>E737*4</f>
        <v>2000</v>
      </c>
      <c r="F739" s="7">
        <v>0.1</v>
      </c>
      <c r="G739" s="7">
        <f t="shared" si="22"/>
        <v>200</v>
      </c>
      <c r="H739" s="27"/>
    </row>
    <row r="740" spans="1:10">
      <c r="A740" s="10"/>
      <c r="B740" s="10"/>
      <c r="C740" s="1"/>
      <c r="D740" s="1" t="s">
        <v>893</v>
      </c>
      <c r="E740" s="7">
        <f>E737*4*3</f>
        <v>6000</v>
      </c>
      <c r="F740" s="7">
        <v>0.03</v>
      </c>
      <c r="G740" s="7">
        <f t="shared" si="22"/>
        <v>180</v>
      </c>
      <c r="H740" s="27"/>
    </row>
    <row r="741" spans="1:10" s="1" customFormat="1">
      <c r="A741" s="28"/>
      <c r="B741" s="28"/>
      <c r="D741" s="1" t="s">
        <v>483</v>
      </c>
      <c r="E741" s="1">
        <v>300</v>
      </c>
      <c r="F741" s="1">
        <v>12.5</v>
      </c>
      <c r="G741" s="7">
        <f t="shared" si="22"/>
        <v>3750</v>
      </c>
    </row>
    <row r="742" spans="1:10" s="1" customFormat="1">
      <c r="A742" s="28"/>
      <c r="B742" s="28"/>
      <c r="D742" s="1" t="s">
        <v>484</v>
      </c>
      <c r="E742" s="1">
        <v>1200</v>
      </c>
      <c r="F742" s="1">
        <v>18.5</v>
      </c>
      <c r="G742" s="7">
        <f t="shared" si="22"/>
        <v>22200</v>
      </c>
    </row>
    <row r="743" spans="1:10">
      <c r="A743" s="10"/>
      <c r="B743" s="10"/>
      <c r="C743" s="1"/>
      <c r="D743" s="1" t="s">
        <v>485</v>
      </c>
      <c r="E743" s="7">
        <f>8*75</f>
        <v>600</v>
      </c>
      <c r="F743" s="7">
        <v>1.9</v>
      </c>
      <c r="G743" s="7">
        <f t="shared" si="22"/>
        <v>1140</v>
      </c>
      <c r="H743" s="27"/>
    </row>
    <row r="744" spans="1:10">
      <c r="A744" s="10"/>
      <c r="B744" s="10"/>
      <c r="C744" s="1"/>
      <c r="D744" s="1" t="s">
        <v>486</v>
      </c>
      <c r="E744" s="7">
        <f>12*75</f>
        <v>900</v>
      </c>
      <c r="F744" s="7">
        <v>3.1</v>
      </c>
      <c r="G744" s="7">
        <f t="shared" si="22"/>
        <v>2790</v>
      </c>
      <c r="H744" s="27"/>
    </row>
    <row r="745" spans="1:10">
      <c r="A745" s="10"/>
      <c r="B745" s="10"/>
      <c r="C745" s="1"/>
      <c r="D745" s="1" t="s">
        <v>487</v>
      </c>
      <c r="E745" s="7">
        <f>E737</f>
        <v>500</v>
      </c>
      <c r="F745" s="7">
        <v>0.7</v>
      </c>
      <c r="G745" s="7">
        <f t="shared" si="22"/>
        <v>350</v>
      </c>
      <c r="H745" s="27"/>
    </row>
    <row r="746" spans="1:10">
      <c r="A746" s="10"/>
      <c r="B746" s="10"/>
      <c r="C746" s="1"/>
      <c r="D746" s="1" t="s">
        <v>581</v>
      </c>
      <c r="E746" s="7">
        <f>E737*2</f>
        <v>1000</v>
      </c>
      <c r="F746" s="7">
        <v>0.6</v>
      </c>
      <c r="G746" s="7">
        <f t="shared" si="22"/>
        <v>600</v>
      </c>
      <c r="H746" s="27"/>
    </row>
    <row r="747" spans="1:10">
      <c r="A747" s="10"/>
      <c r="B747" s="10"/>
      <c r="C747" s="1"/>
      <c r="D747" s="1" t="s">
        <v>582</v>
      </c>
      <c r="E747" s="7">
        <f>E737*4</f>
        <v>2000</v>
      </c>
      <c r="F747" s="7">
        <v>0.1</v>
      </c>
      <c r="G747" s="7">
        <f t="shared" si="22"/>
        <v>200</v>
      </c>
      <c r="H747" s="27"/>
    </row>
    <row r="748" spans="1:10" s="1" customFormat="1">
      <c r="A748" s="28"/>
      <c r="B748" s="28"/>
      <c r="D748" s="1" t="s">
        <v>584</v>
      </c>
      <c r="E748" s="1">
        <v>80</v>
      </c>
      <c r="F748" s="1">
        <v>13</v>
      </c>
      <c r="G748" s="7">
        <f t="shared" si="22"/>
        <v>1040</v>
      </c>
    </row>
    <row r="749" spans="1:10" s="1" customFormat="1">
      <c r="A749" s="28"/>
      <c r="B749" s="28"/>
      <c r="D749" s="1" t="s">
        <v>585</v>
      </c>
      <c r="E749" s="1">
        <v>40</v>
      </c>
      <c r="F749" s="1">
        <v>9</v>
      </c>
      <c r="G749" s="7">
        <f t="shared" si="22"/>
        <v>360</v>
      </c>
    </row>
    <row r="750" spans="1:10">
      <c r="A750" s="10"/>
      <c r="B750" s="10"/>
      <c r="C750" s="1"/>
      <c r="D750" s="1" t="s">
        <v>571</v>
      </c>
      <c r="E750" s="7">
        <v>1500</v>
      </c>
      <c r="F750" s="7">
        <v>1.1000000000000001</v>
      </c>
      <c r="G750" s="7">
        <f t="shared" si="22"/>
        <v>1650.0000000000002</v>
      </c>
      <c r="H750" s="27"/>
    </row>
    <row r="751" spans="1:10">
      <c r="A751" s="10"/>
      <c r="B751" s="10"/>
      <c r="C751" s="1"/>
      <c r="D751" s="44" t="s">
        <v>580</v>
      </c>
      <c r="E751" s="1">
        <v>600</v>
      </c>
      <c r="F751" s="7">
        <v>0.35</v>
      </c>
      <c r="G751" s="7">
        <f t="shared" si="22"/>
        <v>210</v>
      </c>
    </row>
    <row r="752" spans="1:10" s="4" customFormat="1">
      <c r="A752" s="12"/>
      <c r="B752" s="12"/>
      <c r="G752" s="4">
        <f>SUM(G735:G751)</f>
        <v>64170</v>
      </c>
      <c r="J752" s="13" t="s">
        <v>586</v>
      </c>
    </row>
    <row r="753" spans="1:10">
      <c r="A753" s="10">
        <v>42640</v>
      </c>
      <c r="B753" s="10">
        <v>42641</v>
      </c>
      <c r="C753" s="7" t="s">
        <v>318</v>
      </c>
      <c r="D753" s="7" t="s">
        <v>403</v>
      </c>
      <c r="E753" s="7">
        <v>10000</v>
      </c>
      <c r="F753" s="7">
        <v>0.04</v>
      </c>
      <c r="G753" s="7">
        <f>E753*F753</f>
        <v>400</v>
      </c>
      <c r="H753" s="7">
        <v>0</v>
      </c>
      <c r="I753" s="7" t="s">
        <v>144</v>
      </c>
    </row>
    <row r="754" spans="1:10" s="4" customFormat="1">
      <c r="A754" s="12"/>
      <c r="B754" s="12"/>
      <c r="J754" s="13"/>
    </row>
    <row r="755" spans="1:10">
      <c r="A755" s="10">
        <v>42718</v>
      </c>
      <c r="B755" s="10">
        <v>42728</v>
      </c>
      <c r="C755" s="7" t="s">
        <v>163</v>
      </c>
      <c r="D755" s="42" t="s">
        <v>570</v>
      </c>
      <c r="E755" s="7">
        <v>30</v>
      </c>
      <c r="F755" s="7">
        <v>115</v>
      </c>
      <c r="G755" s="7">
        <f>E755*F755</f>
        <v>3450</v>
      </c>
      <c r="H755" s="7">
        <v>30</v>
      </c>
      <c r="I755" s="7" t="s">
        <v>573</v>
      </c>
    </row>
    <row r="756" spans="1:10" s="4" customFormat="1">
      <c r="A756" s="12"/>
      <c r="B756" s="12"/>
      <c r="J756" s="13" t="s">
        <v>576</v>
      </c>
    </row>
    <row r="757" spans="1:10">
      <c r="A757" s="10">
        <v>42721</v>
      </c>
      <c r="B757" s="10">
        <v>42722</v>
      </c>
      <c r="C757" s="7" t="s">
        <v>592</v>
      </c>
      <c r="D757" s="7" t="s">
        <v>593</v>
      </c>
      <c r="E757" s="4"/>
      <c r="F757" s="7">
        <v>3.9</v>
      </c>
      <c r="G757" s="7">
        <f>E757*F757</f>
        <v>0</v>
      </c>
      <c r="H757" s="7">
        <v>10</v>
      </c>
      <c r="I757" s="7" t="s">
        <v>594</v>
      </c>
    </row>
    <row r="758" spans="1:10" s="4" customFormat="1">
      <c r="A758" s="12"/>
      <c r="B758" s="12"/>
      <c r="J758" s="13" t="s">
        <v>598</v>
      </c>
    </row>
    <row r="759" spans="1:10">
      <c r="A759" s="10">
        <v>42723</v>
      </c>
      <c r="B759" s="10">
        <v>42727</v>
      </c>
      <c r="C759" s="7" t="s">
        <v>343</v>
      </c>
      <c r="D759" s="30" t="s">
        <v>533</v>
      </c>
      <c r="E759" s="7">
        <v>1000</v>
      </c>
      <c r="F759" s="7">
        <v>0.1</v>
      </c>
      <c r="G759" s="7">
        <f>E759*F759</f>
        <v>100</v>
      </c>
      <c r="H759" s="7">
        <v>12</v>
      </c>
      <c r="I759" s="7" t="s">
        <v>71</v>
      </c>
      <c r="J759" s="31"/>
    </row>
    <row r="760" spans="1:10" s="4" customFormat="1">
      <c r="A760" s="12"/>
      <c r="B760" s="12"/>
      <c r="J760" s="13" t="s">
        <v>605</v>
      </c>
    </row>
    <row r="761" spans="1:10">
      <c r="A761" s="10">
        <v>42725</v>
      </c>
      <c r="B761" s="10">
        <v>42727</v>
      </c>
      <c r="C761" s="7" t="s">
        <v>596</v>
      </c>
      <c r="D761" s="7" t="s">
        <v>108</v>
      </c>
      <c r="E761" s="7">
        <v>50</v>
      </c>
      <c r="F761" s="7">
        <v>2.7</v>
      </c>
      <c r="G761" s="7">
        <f>E761*F761</f>
        <v>135</v>
      </c>
      <c r="H761" s="7">
        <v>0</v>
      </c>
      <c r="I761" s="7" t="s">
        <v>71</v>
      </c>
    </row>
    <row r="762" spans="1:10">
      <c r="A762" s="10"/>
      <c r="B762" s="10"/>
      <c r="D762" s="7" t="s">
        <v>110</v>
      </c>
      <c r="E762" s="7">
        <v>50</v>
      </c>
      <c r="F762" s="7">
        <v>2.7</v>
      </c>
      <c r="G762" s="7">
        <f>E762*F762</f>
        <v>135</v>
      </c>
    </row>
    <row r="763" spans="1:10" s="4" customFormat="1">
      <c r="A763" s="12"/>
      <c r="B763" s="12"/>
      <c r="G763" s="4">
        <f>SUM(G761:G762)</f>
        <v>270</v>
      </c>
      <c r="J763" s="13" t="s">
        <v>599</v>
      </c>
    </row>
    <row r="764" spans="1:10">
      <c r="A764" s="10">
        <v>42725</v>
      </c>
      <c r="B764" s="10">
        <v>42726</v>
      </c>
      <c r="C764" s="7" t="s">
        <v>597</v>
      </c>
      <c r="D764" s="7" t="s">
        <v>602</v>
      </c>
      <c r="E764" s="7">
        <v>16</v>
      </c>
      <c r="F764" s="7">
        <v>175</v>
      </c>
      <c r="G764" s="7">
        <f>E764*F764</f>
        <v>2800</v>
      </c>
      <c r="H764" s="7">
        <v>0</v>
      </c>
      <c r="I764" s="7" t="s">
        <v>71</v>
      </c>
    </row>
    <row r="765" spans="1:10" s="4" customFormat="1">
      <c r="A765" s="12"/>
      <c r="B765" s="12"/>
      <c r="G765" s="4">
        <f>SUM(G764:G764)</f>
        <v>2800</v>
      </c>
      <c r="J765" s="13" t="s">
        <v>600</v>
      </c>
    </row>
    <row r="766" spans="1:10">
      <c r="A766" s="10">
        <v>42725</v>
      </c>
      <c r="B766" s="10">
        <v>42726</v>
      </c>
      <c r="C766" s="1" t="s">
        <v>603</v>
      </c>
      <c r="D766" s="1" t="s">
        <v>803</v>
      </c>
      <c r="E766" s="1">
        <v>50</v>
      </c>
      <c r="F766" s="7">
        <v>10</v>
      </c>
      <c r="G766" s="7">
        <f>E766*F766</f>
        <v>500</v>
      </c>
      <c r="H766" s="7">
        <v>25</v>
      </c>
      <c r="I766" s="7" t="s">
        <v>71</v>
      </c>
    </row>
    <row r="767" spans="1:10">
      <c r="A767" s="10"/>
      <c r="B767" s="10"/>
      <c r="D767" s="7" t="s">
        <v>755</v>
      </c>
      <c r="E767" s="7">
        <v>1000</v>
      </c>
      <c r="F767" s="7">
        <v>1.2</v>
      </c>
      <c r="G767" s="7">
        <f>E767*F767</f>
        <v>1200</v>
      </c>
    </row>
    <row r="768" spans="1:10" s="4" customFormat="1">
      <c r="A768" s="12"/>
      <c r="B768" s="12"/>
      <c r="G768" s="4">
        <f>SUM(G766:G767)</f>
        <v>1700</v>
      </c>
      <c r="J768" s="13" t="s">
        <v>604</v>
      </c>
    </row>
    <row r="769" spans="1:10">
      <c r="A769" s="10">
        <v>42728</v>
      </c>
      <c r="B769" s="10">
        <v>42745</v>
      </c>
      <c r="C769" s="7" t="s">
        <v>664</v>
      </c>
      <c r="D769" s="7" t="s">
        <v>606</v>
      </c>
      <c r="E769" s="7">
        <v>1000</v>
      </c>
      <c r="F769" s="7">
        <v>4.8</v>
      </c>
      <c r="G769" s="7">
        <f>E769*F769</f>
        <v>4800</v>
      </c>
      <c r="H769" s="7">
        <v>40</v>
      </c>
      <c r="I769" s="7" t="s">
        <v>638</v>
      </c>
    </row>
    <row r="770" spans="1:10">
      <c r="A770" s="10">
        <v>42740</v>
      </c>
      <c r="B770" s="10"/>
      <c r="D770" s="7" t="s">
        <v>617</v>
      </c>
      <c r="E770" s="7">
        <v>1000</v>
      </c>
      <c r="F770" s="7">
        <v>0.9</v>
      </c>
      <c r="G770" s="7">
        <f>E770*F770</f>
        <v>900</v>
      </c>
    </row>
    <row r="771" spans="1:10">
      <c r="B771" s="10"/>
      <c r="D771" s="7" t="s">
        <v>616</v>
      </c>
      <c r="E771" s="7">
        <v>1000</v>
      </c>
      <c r="F771" s="7">
        <v>0.5</v>
      </c>
      <c r="G771" s="7">
        <f>E771*F771</f>
        <v>500</v>
      </c>
    </row>
    <row r="772" spans="1:10">
      <c r="A772" s="10"/>
      <c r="B772" s="10"/>
      <c r="D772" s="7" t="s">
        <v>606</v>
      </c>
      <c r="E772" s="7">
        <v>200</v>
      </c>
      <c r="F772" s="7">
        <v>5.3</v>
      </c>
      <c r="G772" s="7">
        <f>E772*F772</f>
        <v>1060</v>
      </c>
    </row>
    <row r="773" spans="1:10" s="4" customFormat="1">
      <c r="A773" s="12"/>
      <c r="B773" s="12"/>
      <c r="G773" s="4">
        <f>SUM(G769:G772)</f>
        <v>7260</v>
      </c>
      <c r="J773" s="13" t="s">
        <v>618</v>
      </c>
    </row>
    <row r="774" spans="1:10">
      <c r="A774" s="10">
        <v>42730</v>
      </c>
      <c r="B774" s="10">
        <v>42731</v>
      </c>
      <c r="C774" s="7" t="s">
        <v>386</v>
      </c>
      <c r="D774" s="1" t="s">
        <v>875</v>
      </c>
      <c r="E774" s="1">
        <v>20</v>
      </c>
      <c r="F774" s="7">
        <v>18</v>
      </c>
      <c r="G774" s="7">
        <f>E774*F774</f>
        <v>360</v>
      </c>
      <c r="H774" s="7">
        <v>10</v>
      </c>
    </row>
    <row r="775" spans="1:10">
      <c r="A775" s="10"/>
      <c r="B775" s="10"/>
      <c r="D775" s="1" t="s">
        <v>876</v>
      </c>
      <c r="E775" s="1">
        <v>40</v>
      </c>
      <c r="F775" s="7">
        <v>1</v>
      </c>
      <c r="G775" s="7">
        <f>E775*F775</f>
        <v>40</v>
      </c>
    </row>
    <row r="776" spans="1:10">
      <c r="A776" s="10"/>
      <c r="B776" s="10"/>
      <c r="D776" s="1" t="s">
        <v>879</v>
      </c>
      <c r="E776" s="1">
        <v>40</v>
      </c>
      <c r="F776" s="7">
        <v>1</v>
      </c>
      <c r="G776" s="7">
        <f>E776*F776</f>
        <v>40</v>
      </c>
    </row>
    <row r="777" spans="1:10">
      <c r="D777" s="1" t="s">
        <v>880</v>
      </c>
      <c r="E777" s="1">
        <v>40</v>
      </c>
      <c r="F777" s="7">
        <v>1</v>
      </c>
      <c r="G777" s="7">
        <f>E777*F777</f>
        <v>40</v>
      </c>
    </row>
    <row r="778" spans="1:10" s="4" customFormat="1">
      <c r="A778" s="12"/>
      <c r="B778" s="12"/>
      <c r="G778" s="4">
        <f>SUM(G774:G777)</f>
        <v>480</v>
      </c>
      <c r="J778" s="13" t="s">
        <v>607</v>
      </c>
    </row>
    <row r="779" spans="1:10">
      <c r="A779" s="10">
        <v>42735</v>
      </c>
      <c r="B779" s="10">
        <v>42736</v>
      </c>
      <c r="C779" s="7" t="s">
        <v>608</v>
      </c>
      <c r="D779" s="7" t="s">
        <v>609</v>
      </c>
      <c r="E779" s="7">
        <v>84</v>
      </c>
      <c r="F779" s="7">
        <v>4.335</v>
      </c>
      <c r="G779" s="7">
        <f>E779*F779</f>
        <v>364.14</v>
      </c>
      <c r="H779" s="7">
        <v>0</v>
      </c>
      <c r="I779" s="7" t="s">
        <v>619</v>
      </c>
    </row>
    <row r="780" spans="1:10">
      <c r="A780" s="10"/>
      <c r="B780" s="10"/>
      <c r="D780" s="7" t="s">
        <v>610</v>
      </c>
      <c r="E780" s="7">
        <v>84</v>
      </c>
      <c r="F780" s="7">
        <v>4.335</v>
      </c>
      <c r="G780" s="7">
        <f>E780*F780</f>
        <v>364.14</v>
      </c>
    </row>
    <row r="781" spans="1:10">
      <c r="A781" s="10"/>
      <c r="B781" s="10"/>
      <c r="D781" s="7" t="s">
        <v>612</v>
      </c>
      <c r="E781" s="7">
        <v>4</v>
      </c>
      <c r="F781" s="7">
        <v>0</v>
      </c>
      <c r="G781" s="7">
        <f>E781*F781</f>
        <v>0</v>
      </c>
    </row>
    <row r="782" spans="1:10" s="4" customFormat="1">
      <c r="A782" s="12"/>
      <c r="B782" s="12"/>
      <c r="G782" s="4">
        <f>SUM(G779:G780)</f>
        <v>728.28</v>
      </c>
      <c r="J782" s="13" t="s">
        <v>611</v>
      </c>
    </row>
    <row r="783" spans="1:10">
      <c r="A783" s="10">
        <v>42737</v>
      </c>
      <c r="B783" s="10">
        <v>42740</v>
      </c>
      <c r="C783" s="7" t="s">
        <v>592</v>
      </c>
      <c r="D783" s="7" t="s">
        <v>613</v>
      </c>
      <c r="E783" s="7">
        <v>100</v>
      </c>
      <c r="F783" s="7">
        <v>3</v>
      </c>
      <c r="G783" s="7">
        <f>E783*F783</f>
        <v>300</v>
      </c>
      <c r="H783" s="7">
        <v>0</v>
      </c>
      <c r="I783" s="7" t="s">
        <v>620</v>
      </c>
    </row>
    <row r="784" spans="1:10">
      <c r="A784" s="10"/>
      <c r="B784" s="10"/>
      <c r="D784" s="7" t="s">
        <v>614</v>
      </c>
      <c r="E784" s="7">
        <v>100</v>
      </c>
      <c r="F784" s="7">
        <v>1.3</v>
      </c>
      <c r="G784" s="7">
        <f>E784*F784</f>
        <v>130</v>
      </c>
    </row>
    <row r="785" spans="1:10" s="4" customFormat="1">
      <c r="A785" s="12"/>
      <c r="B785" s="12"/>
      <c r="G785" s="4">
        <f>SUM(G783:G784)</f>
        <v>430</v>
      </c>
      <c r="J785" s="13" t="s">
        <v>615</v>
      </c>
    </row>
    <row r="786" spans="1:10">
      <c r="A786" s="10">
        <v>42741</v>
      </c>
      <c r="B786" s="10">
        <v>42743</v>
      </c>
      <c r="C786" s="7" t="s">
        <v>59</v>
      </c>
      <c r="D786" s="1" t="s">
        <v>48</v>
      </c>
      <c r="E786" s="7">
        <v>1500</v>
      </c>
      <c r="F786" s="7">
        <v>0.25</v>
      </c>
      <c r="G786" s="7">
        <f>E786*F786</f>
        <v>375</v>
      </c>
      <c r="H786" s="7">
        <v>15</v>
      </c>
      <c r="I786" s="7" t="s">
        <v>619</v>
      </c>
    </row>
    <row r="787" spans="1:10" s="4" customFormat="1">
      <c r="A787" s="12"/>
      <c r="B787" s="12"/>
      <c r="G787" s="4">
        <f>SUM(G786:G786)</f>
        <v>375</v>
      </c>
      <c r="J787" s="13" t="s">
        <v>621</v>
      </c>
    </row>
    <row r="788" spans="1:10" s="1" customFormat="1">
      <c r="A788" s="10">
        <v>42741</v>
      </c>
      <c r="B788" s="10">
        <v>42745</v>
      </c>
      <c r="C788" s="1" t="s">
        <v>622</v>
      </c>
      <c r="D788" s="40" t="s">
        <v>623</v>
      </c>
      <c r="E788" s="40">
        <v>300</v>
      </c>
      <c r="F788" s="1">
        <v>5</v>
      </c>
      <c r="G788" s="7">
        <f>E788*F788</f>
        <v>1500</v>
      </c>
    </row>
    <row r="789" spans="1:10" s="1" customFormat="1">
      <c r="A789" s="28"/>
      <c r="B789" s="28"/>
      <c r="D789" s="40" t="s">
        <v>483</v>
      </c>
      <c r="E789" s="40">
        <v>600</v>
      </c>
      <c r="F789" s="1">
        <v>13</v>
      </c>
      <c r="G789" s="7">
        <f t="shared" ref="G789:G798" si="23">E789*F789</f>
        <v>7800</v>
      </c>
    </row>
    <row r="790" spans="1:10">
      <c r="A790" s="10"/>
      <c r="B790" s="10"/>
      <c r="C790" s="1"/>
      <c r="D790" s="40" t="s">
        <v>484</v>
      </c>
      <c r="E790" s="40">
        <v>600</v>
      </c>
      <c r="F790" s="7">
        <v>19</v>
      </c>
      <c r="G790" s="7">
        <f t="shared" si="23"/>
        <v>11400</v>
      </c>
      <c r="H790" s="27"/>
    </row>
    <row r="791" spans="1:10">
      <c r="A791" s="10"/>
      <c r="B791" s="10"/>
      <c r="C791" s="1"/>
      <c r="D791" s="40" t="s">
        <v>624</v>
      </c>
      <c r="E791" s="40">
        <v>4000</v>
      </c>
      <c r="F791" s="7">
        <v>1.9</v>
      </c>
      <c r="G791" s="7">
        <f t="shared" si="23"/>
        <v>7600</v>
      </c>
      <c r="H791" s="27"/>
    </row>
    <row r="792" spans="1:10">
      <c r="A792" s="10"/>
      <c r="B792" s="10"/>
      <c r="C792" s="1"/>
      <c r="D792" s="40" t="s">
        <v>625</v>
      </c>
      <c r="E792" s="40">
        <v>4000</v>
      </c>
      <c r="F792" s="7">
        <v>3.4</v>
      </c>
      <c r="G792" s="7">
        <f t="shared" si="23"/>
        <v>13600</v>
      </c>
      <c r="H792" s="27"/>
    </row>
    <row r="793" spans="1:10" s="1" customFormat="1">
      <c r="A793" s="28"/>
      <c r="B793" s="28"/>
      <c r="D793" s="40" t="s">
        <v>626</v>
      </c>
      <c r="E793" s="40">
        <v>700</v>
      </c>
      <c r="F793" s="1">
        <v>0.11</v>
      </c>
      <c r="G793" s="7">
        <f t="shared" si="23"/>
        <v>77</v>
      </c>
    </row>
    <row r="794" spans="1:10" s="1" customFormat="1">
      <c r="A794" s="28"/>
      <c r="B794" s="28"/>
      <c r="D794" s="40" t="s">
        <v>627</v>
      </c>
      <c r="E794" s="40">
        <v>600</v>
      </c>
      <c r="F794" s="1">
        <v>0.64</v>
      </c>
      <c r="G794" s="7">
        <f t="shared" si="23"/>
        <v>384</v>
      </c>
    </row>
    <row r="795" spans="1:10">
      <c r="A795" s="10"/>
      <c r="B795" s="10"/>
      <c r="C795" s="1"/>
      <c r="D795" s="39" t="s">
        <v>628</v>
      </c>
      <c r="E795" s="40">
        <v>1000</v>
      </c>
      <c r="F795" s="7">
        <v>0.11</v>
      </c>
      <c r="G795" s="7">
        <f t="shared" si="23"/>
        <v>110</v>
      </c>
      <c r="H795" s="27"/>
    </row>
    <row r="796" spans="1:10">
      <c r="A796" s="10"/>
      <c r="B796" s="10"/>
      <c r="C796" s="1"/>
      <c r="D796" s="40" t="s">
        <v>629</v>
      </c>
      <c r="E796" s="40">
        <v>50</v>
      </c>
      <c r="F796" s="7">
        <v>1.3</v>
      </c>
      <c r="G796" s="7">
        <f t="shared" si="23"/>
        <v>65</v>
      </c>
      <c r="H796" s="27"/>
    </row>
    <row r="797" spans="1:10">
      <c r="A797" s="10"/>
      <c r="B797" s="10"/>
      <c r="C797" s="1"/>
      <c r="D797" s="40" t="s">
        <v>232</v>
      </c>
      <c r="E797" s="40">
        <v>1300</v>
      </c>
      <c r="F797" s="7">
        <v>0.3</v>
      </c>
      <c r="G797" s="7">
        <f t="shared" si="23"/>
        <v>390</v>
      </c>
      <c r="H797" s="27"/>
    </row>
    <row r="798" spans="1:10">
      <c r="A798" s="10"/>
      <c r="B798" s="10"/>
      <c r="C798" s="1"/>
      <c r="D798" s="40" t="s">
        <v>33</v>
      </c>
      <c r="E798" s="40">
        <v>1300</v>
      </c>
      <c r="F798" s="7">
        <v>0.28000000000000003</v>
      </c>
      <c r="G798" s="7">
        <f t="shared" si="23"/>
        <v>364.00000000000006</v>
      </c>
      <c r="H798" s="27"/>
    </row>
    <row r="799" spans="1:10">
      <c r="A799" s="10"/>
      <c r="B799" s="10"/>
      <c r="C799" s="1"/>
      <c r="D799" s="40"/>
      <c r="E799" s="40"/>
      <c r="H799" s="27"/>
    </row>
    <row r="800" spans="1:10">
      <c r="A800" s="10"/>
      <c r="B800" s="10"/>
      <c r="C800" s="1"/>
      <c r="D800" s="47" t="s">
        <v>481</v>
      </c>
      <c r="E800" s="40">
        <v>300</v>
      </c>
      <c r="F800" s="7">
        <v>8.5</v>
      </c>
      <c r="G800" s="7">
        <f>E800*F800*1.06</f>
        <v>2703</v>
      </c>
      <c r="H800" s="27"/>
    </row>
    <row r="801" spans="1:10" s="1" customFormat="1">
      <c r="A801" s="28"/>
      <c r="B801" s="28"/>
      <c r="D801" s="47" t="s">
        <v>891</v>
      </c>
      <c r="E801" s="40">
        <v>1200</v>
      </c>
      <c r="F801" s="1">
        <v>0.1</v>
      </c>
      <c r="G801" s="7">
        <f t="shared" ref="G801:G808" si="24">E801*F801</f>
        <v>120</v>
      </c>
    </row>
    <row r="802" spans="1:10" s="1" customFormat="1">
      <c r="A802" s="28"/>
      <c r="B802" s="28"/>
      <c r="D802" s="47" t="s">
        <v>892</v>
      </c>
      <c r="E802" s="40">
        <v>600</v>
      </c>
      <c r="F802" s="1">
        <v>0.6</v>
      </c>
      <c r="G802" s="7">
        <f t="shared" si="24"/>
        <v>360</v>
      </c>
    </row>
    <row r="803" spans="1:10">
      <c r="A803" s="10"/>
      <c r="B803" s="10"/>
      <c r="C803" s="1"/>
      <c r="D803" s="48" t="s">
        <v>628</v>
      </c>
      <c r="E803" s="40">
        <v>1200</v>
      </c>
      <c r="F803" s="7">
        <v>0.1</v>
      </c>
      <c r="G803" s="7">
        <f t="shared" si="24"/>
        <v>120</v>
      </c>
      <c r="H803" s="27"/>
    </row>
    <row r="804" spans="1:10">
      <c r="A804" s="10"/>
      <c r="B804" s="10"/>
      <c r="C804" s="1"/>
      <c r="D804" s="47" t="s">
        <v>893</v>
      </c>
      <c r="E804" s="40">
        <v>3600</v>
      </c>
      <c r="F804" s="7">
        <v>0.03</v>
      </c>
      <c r="G804" s="7">
        <f t="shared" si="24"/>
        <v>108</v>
      </c>
    </row>
    <row r="805" spans="1:10">
      <c r="A805" s="10"/>
      <c r="B805" s="10"/>
      <c r="C805" s="1"/>
      <c r="D805" s="47" t="s">
        <v>624</v>
      </c>
      <c r="E805" s="40">
        <f>60*6</f>
        <v>360</v>
      </c>
      <c r="F805" s="7">
        <v>1.9</v>
      </c>
      <c r="G805" s="7">
        <f t="shared" si="24"/>
        <v>684</v>
      </c>
    </row>
    <row r="806" spans="1:10">
      <c r="A806" s="10"/>
      <c r="B806" s="10"/>
      <c r="C806" s="1"/>
      <c r="D806" s="47" t="s">
        <v>625</v>
      </c>
      <c r="E806" s="40">
        <f>60*14</f>
        <v>840</v>
      </c>
      <c r="F806" s="7">
        <v>3.3</v>
      </c>
      <c r="G806" s="7">
        <f t="shared" si="24"/>
        <v>2772</v>
      </c>
    </row>
    <row r="807" spans="1:10">
      <c r="A807" s="10"/>
      <c r="B807" s="10"/>
      <c r="C807" s="1"/>
      <c r="D807" s="47" t="s">
        <v>630</v>
      </c>
      <c r="E807" s="40">
        <v>300</v>
      </c>
      <c r="F807" s="7">
        <v>0.7</v>
      </c>
      <c r="G807" s="7">
        <f t="shared" si="24"/>
        <v>210</v>
      </c>
    </row>
    <row r="808" spans="1:10">
      <c r="A808" s="10"/>
      <c r="B808" s="10"/>
      <c r="C808" s="1"/>
      <c r="D808" s="1" t="s">
        <v>631</v>
      </c>
      <c r="E808" s="40">
        <v>75</v>
      </c>
      <c r="F808" s="7">
        <v>3</v>
      </c>
      <c r="G808" s="7">
        <f t="shared" si="24"/>
        <v>225</v>
      </c>
    </row>
    <row r="809" spans="1:10">
      <c r="A809" s="10"/>
      <c r="B809" s="10"/>
      <c r="D809" s="1" t="s">
        <v>633</v>
      </c>
      <c r="E809" s="1">
        <v>6000</v>
      </c>
      <c r="J809" s="7" t="s">
        <v>653</v>
      </c>
    </row>
    <row r="810" spans="1:10">
      <c r="A810" s="10"/>
      <c r="B810" s="10"/>
      <c r="C810" s="1"/>
      <c r="D810" s="41" t="s">
        <v>632</v>
      </c>
      <c r="E810" s="50">
        <v>300</v>
      </c>
    </row>
    <row r="811" spans="1:10" s="4" customFormat="1">
      <c r="A811" s="12"/>
      <c r="B811" s="12"/>
      <c r="G811" s="4">
        <f>SUM(G788:G808)</f>
        <v>50592</v>
      </c>
      <c r="J811" s="13" t="s">
        <v>634</v>
      </c>
    </row>
    <row r="812" spans="1:10">
      <c r="A812" s="10">
        <v>42779</v>
      </c>
      <c r="B812" s="10">
        <v>42780</v>
      </c>
      <c r="C812" s="7" t="s">
        <v>318</v>
      </c>
      <c r="D812" s="7" t="s">
        <v>637</v>
      </c>
      <c r="E812" s="7">
        <v>5000</v>
      </c>
      <c r="F812" s="7">
        <v>0.03</v>
      </c>
      <c r="G812" s="7">
        <f>E812*F812</f>
        <v>150</v>
      </c>
      <c r="H812" s="7">
        <v>8</v>
      </c>
      <c r="I812" s="7" t="s">
        <v>144</v>
      </c>
    </row>
    <row r="813" spans="1:10" s="4" customFormat="1">
      <c r="A813" s="12"/>
      <c r="B813" s="12"/>
      <c r="J813" s="13"/>
    </row>
    <row r="814" spans="1:10">
      <c r="A814" s="10">
        <v>42812</v>
      </c>
      <c r="B814" s="10">
        <v>42824</v>
      </c>
      <c r="C814" s="1" t="s">
        <v>646</v>
      </c>
      <c r="D814" s="1" t="s">
        <v>647</v>
      </c>
      <c r="E814" s="1">
        <v>2000</v>
      </c>
      <c r="F814" s="7">
        <v>1.9</v>
      </c>
      <c r="G814" s="7">
        <f>E814*F814</f>
        <v>3800</v>
      </c>
      <c r="H814" s="7">
        <v>150</v>
      </c>
      <c r="I814" s="7" t="s">
        <v>665</v>
      </c>
    </row>
    <row r="815" spans="1:10">
      <c r="A815" s="10"/>
      <c r="B815" s="10"/>
      <c r="D815" s="1" t="s">
        <v>648</v>
      </c>
      <c r="E815" s="1">
        <v>2000</v>
      </c>
      <c r="F815" s="7">
        <v>2</v>
      </c>
      <c r="G815" s="7">
        <f>E815*F815</f>
        <v>4000</v>
      </c>
    </row>
    <row r="816" spans="1:10">
      <c r="A816" s="10"/>
      <c r="B816" s="10"/>
      <c r="D816" s="1" t="s">
        <v>649</v>
      </c>
      <c r="E816" s="1">
        <v>2</v>
      </c>
      <c r="F816" s="7">
        <v>-200</v>
      </c>
      <c r="G816" s="7">
        <f>E816*F816</f>
        <v>-400</v>
      </c>
    </row>
    <row r="817" spans="1:10" s="4" customFormat="1">
      <c r="A817" s="12"/>
      <c r="B817" s="12"/>
      <c r="G817" s="4">
        <f>SUM(G814:G816)</f>
        <v>7400</v>
      </c>
      <c r="J817" s="13" t="s">
        <v>658</v>
      </c>
    </row>
    <row r="818" spans="1:10">
      <c r="A818" s="10">
        <v>42814</v>
      </c>
      <c r="B818" s="10">
        <v>42816</v>
      </c>
      <c r="C818" s="7" t="s">
        <v>636</v>
      </c>
      <c r="D818" s="7" t="s">
        <v>651</v>
      </c>
      <c r="E818" s="7">
        <v>2000</v>
      </c>
      <c r="F818" s="7">
        <v>1.5</v>
      </c>
      <c r="G818" s="7">
        <f>E818*F818</f>
        <v>3000</v>
      </c>
      <c r="H818" s="7">
        <v>48</v>
      </c>
    </row>
    <row r="819" spans="1:10" s="4" customFormat="1">
      <c r="A819" s="12"/>
      <c r="B819" s="12"/>
      <c r="J819" s="13" t="s">
        <v>652</v>
      </c>
    </row>
    <row r="820" spans="1:10">
      <c r="A820" s="10">
        <v>42816</v>
      </c>
      <c r="B820" s="10">
        <v>42816</v>
      </c>
      <c r="C820" s="7" t="s">
        <v>318</v>
      </c>
      <c r="D820" s="7" t="s">
        <v>637</v>
      </c>
      <c r="E820" s="7">
        <v>5000</v>
      </c>
      <c r="F820" s="7">
        <v>0.03</v>
      </c>
      <c r="G820" s="7">
        <f>E820*F820</f>
        <v>150</v>
      </c>
      <c r="H820" s="7">
        <v>8</v>
      </c>
      <c r="I820" s="7" t="s">
        <v>144</v>
      </c>
    </row>
    <row r="821" spans="1:10" s="4" customFormat="1">
      <c r="A821" s="12"/>
      <c r="B821" s="12"/>
      <c r="J821" s="13"/>
    </row>
    <row r="822" spans="1:10">
      <c r="A822" s="10">
        <v>42817</v>
      </c>
      <c r="B822" s="10">
        <v>42819</v>
      </c>
      <c r="C822" s="7" t="s">
        <v>766</v>
      </c>
      <c r="D822" s="7" t="s">
        <v>767</v>
      </c>
      <c r="E822" s="7">
        <v>2000</v>
      </c>
      <c r="F822" s="7">
        <v>1.2699999999999999E-2</v>
      </c>
      <c r="G822" s="56">
        <f>E822*F822</f>
        <v>25.4</v>
      </c>
      <c r="H822" s="7">
        <v>5</v>
      </c>
    </row>
    <row r="823" spans="1:10" s="4" customFormat="1">
      <c r="A823" s="12"/>
      <c r="B823" s="12"/>
      <c r="J823" s="13" t="s">
        <v>770</v>
      </c>
    </row>
    <row r="824" spans="1:10">
      <c r="A824" s="10">
        <v>42817</v>
      </c>
      <c r="B824" s="10">
        <v>42832</v>
      </c>
      <c r="C824" s="1" t="s">
        <v>657</v>
      </c>
      <c r="D824" s="1" t="s">
        <v>654</v>
      </c>
      <c r="E824" s="1">
        <v>1000</v>
      </c>
      <c r="F824" s="7">
        <v>5.5</v>
      </c>
      <c r="G824" s="7">
        <f>E824*F824</f>
        <v>5500</v>
      </c>
    </row>
    <row r="825" spans="1:10">
      <c r="A825" s="10"/>
      <c r="B825" s="10"/>
      <c r="D825" s="1" t="s">
        <v>655</v>
      </c>
      <c r="E825" s="1">
        <v>1000</v>
      </c>
      <c r="F825" s="7">
        <v>1.1000000000000001</v>
      </c>
      <c r="G825" s="7">
        <f>E825*F825</f>
        <v>1100</v>
      </c>
    </row>
    <row r="826" spans="1:10">
      <c r="A826" s="10"/>
      <c r="B826" s="10"/>
      <c r="D826" s="1" t="s">
        <v>656</v>
      </c>
      <c r="E826" s="1">
        <v>1000</v>
      </c>
      <c r="F826" s="7">
        <v>0.2</v>
      </c>
      <c r="G826" s="7">
        <f>E826*F826</f>
        <v>200</v>
      </c>
    </row>
    <row r="827" spans="1:10" s="4" customFormat="1">
      <c r="A827" s="12"/>
      <c r="B827" s="12"/>
      <c r="G827" s="4">
        <f>SUM(G824:G826)</f>
        <v>6800</v>
      </c>
      <c r="J827" s="13" t="s">
        <v>669</v>
      </c>
    </row>
    <row r="828" spans="1:10">
      <c r="A828" s="10">
        <v>42818</v>
      </c>
      <c r="B828" s="10">
        <v>42835</v>
      </c>
      <c r="C828" s="1" t="s">
        <v>659</v>
      </c>
      <c r="D828" s="1" t="s">
        <v>923</v>
      </c>
      <c r="E828" s="1">
        <v>1000</v>
      </c>
      <c r="F828" s="7">
        <v>11.5</v>
      </c>
      <c r="G828" s="7">
        <f>E828*F828</f>
        <v>11500</v>
      </c>
      <c r="H828" s="7">
        <v>460</v>
      </c>
      <c r="I828" s="7" t="s">
        <v>684</v>
      </c>
    </row>
    <row r="829" spans="1:10">
      <c r="A829" s="10"/>
      <c r="B829" s="10"/>
      <c r="D829" s="1" t="s">
        <v>924</v>
      </c>
      <c r="E829" s="1">
        <v>2000</v>
      </c>
      <c r="F829" s="7">
        <v>8</v>
      </c>
      <c r="G829" s="7">
        <f>E829*F829</f>
        <v>16000</v>
      </c>
    </row>
    <row r="830" spans="1:10">
      <c r="A830" s="10"/>
      <c r="B830" s="10"/>
      <c r="D830" s="1" t="s">
        <v>642</v>
      </c>
      <c r="E830" s="1">
        <v>1000</v>
      </c>
      <c r="F830" s="7">
        <v>3.2</v>
      </c>
      <c r="G830" s="7">
        <f>E830*F830</f>
        <v>3200</v>
      </c>
    </row>
    <row r="831" spans="1:10">
      <c r="A831" s="10"/>
      <c r="B831" s="10"/>
      <c r="D831" s="7" t="s">
        <v>141</v>
      </c>
      <c r="E831" s="1">
        <v>1000</v>
      </c>
      <c r="F831" s="7">
        <v>0.5</v>
      </c>
      <c r="G831" s="7">
        <f>E831*F831</f>
        <v>500</v>
      </c>
    </row>
    <row r="832" spans="1:10" s="4" customFormat="1">
      <c r="A832" s="12"/>
      <c r="B832" s="12"/>
      <c r="G832" s="4">
        <f>SUM(G828:G831)</f>
        <v>31200</v>
      </c>
      <c r="J832" s="13" t="s">
        <v>683</v>
      </c>
    </row>
    <row r="833" spans="1:10">
      <c r="A833" s="10">
        <v>42819</v>
      </c>
      <c r="B833" s="10">
        <v>42837</v>
      </c>
      <c r="C833" s="7" t="s">
        <v>663</v>
      </c>
      <c r="D833" s="7" t="s">
        <v>662</v>
      </c>
      <c r="E833" s="7">
        <v>1000</v>
      </c>
      <c r="F833" s="7">
        <v>36</v>
      </c>
      <c r="G833" s="7">
        <f>E833*F833</f>
        <v>36000</v>
      </c>
      <c r="H833" s="7">
        <v>550</v>
      </c>
      <c r="I833" s="7" t="s">
        <v>684</v>
      </c>
    </row>
    <row r="834" spans="1:10" s="4" customFormat="1">
      <c r="A834" s="12"/>
      <c r="B834" s="12"/>
      <c r="J834" s="13" t="s">
        <v>688</v>
      </c>
    </row>
    <row r="835" spans="1:10">
      <c r="A835" s="10">
        <v>42825</v>
      </c>
      <c r="B835" s="10">
        <v>42833</v>
      </c>
      <c r="C835" s="10" t="s">
        <v>666</v>
      </c>
      <c r="D835" s="7" t="s">
        <v>890</v>
      </c>
      <c r="E835" s="7">
        <v>1000</v>
      </c>
      <c r="F835" s="7">
        <v>4.5</v>
      </c>
      <c r="G835" s="7">
        <f>E835*F835</f>
        <v>4500</v>
      </c>
      <c r="H835" s="7">
        <v>155</v>
      </c>
      <c r="I835" s="7" t="s">
        <v>670</v>
      </c>
    </row>
    <row r="836" spans="1:10" s="4" customFormat="1">
      <c r="A836" s="12"/>
      <c r="B836" s="12"/>
      <c r="J836" s="13" t="s">
        <v>689</v>
      </c>
    </row>
    <row r="837" spans="1:10">
      <c r="A837" s="10">
        <v>42834</v>
      </c>
      <c r="B837" s="10">
        <v>42837</v>
      </c>
      <c r="C837" s="1" t="s">
        <v>681</v>
      </c>
      <c r="D837" s="1" t="s">
        <v>671</v>
      </c>
      <c r="E837" s="1">
        <v>2000</v>
      </c>
      <c r="F837" s="7">
        <v>2.75E-2</v>
      </c>
      <c r="G837" s="7">
        <f>E837*F837</f>
        <v>55</v>
      </c>
      <c r="H837" s="7">
        <v>0</v>
      </c>
      <c r="I837" s="7" t="s">
        <v>701</v>
      </c>
    </row>
    <row r="838" spans="1:10">
      <c r="A838" s="10"/>
      <c r="B838" s="10"/>
      <c r="D838" s="1" t="s">
        <v>672</v>
      </c>
      <c r="E838" s="1">
        <v>2000</v>
      </c>
      <c r="F838" s="7">
        <v>2.75E-2</v>
      </c>
      <c r="G838" s="7">
        <f>E838*F838</f>
        <v>55</v>
      </c>
    </row>
    <row r="839" spans="1:10">
      <c r="A839" s="10"/>
      <c r="B839" s="10"/>
      <c r="D839" s="1" t="s">
        <v>673</v>
      </c>
      <c r="E839" s="1">
        <v>2000</v>
      </c>
      <c r="F839" s="7">
        <v>2.75E-2</v>
      </c>
      <c r="G839" s="7">
        <f>E839*F839</f>
        <v>55</v>
      </c>
    </row>
    <row r="840" spans="1:10" s="4" customFormat="1">
      <c r="A840" s="12"/>
      <c r="B840" s="12"/>
      <c r="G840" s="4">
        <f>SUM(G837:G839)</f>
        <v>165</v>
      </c>
      <c r="J840" s="13" t="s">
        <v>674</v>
      </c>
    </row>
    <row r="841" spans="1:10">
      <c r="A841" s="10">
        <v>42834</v>
      </c>
      <c r="B841" s="10">
        <v>42841</v>
      </c>
      <c r="C841" s="1" t="s">
        <v>682</v>
      </c>
      <c r="D841" s="1" t="s">
        <v>676</v>
      </c>
      <c r="E841" s="1">
        <v>1000</v>
      </c>
      <c r="F841" s="7">
        <v>0.105</v>
      </c>
      <c r="G841" s="7">
        <f>E841*F841</f>
        <v>105</v>
      </c>
      <c r="H841" s="7">
        <v>20</v>
      </c>
      <c r="I841" s="7" t="s">
        <v>702</v>
      </c>
    </row>
    <row r="842" spans="1:10">
      <c r="A842" s="10"/>
      <c r="B842" s="10"/>
      <c r="D842" s="1" t="s">
        <v>677</v>
      </c>
      <c r="E842" s="1">
        <v>1000</v>
      </c>
      <c r="F842" s="7">
        <v>0.105</v>
      </c>
      <c r="G842" s="7">
        <f>E842*F842</f>
        <v>105</v>
      </c>
    </row>
    <row r="843" spans="1:10">
      <c r="A843" s="10"/>
      <c r="B843" s="10"/>
      <c r="D843" s="1" t="s">
        <v>678</v>
      </c>
      <c r="E843" s="1">
        <v>1000</v>
      </c>
      <c r="F843" s="7">
        <v>0.105</v>
      </c>
      <c r="G843" s="7">
        <f>E843*F843</f>
        <v>105</v>
      </c>
    </row>
    <row r="844" spans="1:10">
      <c r="A844" s="10"/>
      <c r="B844" s="10"/>
      <c r="D844" s="1" t="s">
        <v>679</v>
      </c>
      <c r="E844" s="1">
        <v>1000</v>
      </c>
      <c r="F844" s="7">
        <v>0.08</v>
      </c>
      <c r="G844" s="7">
        <f>E844*F844</f>
        <v>80</v>
      </c>
    </row>
    <row r="845" spans="1:10">
      <c r="A845" s="10"/>
      <c r="B845" s="10"/>
      <c r="D845" s="1" t="s">
        <v>680</v>
      </c>
      <c r="E845" s="1">
        <v>2000</v>
      </c>
      <c r="F845" s="7">
        <v>7.0000000000000007E-2</v>
      </c>
      <c r="G845" s="7">
        <f>E845*F845</f>
        <v>140</v>
      </c>
    </row>
    <row r="846" spans="1:10" s="4" customFormat="1">
      <c r="A846" s="12"/>
      <c r="B846" s="12"/>
      <c r="G846" s="4">
        <f>SUM(G841:G845)</f>
        <v>535</v>
      </c>
      <c r="J846" s="13" t="s">
        <v>675</v>
      </c>
    </row>
    <row r="847" spans="1:10">
      <c r="A847" s="10">
        <v>42836</v>
      </c>
      <c r="B847" s="10">
        <v>42840</v>
      </c>
      <c r="C847" s="1" t="s">
        <v>685</v>
      </c>
      <c r="D847" s="1" t="s">
        <v>686</v>
      </c>
      <c r="E847" s="1">
        <v>1000</v>
      </c>
      <c r="F847" s="7">
        <v>0.08</v>
      </c>
      <c r="G847" s="7">
        <f>E847*F847</f>
        <v>80</v>
      </c>
      <c r="H847" s="7">
        <v>8</v>
      </c>
      <c r="I847" s="7" t="s">
        <v>701</v>
      </c>
    </row>
    <row r="848" spans="1:10" s="4" customFormat="1">
      <c r="A848" s="12"/>
      <c r="B848" s="12"/>
      <c r="J848" s="13" t="s">
        <v>687</v>
      </c>
    </row>
    <row r="849" spans="1:10">
      <c r="A849" s="10">
        <v>42837</v>
      </c>
      <c r="B849" s="10">
        <v>42841</v>
      </c>
      <c r="C849" s="7" t="s">
        <v>43</v>
      </c>
      <c r="D849" s="7" t="s">
        <v>215</v>
      </c>
      <c r="E849" s="7">
        <v>1000</v>
      </c>
      <c r="F849" s="7">
        <v>3</v>
      </c>
      <c r="G849" s="7">
        <f>E849*F849</f>
        <v>3000</v>
      </c>
      <c r="H849" s="7">
        <v>60</v>
      </c>
      <c r="I849" s="7" t="s">
        <v>718</v>
      </c>
    </row>
    <row r="850" spans="1:10" s="4" customFormat="1">
      <c r="A850" s="12"/>
      <c r="B850" s="12"/>
      <c r="J850" s="13" t="s">
        <v>692</v>
      </c>
    </row>
    <row r="851" spans="1:10">
      <c r="A851" s="10">
        <v>42837</v>
      </c>
      <c r="B851" s="10">
        <v>42838</v>
      </c>
      <c r="C851" s="1" t="s">
        <v>690</v>
      </c>
      <c r="D851" s="1" t="s">
        <v>691</v>
      </c>
      <c r="E851" s="1">
        <v>1000</v>
      </c>
      <c r="F851" s="7">
        <v>1.4</v>
      </c>
      <c r="G851" s="7">
        <f>E851*F851</f>
        <v>1400</v>
      </c>
      <c r="H851" s="7">
        <v>15</v>
      </c>
      <c r="I851" s="7" t="s">
        <v>693</v>
      </c>
    </row>
    <row r="852" spans="1:10" s="4" customFormat="1">
      <c r="A852" s="12"/>
      <c r="B852" s="12"/>
      <c r="J852" s="13" t="s">
        <v>694</v>
      </c>
    </row>
    <row r="853" spans="1:10">
      <c r="A853" s="10">
        <v>42837</v>
      </c>
      <c r="B853" s="10">
        <v>42843</v>
      </c>
      <c r="C853" s="7" t="s">
        <v>664</v>
      </c>
      <c r="D853" s="7" t="s">
        <v>696</v>
      </c>
      <c r="E853" s="7">
        <v>1000</v>
      </c>
      <c r="F853" s="7">
        <v>6</v>
      </c>
      <c r="G853" s="7">
        <f>E853*F853</f>
        <v>6000</v>
      </c>
      <c r="H853" s="7">
        <v>122</v>
      </c>
      <c r="I853" s="7" t="s">
        <v>84</v>
      </c>
    </row>
    <row r="854" spans="1:10" s="4" customFormat="1">
      <c r="A854" s="12"/>
      <c r="B854" s="12"/>
      <c r="J854" s="13" t="s">
        <v>708</v>
      </c>
    </row>
    <row r="855" spans="1:10">
      <c r="A855" s="10">
        <v>42838</v>
      </c>
      <c r="B855" s="10">
        <v>42847</v>
      </c>
      <c r="C855" s="1" t="s">
        <v>703</v>
      </c>
      <c r="D855" s="1" t="s">
        <v>697</v>
      </c>
      <c r="E855" s="1">
        <v>2400</v>
      </c>
      <c r="F855" s="7">
        <v>0.4</v>
      </c>
      <c r="G855" s="7">
        <f>E855*F855</f>
        <v>960</v>
      </c>
      <c r="H855" s="7">
        <v>85</v>
      </c>
      <c r="I855" s="7" t="s">
        <v>739</v>
      </c>
    </row>
    <row r="856" spans="1:10" s="4" customFormat="1">
      <c r="A856" s="12"/>
      <c r="B856" s="12"/>
      <c r="J856" s="13" t="s">
        <v>698</v>
      </c>
    </row>
    <row r="857" spans="1:10">
      <c r="A857" s="10">
        <v>42838</v>
      </c>
      <c r="B857" s="10">
        <v>42839</v>
      </c>
      <c r="C857" s="1" t="s">
        <v>704</v>
      </c>
      <c r="D857" s="1" t="s">
        <v>91</v>
      </c>
      <c r="E857" s="1">
        <v>2400</v>
      </c>
      <c r="F857" s="7">
        <v>0.15</v>
      </c>
      <c r="G857" s="7">
        <f>E857*F857</f>
        <v>360</v>
      </c>
      <c r="H857" s="7">
        <v>70</v>
      </c>
      <c r="I857" s="7" t="s">
        <v>699</v>
      </c>
    </row>
    <row r="858" spans="1:10">
      <c r="A858" s="10"/>
      <c r="B858" s="10"/>
      <c r="C858" s="1"/>
      <c r="D858" s="7" t="s">
        <v>232</v>
      </c>
      <c r="E858" s="1">
        <v>2000</v>
      </c>
      <c r="F858" s="7">
        <v>0.2</v>
      </c>
      <c r="G858" s="7">
        <f>E858*F858</f>
        <v>400</v>
      </c>
    </row>
    <row r="859" spans="1:10" s="4" customFormat="1">
      <c r="A859" s="12"/>
      <c r="B859" s="12"/>
      <c r="G859" s="4">
        <f>SUM(G857:G858)</f>
        <v>760</v>
      </c>
      <c r="J859" s="13" t="s">
        <v>700</v>
      </c>
    </row>
    <row r="860" spans="1:10">
      <c r="A860" s="10">
        <v>42839</v>
      </c>
      <c r="B860" s="10">
        <v>42845</v>
      </c>
      <c r="C860" s="1" t="s">
        <v>705</v>
      </c>
      <c r="D860" s="1" t="s">
        <v>706</v>
      </c>
      <c r="E860" s="1">
        <v>1000</v>
      </c>
      <c r="F860" s="7">
        <v>0.25</v>
      </c>
      <c r="G860" s="7">
        <f>E860*F860</f>
        <v>250</v>
      </c>
      <c r="H860" s="7">
        <v>50</v>
      </c>
      <c r="I860" s="7" t="s">
        <v>741</v>
      </c>
    </row>
    <row r="861" spans="1:10" s="4" customFormat="1">
      <c r="A861" s="12"/>
      <c r="B861" s="12"/>
      <c r="J861" s="13" t="s">
        <v>707</v>
      </c>
    </row>
    <row r="862" spans="1:10">
      <c r="A862" s="10">
        <v>42839</v>
      </c>
      <c r="B862" s="10">
        <v>42845</v>
      </c>
      <c r="C862" s="1" t="s">
        <v>682</v>
      </c>
      <c r="D862" s="1" t="s">
        <v>709</v>
      </c>
      <c r="E862" s="1">
        <v>1000</v>
      </c>
      <c r="F862" s="7">
        <v>0.03</v>
      </c>
      <c r="G862" s="7">
        <f t="shared" ref="G862:G867" si="25">E862*F862</f>
        <v>30</v>
      </c>
      <c r="H862" s="7">
        <v>0</v>
      </c>
      <c r="I862" s="7" t="s">
        <v>702</v>
      </c>
    </row>
    <row r="863" spans="1:10">
      <c r="A863" s="10"/>
      <c r="B863" s="10"/>
      <c r="D863" s="1" t="s">
        <v>710</v>
      </c>
      <c r="E863" s="1">
        <v>1000</v>
      </c>
      <c r="F863" s="7">
        <v>0.03</v>
      </c>
      <c r="G863" s="7">
        <f t="shared" si="25"/>
        <v>30</v>
      </c>
    </row>
    <row r="864" spans="1:10">
      <c r="A864" s="10"/>
      <c r="B864" s="10"/>
      <c r="D864" s="1" t="s">
        <v>711</v>
      </c>
      <c r="E864" s="1">
        <v>1000</v>
      </c>
      <c r="F864" s="7">
        <v>0.03</v>
      </c>
      <c r="G864" s="7">
        <f t="shared" si="25"/>
        <v>30</v>
      </c>
    </row>
    <row r="865" spans="1:10">
      <c r="A865" s="10"/>
      <c r="B865" s="10"/>
      <c r="D865" s="1" t="s">
        <v>712</v>
      </c>
      <c r="E865" s="1">
        <v>1000</v>
      </c>
      <c r="F865" s="7">
        <v>0.03</v>
      </c>
      <c r="G865" s="7">
        <f t="shared" si="25"/>
        <v>30</v>
      </c>
    </row>
    <row r="866" spans="1:10">
      <c r="A866" s="10"/>
      <c r="B866" s="10"/>
      <c r="D866" s="1" t="s">
        <v>713</v>
      </c>
      <c r="E866" s="1">
        <v>1000</v>
      </c>
      <c r="F866" s="7">
        <v>0.03</v>
      </c>
      <c r="G866" s="7">
        <f t="shared" si="25"/>
        <v>30</v>
      </c>
    </row>
    <row r="867" spans="1:10">
      <c r="A867" s="10"/>
      <c r="B867" s="10"/>
      <c r="D867" s="1" t="s">
        <v>714</v>
      </c>
      <c r="E867" s="1">
        <v>1000</v>
      </c>
      <c r="F867" s="7">
        <v>7.0000000000000007E-2</v>
      </c>
      <c r="G867" s="7">
        <f t="shared" si="25"/>
        <v>70</v>
      </c>
    </row>
    <row r="868" spans="1:10" s="4" customFormat="1">
      <c r="A868" s="12"/>
      <c r="B868" s="12"/>
      <c r="G868" s="4">
        <f>SUM(G862:G867)</f>
        <v>220</v>
      </c>
      <c r="J868" s="13" t="s">
        <v>715</v>
      </c>
    </row>
    <row r="869" spans="1:10">
      <c r="A869" s="10">
        <v>42842</v>
      </c>
      <c r="B869" s="10">
        <v>42850</v>
      </c>
      <c r="C869" s="1" t="s">
        <v>386</v>
      </c>
      <c r="D869" s="1" t="s">
        <v>720</v>
      </c>
      <c r="E869" s="1">
        <v>5000</v>
      </c>
      <c r="F869" s="7">
        <v>0.25</v>
      </c>
      <c r="G869" s="7">
        <f>E869*F869</f>
        <v>1250</v>
      </c>
      <c r="H869" s="7">
        <v>75</v>
      </c>
      <c r="I869" s="7" t="s">
        <v>699</v>
      </c>
    </row>
    <row r="870" spans="1:10" s="4" customFormat="1">
      <c r="A870" s="12"/>
      <c r="B870" s="12"/>
      <c r="J870" s="13" t="s">
        <v>735</v>
      </c>
    </row>
    <row r="871" spans="1:10">
      <c r="A871" s="10">
        <v>42844</v>
      </c>
      <c r="B871" s="10">
        <v>42848</v>
      </c>
      <c r="C871" s="1" t="s">
        <v>724</v>
      </c>
      <c r="D871" s="1" t="s">
        <v>695</v>
      </c>
      <c r="E871" s="1">
        <v>50</v>
      </c>
      <c r="F871" s="7">
        <v>5</v>
      </c>
      <c r="G871" s="7">
        <f>E871*F871</f>
        <v>250</v>
      </c>
      <c r="H871" s="7">
        <v>10</v>
      </c>
      <c r="I871" s="7" t="s">
        <v>746</v>
      </c>
    </row>
    <row r="872" spans="1:10" s="4" customFormat="1">
      <c r="A872" s="12"/>
      <c r="B872" s="12"/>
      <c r="J872" s="13" t="s">
        <v>731</v>
      </c>
    </row>
    <row r="873" spans="1:10">
      <c r="A873" s="10">
        <v>42844</v>
      </c>
      <c r="B873" s="10">
        <v>42846</v>
      </c>
      <c r="C873" s="1" t="s">
        <v>726</v>
      </c>
      <c r="D873" s="1" t="s">
        <v>725</v>
      </c>
      <c r="E873" s="1">
        <v>1000</v>
      </c>
      <c r="F873" s="7">
        <v>0.09</v>
      </c>
      <c r="G873" s="7">
        <f>E873*F873</f>
        <v>90</v>
      </c>
      <c r="H873" s="7">
        <v>17</v>
      </c>
      <c r="I873" s="7" t="s">
        <v>442</v>
      </c>
    </row>
    <row r="874" spans="1:10" s="4" customFormat="1">
      <c r="A874" s="12"/>
      <c r="B874" s="12"/>
      <c r="J874" s="13" t="s">
        <v>729</v>
      </c>
    </row>
    <row r="875" spans="1:10">
      <c r="A875" s="10">
        <v>42844</v>
      </c>
      <c r="B875" s="10">
        <v>42846</v>
      </c>
      <c r="C875" s="1" t="s">
        <v>727</v>
      </c>
      <c r="D875" s="1" t="s">
        <v>719</v>
      </c>
      <c r="E875" s="1">
        <v>2000</v>
      </c>
      <c r="F875" s="7">
        <v>0.13</v>
      </c>
      <c r="G875" s="7">
        <f>E875*F875</f>
        <v>260</v>
      </c>
      <c r="H875" s="7">
        <v>24</v>
      </c>
      <c r="I875" s="7" t="s">
        <v>739</v>
      </c>
    </row>
    <row r="876" spans="1:10" s="4" customFormat="1">
      <c r="A876" s="12"/>
      <c r="B876" s="12"/>
      <c r="J876" s="13" t="s">
        <v>730</v>
      </c>
    </row>
    <row r="877" spans="1:10">
      <c r="A877" s="10">
        <v>42844</v>
      </c>
      <c r="B877" s="10">
        <v>42850</v>
      </c>
      <c r="C877" s="1" t="s">
        <v>723</v>
      </c>
      <c r="D877" s="1" t="s">
        <v>734</v>
      </c>
      <c r="E877" s="1">
        <v>1000</v>
      </c>
      <c r="F877" s="7">
        <v>0.28000000000000003</v>
      </c>
      <c r="G877" s="7">
        <f>E877*F877</f>
        <v>280</v>
      </c>
      <c r="H877" s="7">
        <v>40</v>
      </c>
      <c r="I877" s="7" t="s">
        <v>757</v>
      </c>
      <c r="J877" s="7" t="s">
        <v>756</v>
      </c>
    </row>
    <row r="878" spans="1:10">
      <c r="A878" s="10"/>
      <c r="B878" s="10"/>
      <c r="C878" s="1"/>
      <c r="D878" s="1" t="s">
        <v>733</v>
      </c>
      <c r="E878" s="1">
        <v>1000</v>
      </c>
      <c r="F878" s="7">
        <v>0.23</v>
      </c>
      <c r="G878" s="7">
        <f>E878*F878</f>
        <v>230</v>
      </c>
    </row>
    <row r="879" spans="1:10" s="4" customFormat="1">
      <c r="A879" s="12"/>
      <c r="B879" s="12"/>
      <c r="G879" s="4">
        <f>SUM(G877:G878)</f>
        <v>510</v>
      </c>
      <c r="J879" s="13" t="s">
        <v>732</v>
      </c>
    </row>
    <row r="880" spans="1:10">
      <c r="A880" s="10">
        <v>42844</v>
      </c>
      <c r="B880" s="10">
        <v>42846</v>
      </c>
      <c r="C880" s="1" t="s">
        <v>736</v>
      </c>
      <c r="D880" s="1" t="s">
        <v>721</v>
      </c>
      <c r="E880" s="1">
        <v>1000</v>
      </c>
      <c r="F880" s="7">
        <v>0.23300000000000001</v>
      </c>
      <c r="G880" s="7">
        <f>E880*F880</f>
        <v>233</v>
      </c>
      <c r="H880" s="7">
        <v>15</v>
      </c>
      <c r="I880" s="7" t="s">
        <v>740</v>
      </c>
    </row>
    <row r="881" spans="1:10">
      <c r="A881" s="10"/>
      <c r="B881" s="10"/>
      <c r="C881" s="1"/>
      <c r="D881" s="1" t="s">
        <v>722</v>
      </c>
      <c r="E881" s="1">
        <v>1000</v>
      </c>
      <c r="F881" s="7">
        <v>0.186</v>
      </c>
      <c r="G881" s="7">
        <f>E881*F881</f>
        <v>186</v>
      </c>
    </row>
    <row r="882" spans="1:10" s="4" customFormat="1">
      <c r="A882" s="12"/>
      <c r="B882" s="12"/>
      <c r="J882" s="13" t="s">
        <v>737</v>
      </c>
    </row>
    <row r="883" spans="1:10">
      <c r="A883" s="10">
        <v>42846</v>
      </c>
      <c r="B883" s="10">
        <v>42850</v>
      </c>
      <c r="C883" s="1" t="s">
        <v>636</v>
      </c>
      <c r="D883" s="1" t="s">
        <v>641</v>
      </c>
      <c r="E883" s="1">
        <v>2000</v>
      </c>
      <c r="F883" s="7">
        <v>0.8</v>
      </c>
      <c r="G883" s="7">
        <f t="shared" ref="G883:G889" si="26">E883*F883</f>
        <v>1600</v>
      </c>
      <c r="H883" s="7">
        <v>96</v>
      </c>
      <c r="I883" s="7" t="s">
        <v>699</v>
      </c>
    </row>
    <row r="884" spans="1:10">
      <c r="A884" s="10"/>
      <c r="B884" s="10"/>
      <c r="C884" s="1"/>
      <c r="D884" s="1" t="s">
        <v>904</v>
      </c>
      <c r="E884" s="1">
        <v>1200</v>
      </c>
      <c r="F884" s="7">
        <v>0.25</v>
      </c>
      <c r="G884" s="7">
        <f t="shared" si="26"/>
        <v>300</v>
      </c>
    </row>
    <row r="885" spans="1:10">
      <c r="A885" s="10"/>
      <c r="B885" s="10"/>
      <c r="C885" s="1"/>
      <c r="D885" s="1" t="s">
        <v>667</v>
      </c>
      <c r="E885" s="1">
        <v>2100</v>
      </c>
      <c r="F885" s="7">
        <v>0.25</v>
      </c>
      <c r="G885" s="7">
        <f t="shared" si="26"/>
        <v>525</v>
      </c>
    </row>
    <row r="886" spans="1:10">
      <c r="A886" s="10"/>
      <c r="B886" s="10">
        <v>42850</v>
      </c>
      <c r="C886" s="1"/>
      <c r="D886" s="1" t="s">
        <v>717</v>
      </c>
      <c r="E886" s="1">
        <v>2000</v>
      </c>
      <c r="F886" s="7">
        <v>0.2</v>
      </c>
      <c r="G886" s="7">
        <f t="shared" si="26"/>
        <v>400</v>
      </c>
      <c r="I886" s="7" t="s">
        <v>743</v>
      </c>
    </row>
    <row r="887" spans="1:10">
      <c r="A887" s="10"/>
      <c r="B887" s="10"/>
      <c r="C887" s="1"/>
      <c r="D887" s="1" t="s">
        <v>645</v>
      </c>
      <c r="E887" s="1">
        <v>6000</v>
      </c>
      <c r="F887" s="7">
        <v>0.35</v>
      </c>
      <c r="G887" s="7">
        <f t="shared" si="26"/>
        <v>2100</v>
      </c>
    </row>
    <row r="888" spans="1:10">
      <c r="A888" s="10"/>
      <c r="B888" s="10"/>
      <c r="C888" s="1"/>
      <c r="D888" s="1" t="s">
        <v>640</v>
      </c>
      <c r="E888" s="1">
        <v>1000</v>
      </c>
      <c r="F888" s="7">
        <v>0.6</v>
      </c>
      <c r="G888" s="7">
        <f t="shared" si="26"/>
        <v>600</v>
      </c>
    </row>
    <row r="889" spans="1:10">
      <c r="A889" s="10"/>
      <c r="B889" s="10"/>
      <c r="C889" s="1"/>
      <c r="D889" s="1" t="s">
        <v>668</v>
      </c>
      <c r="E889" s="1">
        <v>3000</v>
      </c>
      <c r="F889" s="7">
        <v>0.35</v>
      </c>
      <c r="G889" s="7">
        <f t="shared" si="26"/>
        <v>1050</v>
      </c>
    </row>
    <row r="890" spans="1:10" s="4" customFormat="1">
      <c r="A890" s="12"/>
      <c r="B890" s="12"/>
      <c r="G890" s="4">
        <f>SUM(G883:G889)</f>
        <v>6575</v>
      </c>
      <c r="J890" s="13" t="s">
        <v>742</v>
      </c>
    </row>
    <row r="891" spans="1:10">
      <c r="A891" s="10">
        <v>42846</v>
      </c>
      <c r="B891" s="10">
        <v>42850</v>
      </c>
      <c r="C891" s="1" t="s">
        <v>682</v>
      </c>
      <c r="D891" s="1" t="s">
        <v>744</v>
      </c>
      <c r="E891" s="1">
        <v>1000</v>
      </c>
      <c r="F891" s="7">
        <v>0.06</v>
      </c>
      <c r="G891" s="7">
        <f>E891*F891</f>
        <v>60</v>
      </c>
      <c r="H891" s="7">
        <v>0</v>
      </c>
      <c r="I891" s="7" t="s">
        <v>702</v>
      </c>
    </row>
    <row r="892" spans="1:10" s="4" customFormat="1">
      <c r="A892" s="12"/>
      <c r="B892" s="12"/>
      <c r="G892" s="4">
        <f>SUM(G891:G891)</f>
        <v>60</v>
      </c>
      <c r="J892" s="13" t="s">
        <v>745</v>
      </c>
    </row>
    <row r="893" spans="1:10">
      <c r="A893" s="10">
        <v>42848</v>
      </c>
      <c r="B893" s="10">
        <v>42860</v>
      </c>
      <c r="C893" s="1" t="s">
        <v>55</v>
      </c>
      <c r="D893" s="1" t="s">
        <v>915</v>
      </c>
      <c r="E893" s="1">
        <v>3000</v>
      </c>
      <c r="F893" s="7">
        <v>2.8</v>
      </c>
      <c r="G893" s="7">
        <f>E893*F893</f>
        <v>8400</v>
      </c>
      <c r="I893" s="7" t="s">
        <v>748</v>
      </c>
    </row>
    <row r="894" spans="1:10">
      <c r="A894" s="10"/>
      <c r="B894" s="10"/>
      <c r="C894" s="1" t="s">
        <v>747</v>
      </c>
      <c r="D894" s="1" t="s">
        <v>275</v>
      </c>
      <c r="E894" s="1">
        <v>2000</v>
      </c>
      <c r="F894" s="7">
        <v>4.8</v>
      </c>
      <c r="G894" s="7">
        <f>E894*F894</f>
        <v>9600</v>
      </c>
    </row>
    <row r="895" spans="1:10">
      <c r="A895" s="10"/>
      <c r="B895" s="10"/>
      <c r="C895" s="1" t="s">
        <v>747</v>
      </c>
      <c r="D895" s="1" t="s">
        <v>758</v>
      </c>
      <c r="E895" s="1">
        <v>2000</v>
      </c>
      <c r="F895" s="7">
        <v>0.2</v>
      </c>
      <c r="G895" s="7">
        <f>E895*F895</f>
        <v>400</v>
      </c>
    </row>
    <row r="896" spans="1:10">
      <c r="A896" s="10"/>
      <c r="B896" s="10"/>
      <c r="C896" s="1"/>
      <c r="D896" s="1" t="s">
        <v>916</v>
      </c>
      <c r="E896" s="1">
        <v>500</v>
      </c>
      <c r="F896" s="7">
        <v>2.4</v>
      </c>
      <c r="G896" s="7">
        <f>E896*F896</f>
        <v>1200</v>
      </c>
    </row>
    <row r="897" spans="1:10" s="4" customFormat="1">
      <c r="A897" s="12"/>
      <c r="B897" s="12"/>
      <c r="G897" s="4">
        <f>SUM(G893:G896)</f>
        <v>19600</v>
      </c>
      <c r="J897" s="13" t="s">
        <v>759</v>
      </c>
    </row>
    <row r="898" spans="1:10">
      <c r="A898" s="10">
        <v>42848</v>
      </c>
      <c r="B898" s="10">
        <v>42851</v>
      </c>
      <c r="C898" s="1" t="s">
        <v>724</v>
      </c>
      <c r="D898" s="1" t="s">
        <v>695</v>
      </c>
      <c r="E898" s="1">
        <v>5</v>
      </c>
      <c r="F898" s="7">
        <v>5.3</v>
      </c>
      <c r="G898" s="7">
        <f>E898*F898</f>
        <v>26.5</v>
      </c>
      <c r="H898" s="7">
        <v>5</v>
      </c>
      <c r="I898" s="7" t="s">
        <v>746</v>
      </c>
    </row>
    <row r="899" spans="1:10" s="4" customFormat="1">
      <c r="A899" s="12"/>
      <c r="B899" s="12"/>
      <c r="J899" s="13" t="s">
        <v>749</v>
      </c>
    </row>
    <row r="900" spans="1:10">
      <c r="A900" s="10">
        <v>42849</v>
      </c>
      <c r="B900" s="10">
        <v>42852</v>
      </c>
      <c r="C900" s="1" t="s">
        <v>728</v>
      </c>
      <c r="D900" s="1" t="s">
        <v>716</v>
      </c>
      <c r="E900" s="1">
        <v>1000</v>
      </c>
      <c r="F900" s="7">
        <v>23</v>
      </c>
      <c r="G900" s="7">
        <f>E900*F900</f>
        <v>23000</v>
      </c>
      <c r="H900" s="7">
        <v>0</v>
      </c>
      <c r="I900" s="7" t="s">
        <v>738</v>
      </c>
      <c r="J900" s="7" t="s">
        <v>750</v>
      </c>
    </row>
    <row r="901" spans="1:10" s="4" customFormat="1">
      <c r="A901" s="12"/>
      <c r="B901" s="12"/>
      <c r="J901" s="13" t="s">
        <v>751</v>
      </c>
    </row>
    <row r="902" spans="1:10">
      <c r="A902" s="10">
        <v>42849</v>
      </c>
      <c r="B902" s="10">
        <v>42864</v>
      </c>
      <c r="C902" s="10" t="s">
        <v>666</v>
      </c>
      <c r="D902" s="1" t="s">
        <v>925</v>
      </c>
      <c r="E902" s="1">
        <v>3000</v>
      </c>
      <c r="F902" s="7">
        <v>1.5</v>
      </c>
      <c r="G902" s="7">
        <f>E902*F902</f>
        <v>4500</v>
      </c>
      <c r="H902" s="7">
        <f>165+80</f>
        <v>245</v>
      </c>
      <c r="I902" s="7" t="s">
        <v>738</v>
      </c>
    </row>
    <row r="903" spans="1:10" s="4" customFormat="1">
      <c r="A903" s="12"/>
      <c r="B903" s="12"/>
      <c r="J903" s="13" t="s">
        <v>753</v>
      </c>
    </row>
    <row r="904" spans="1:10">
      <c r="A904" s="10">
        <v>42849</v>
      </c>
      <c r="B904" s="10">
        <v>42861</v>
      </c>
      <c r="C904" s="1" t="s">
        <v>752</v>
      </c>
      <c r="D904" s="1" t="s">
        <v>926</v>
      </c>
      <c r="E904" s="1">
        <v>3000</v>
      </c>
      <c r="F904" s="7">
        <v>2.7</v>
      </c>
      <c r="G904" s="7">
        <f>E904*F904</f>
        <v>8100.0000000000009</v>
      </c>
      <c r="H904" s="7">
        <v>950</v>
      </c>
      <c r="I904" s="7" t="s">
        <v>738</v>
      </c>
    </row>
    <row r="905" spans="1:10" s="4" customFormat="1">
      <c r="A905" s="12"/>
      <c r="B905" s="12"/>
      <c r="J905" s="13" t="s">
        <v>754</v>
      </c>
    </row>
    <row r="906" spans="1:10">
      <c r="A906" s="10">
        <v>42862</v>
      </c>
      <c r="B906" s="10">
        <v>42862</v>
      </c>
      <c r="C906" s="1" t="s">
        <v>765</v>
      </c>
      <c r="D906" s="1" t="s">
        <v>761</v>
      </c>
      <c r="E906" s="1">
        <v>10</v>
      </c>
      <c r="F906" s="7">
        <v>7.5</v>
      </c>
      <c r="G906" s="7">
        <f>E906*F906</f>
        <v>75</v>
      </c>
      <c r="H906" s="7">
        <v>0</v>
      </c>
      <c r="I906" s="7" t="s">
        <v>760</v>
      </c>
    </row>
    <row r="907" spans="1:10">
      <c r="A907" s="10"/>
      <c r="B907" s="10"/>
      <c r="C907" s="1"/>
      <c r="D907" s="1" t="s">
        <v>762</v>
      </c>
      <c r="E907" s="1">
        <v>12</v>
      </c>
      <c r="F907" s="7">
        <v>10</v>
      </c>
      <c r="G907" s="7">
        <f>E907*F907</f>
        <v>120</v>
      </c>
    </row>
    <row r="908" spans="1:10">
      <c r="A908" s="10"/>
      <c r="B908" s="10"/>
      <c r="C908" s="1"/>
      <c r="D908" s="1" t="s">
        <v>763</v>
      </c>
      <c r="E908" s="1">
        <v>12</v>
      </c>
      <c r="F908" s="7">
        <v>15</v>
      </c>
      <c r="G908" s="7">
        <f>E908*F908</f>
        <v>180</v>
      </c>
    </row>
    <row r="909" spans="1:10" s="4" customFormat="1">
      <c r="A909" s="12"/>
      <c r="B909" s="12"/>
      <c r="G909" s="4">
        <f>SUM(G906:G908)</f>
        <v>375</v>
      </c>
      <c r="J909" s="13" t="s">
        <v>764</v>
      </c>
    </row>
    <row r="910" spans="1:10">
      <c r="A910" s="10">
        <v>42863</v>
      </c>
      <c r="B910" s="10">
        <v>42864</v>
      </c>
      <c r="C910" s="7" t="s">
        <v>766</v>
      </c>
      <c r="D910" s="7" t="s">
        <v>768</v>
      </c>
      <c r="E910" s="7">
        <v>1000</v>
      </c>
      <c r="F910" s="7">
        <v>2.4500000000000001E-2</v>
      </c>
      <c r="G910" s="7">
        <f>E910*F910</f>
        <v>24.5</v>
      </c>
      <c r="H910" s="7">
        <v>5</v>
      </c>
      <c r="I910" s="7" t="s">
        <v>699</v>
      </c>
    </row>
    <row r="911" spans="1:10" s="4" customFormat="1">
      <c r="A911" s="12"/>
      <c r="B911" s="12"/>
      <c r="G911" s="57" t="s">
        <v>772</v>
      </c>
      <c r="H911" s="53">
        <f>SUM(H804:H910)</f>
        <v>3296</v>
      </c>
      <c r="J911" s="13" t="s">
        <v>769</v>
      </c>
    </row>
    <row r="912" spans="1:10">
      <c r="A912" s="10">
        <v>42865</v>
      </c>
      <c r="B912" s="10">
        <v>42866</v>
      </c>
      <c r="C912" s="1" t="s">
        <v>704</v>
      </c>
      <c r="D912" s="1" t="s">
        <v>32</v>
      </c>
      <c r="E912" s="1">
        <v>1000</v>
      </c>
      <c r="F912" s="7">
        <v>0.2</v>
      </c>
      <c r="G912" s="7">
        <f>E912*F912</f>
        <v>200</v>
      </c>
      <c r="H912" s="7">
        <v>12</v>
      </c>
      <c r="I912" s="7" t="s">
        <v>699</v>
      </c>
    </row>
    <row r="913" spans="1:12" s="4" customFormat="1">
      <c r="A913" s="12"/>
      <c r="B913" s="12"/>
      <c r="G913" s="4">
        <f>SUM(G912:G912)</f>
        <v>200</v>
      </c>
      <c r="J913" s="13" t="s">
        <v>773</v>
      </c>
    </row>
    <row r="914" spans="1:12">
      <c r="A914" s="10">
        <v>42867</v>
      </c>
      <c r="B914" s="10">
        <v>42873</v>
      </c>
      <c r="C914" s="1" t="s">
        <v>774</v>
      </c>
      <c r="D914" s="1" t="s">
        <v>775</v>
      </c>
      <c r="E914" s="1">
        <v>1000</v>
      </c>
      <c r="F914" s="7">
        <v>0.88</v>
      </c>
      <c r="G914" s="7">
        <f>E914*F914</f>
        <v>880</v>
      </c>
      <c r="H914" s="7">
        <v>0</v>
      </c>
    </row>
    <row r="915" spans="1:12" s="4" customFormat="1">
      <c r="A915" s="12"/>
      <c r="B915" s="12"/>
      <c r="G915" s="4">
        <f>SUM(G914:G914)</f>
        <v>880</v>
      </c>
      <c r="J915" s="13" t="s">
        <v>776</v>
      </c>
    </row>
    <row r="916" spans="1:12">
      <c r="A916" s="10">
        <v>42871</v>
      </c>
      <c r="B916" s="10">
        <v>42872</v>
      </c>
      <c r="C916" s="1" t="s">
        <v>603</v>
      </c>
      <c r="D916" s="7" t="s">
        <v>755</v>
      </c>
      <c r="E916" s="7">
        <v>3000</v>
      </c>
      <c r="F916" s="7">
        <v>1.05</v>
      </c>
      <c r="G916" s="7">
        <f>E916*F916</f>
        <v>3150</v>
      </c>
      <c r="H916" s="7">
        <v>0</v>
      </c>
      <c r="I916" s="7" t="s">
        <v>778</v>
      </c>
    </row>
    <row r="917" spans="1:12" s="4" customFormat="1">
      <c r="A917" s="12"/>
      <c r="B917" s="12"/>
      <c r="G917" s="4">
        <f>SUM(G916:G916)</f>
        <v>3150</v>
      </c>
      <c r="J917" s="13" t="s">
        <v>777</v>
      </c>
    </row>
    <row r="918" spans="1:12">
      <c r="A918" s="10">
        <v>42873</v>
      </c>
      <c r="B918" s="10">
        <v>42876</v>
      </c>
      <c r="C918" s="7" t="s">
        <v>771</v>
      </c>
      <c r="D918" s="1" t="s">
        <v>943</v>
      </c>
      <c r="E918" s="1">
        <v>200</v>
      </c>
      <c r="F918" s="1">
        <v>6.5</v>
      </c>
      <c r="G918" s="7">
        <f>E918*F918</f>
        <v>1300</v>
      </c>
      <c r="H918" s="7">
        <v>0</v>
      </c>
      <c r="I918" s="7" t="s">
        <v>699</v>
      </c>
      <c r="J918" s="1"/>
      <c r="K918" s="1"/>
      <c r="L918" s="1"/>
    </row>
    <row r="919" spans="1:12" s="4" customFormat="1">
      <c r="A919" s="12"/>
      <c r="B919" s="12"/>
      <c r="J919" s="13" t="s">
        <v>779</v>
      </c>
    </row>
    <row r="920" spans="1:12">
      <c r="A920" s="10">
        <v>42878</v>
      </c>
      <c r="B920" s="10">
        <v>42878</v>
      </c>
      <c r="C920" s="1" t="s">
        <v>55</v>
      </c>
      <c r="D920" s="1" t="s">
        <v>915</v>
      </c>
      <c r="E920" s="1">
        <v>600</v>
      </c>
      <c r="F920" s="7">
        <v>2.8</v>
      </c>
      <c r="G920" s="7">
        <f>E920*F920</f>
        <v>1680</v>
      </c>
      <c r="I920" s="7" t="s">
        <v>748</v>
      </c>
    </row>
    <row r="921" spans="1:12" s="4" customFormat="1">
      <c r="A921" s="12"/>
      <c r="B921" s="12"/>
      <c r="J921" s="13" t="s">
        <v>780</v>
      </c>
    </row>
    <row r="922" spans="1:12">
      <c r="A922" s="10">
        <v>42887</v>
      </c>
      <c r="B922" s="10">
        <v>42888</v>
      </c>
      <c r="C922" s="1" t="s">
        <v>386</v>
      </c>
      <c r="D922" s="7" t="s">
        <v>70</v>
      </c>
      <c r="E922" s="7">
        <v>900</v>
      </c>
      <c r="F922" s="7">
        <v>0.4</v>
      </c>
      <c r="G922" s="7">
        <f>E922*F922</f>
        <v>360</v>
      </c>
      <c r="H922" s="7">
        <v>18</v>
      </c>
      <c r="I922" s="7" t="s">
        <v>699</v>
      </c>
    </row>
    <row r="923" spans="1:12" s="4" customFormat="1">
      <c r="A923" s="12"/>
      <c r="B923" s="12"/>
      <c r="J923" s="13" t="s">
        <v>780</v>
      </c>
    </row>
    <row r="924" spans="1:12">
      <c r="A924" s="10">
        <v>42887</v>
      </c>
      <c r="B924" s="10">
        <v>42888</v>
      </c>
      <c r="C924" s="1" t="s">
        <v>386</v>
      </c>
      <c r="D924" s="7" t="s">
        <v>70</v>
      </c>
      <c r="E924" s="7">
        <v>600</v>
      </c>
      <c r="F924" s="7">
        <v>0.4</v>
      </c>
      <c r="G924" s="7">
        <f>E924*F924</f>
        <v>240</v>
      </c>
      <c r="H924" s="7">
        <v>10</v>
      </c>
      <c r="I924" s="7" t="s">
        <v>699</v>
      </c>
    </row>
    <row r="925" spans="1:12" s="4" customFormat="1">
      <c r="A925" s="12"/>
      <c r="B925" s="12"/>
      <c r="J925" s="13" t="s">
        <v>784</v>
      </c>
    </row>
    <row r="926" spans="1:12">
      <c r="A926" s="28">
        <v>42888</v>
      </c>
      <c r="B926" s="28">
        <v>42889</v>
      </c>
      <c r="C926" s="1" t="s">
        <v>386</v>
      </c>
      <c r="D926" s="1" t="s">
        <v>781</v>
      </c>
      <c r="E926" s="7">
        <v>-1500</v>
      </c>
      <c r="F926" s="7">
        <v>0.4</v>
      </c>
      <c r="G926" s="58">
        <f>E926*F926</f>
        <v>-600</v>
      </c>
    </row>
    <row r="927" spans="1:12" s="4" customFormat="1">
      <c r="A927" s="12"/>
      <c r="B927" s="12"/>
      <c r="J927" s="13" t="s">
        <v>794</v>
      </c>
    </row>
    <row r="928" spans="1:12">
      <c r="A928" s="10">
        <v>42889</v>
      </c>
      <c r="B928" s="10">
        <v>42892</v>
      </c>
      <c r="C928" s="1" t="s">
        <v>703</v>
      </c>
      <c r="D928" s="1" t="s">
        <v>782</v>
      </c>
      <c r="E928" s="1">
        <v>2000</v>
      </c>
      <c r="F928" s="7">
        <v>0.4</v>
      </c>
      <c r="G928" s="7">
        <f>E928*F928</f>
        <v>800</v>
      </c>
      <c r="I928" s="7" t="s">
        <v>739</v>
      </c>
    </row>
    <row r="929" spans="1:10" s="4" customFormat="1">
      <c r="A929" s="12"/>
      <c r="B929" s="12"/>
      <c r="J929" s="13" t="s">
        <v>783</v>
      </c>
    </row>
    <row r="930" spans="1:10">
      <c r="A930" s="10">
        <v>42901</v>
      </c>
      <c r="B930" s="10">
        <v>42904</v>
      </c>
      <c r="C930" s="1" t="s">
        <v>900</v>
      </c>
      <c r="D930" s="1" t="s">
        <v>899</v>
      </c>
      <c r="E930" s="1">
        <v>100</v>
      </c>
      <c r="F930" s="7">
        <v>2</v>
      </c>
      <c r="G930" s="7">
        <f>E930*F930</f>
        <v>200</v>
      </c>
      <c r="H930" s="7">
        <v>10</v>
      </c>
      <c r="I930" s="7" t="s">
        <v>699</v>
      </c>
    </row>
    <row r="931" spans="1:10" s="4" customFormat="1">
      <c r="A931" s="12"/>
      <c r="B931" s="12"/>
      <c r="J931" s="13" t="s">
        <v>785</v>
      </c>
    </row>
    <row r="932" spans="1:10">
      <c r="A932" s="10">
        <v>42907</v>
      </c>
      <c r="B932" s="10">
        <v>42907</v>
      </c>
      <c r="C932" s="1" t="s">
        <v>795</v>
      </c>
      <c r="D932" s="1" t="s">
        <v>788</v>
      </c>
      <c r="E932" s="1">
        <v>45600</v>
      </c>
      <c r="F932" s="7">
        <v>-0.06</v>
      </c>
      <c r="G932" s="7">
        <f>E932*F932</f>
        <v>-2736</v>
      </c>
    </row>
    <row r="933" spans="1:10">
      <c r="A933" s="10"/>
      <c r="B933" s="10"/>
      <c r="D933" s="1" t="s">
        <v>643</v>
      </c>
      <c r="E933" s="1">
        <v>200</v>
      </c>
      <c r="F933" s="7">
        <v>-13.7</v>
      </c>
      <c r="G933" s="7">
        <f>E933*F933</f>
        <v>-2740</v>
      </c>
    </row>
    <row r="934" spans="1:10" s="4" customFormat="1">
      <c r="A934" s="12"/>
      <c r="B934" s="12"/>
      <c r="G934" s="4">
        <f>SUM(G932:G933)</f>
        <v>-5476</v>
      </c>
      <c r="J934" s="13" t="s">
        <v>789</v>
      </c>
    </row>
    <row r="935" spans="1:10">
      <c r="A935" s="10">
        <v>42980</v>
      </c>
      <c r="B935" s="10">
        <v>42984</v>
      </c>
      <c r="C935" s="1" t="s">
        <v>386</v>
      </c>
      <c r="D935" s="1" t="s">
        <v>720</v>
      </c>
      <c r="E935" s="1">
        <v>4000</v>
      </c>
      <c r="F935" s="7">
        <v>0.25</v>
      </c>
      <c r="G935" s="7">
        <f>E935*F935</f>
        <v>1000</v>
      </c>
      <c r="H935" s="7">
        <v>75</v>
      </c>
      <c r="I935" s="7" t="s">
        <v>790</v>
      </c>
    </row>
    <row r="936" spans="1:10">
      <c r="A936" s="51" t="s">
        <v>793</v>
      </c>
      <c r="B936" s="10"/>
      <c r="D936" s="1" t="s">
        <v>720</v>
      </c>
      <c r="E936" s="1">
        <v>6000</v>
      </c>
      <c r="F936" s="7">
        <v>0.25</v>
      </c>
      <c r="G936" s="7">
        <f>E936*F936</f>
        <v>1500</v>
      </c>
      <c r="H936" s="7">
        <v>75</v>
      </c>
      <c r="I936" s="7" t="s">
        <v>699</v>
      </c>
      <c r="J936" s="51" t="s">
        <v>793</v>
      </c>
    </row>
    <row r="937" spans="1:10" s="4" customFormat="1">
      <c r="A937" s="12"/>
      <c r="B937" s="12"/>
      <c r="G937" s="4">
        <f>SUM(G935:G936)</f>
        <v>2500</v>
      </c>
      <c r="J937" s="13" t="s">
        <v>791</v>
      </c>
    </row>
    <row r="938" spans="1:10">
      <c r="A938" s="10">
        <v>42986</v>
      </c>
      <c r="B938" s="10">
        <v>42991</v>
      </c>
      <c r="C938" s="1" t="s">
        <v>47</v>
      </c>
      <c r="D938" s="1" t="s">
        <v>24</v>
      </c>
      <c r="E938" s="7">
        <v>14000</v>
      </c>
      <c r="F938" s="7">
        <v>0.3</v>
      </c>
      <c r="G938" s="7">
        <f>E938*F938</f>
        <v>4200</v>
      </c>
      <c r="H938" s="7">
        <v>0</v>
      </c>
      <c r="I938" s="7" t="s">
        <v>840</v>
      </c>
    </row>
    <row r="939" spans="1:10">
      <c r="A939" s="10"/>
      <c r="B939" s="10"/>
      <c r="C939" s="1"/>
      <c r="D939" s="1" t="s">
        <v>364</v>
      </c>
      <c r="E939" s="1">
        <v>2000</v>
      </c>
      <c r="F939" s="7">
        <v>0.2</v>
      </c>
      <c r="G939" s="7">
        <f>E939*F939</f>
        <v>400</v>
      </c>
    </row>
    <row r="940" spans="1:10">
      <c r="D940" s="1" t="s">
        <v>49</v>
      </c>
      <c r="E940" s="7">
        <v>2000</v>
      </c>
      <c r="F940" s="7">
        <v>1.35</v>
      </c>
      <c r="G940" s="7">
        <f>E940*F940</f>
        <v>2700</v>
      </c>
    </row>
    <row r="941" spans="1:10">
      <c r="A941" s="10"/>
      <c r="B941" s="10"/>
      <c r="D941" s="1" t="s">
        <v>51</v>
      </c>
      <c r="E941" s="7">
        <v>2000</v>
      </c>
      <c r="F941" s="7">
        <v>0.15</v>
      </c>
      <c r="G941" s="7">
        <f>E941*F941</f>
        <v>300</v>
      </c>
    </row>
    <row r="942" spans="1:10">
      <c r="A942" s="10"/>
      <c r="B942" s="10"/>
      <c r="D942" s="1" t="s">
        <v>938</v>
      </c>
      <c r="E942" s="7">
        <v>-37000</v>
      </c>
      <c r="F942" s="7">
        <v>5.0000000000000001E-3</v>
      </c>
      <c r="G942" s="7">
        <f>E942*F942</f>
        <v>-185</v>
      </c>
    </row>
    <row r="943" spans="1:10" s="4" customFormat="1">
      <c r="A943" s="12"/>
      <c r="B943" s="12"/>
      <c r="G943" s="4">
        <f>SUM(G938:G942)</f>
        <v>7415</v>
      </c>
      <c r="J943" s="13" t="s">
        <v>806</v>
      </c>
    </row>
    <row r="944" spans="1:10">
      <c r="A944" s="10">
        <v>42986</v>
      </c>
      <c r="B944" s="10">
        <v>42995</v>
      </c>
      <c r="C944" s="7" t="s">
        <v>514</v>
      </c>
      <c r="D944" s="30" t="s">
        <v>345</v>
      </c>
      <c r="E944" s="7">
        <v>4000</v>
      </c>
      <c r="F944" s="7">
        <v>2.1000000000000001E-2</v>
      </c>
      <c r="G944" s="7">
        <f>E944*F944</f>
        <v>84</v>
      </c>
      <c r="H944" s="7">
        <v>8</v>
      </c>
      <c r="I944" s="7" t="s">
        <v>828</v>
      </c>
      <c r="J944" s="31"/>
    </row>
    <row r="945" spans="1:10">
      <c r="A945" s="10"/>
      <c r="B945" s="10"/>
      <c r="D945" s="30" t="s">
        <v>347</v>
      </c>
      <c r="E945" s="7">
        <v>3000</v>
      </c>
      <c r="F945" s="7">
        <v>2.1999999999999999E-2</v>
      </c>
      <c r="G945" s="7">
        <f>E945*F945</f>
        <v>66</v>
      </c>
      <c r="J945" s="31"/>
    </row>
    <row r="946" spans="1:10" s="4" customFormat="1">
      <c r="A946" s="12"/>
      <c r="B946" s="12"/>
      <c r="G946" s="4">
        <f>SUM(G944:G945)</f>
        <v>150</v>
      </c>
      <c r="J946" s="13" t="s">
        <v>805</v>
      </c>
    </row>
    <row r="947" spans="1:10">
      <c r="A947" s="10">
        <v>42986</v>
      </c>
      <c r="B947" s="10">
        <v>42995</v>
      </c>
      <c r="C947" s="1" t="s">
        <v>81</v>
      </c>
      <c r="D947" s="1" t="s">
        <v>918</v>
      </c>
      <c r="E947" s="7">
        <v>5000</v>
      </c>
      <c r="F947" s="7">
        <v>1.6</v>
      </c>
      <c r="G947" s="7">
        <f>E947*F947</f>
        <v>8000</v>
      </c>
      <c r="H947" s="1">
        <v>62</v>
      </c>
      <c r="I947" s="7" t="s">
        <v>808</v>
      </c>
      <c r="J947" s="1"/>
    </row>
    <row r="948" spans="1:10" s="4" customFormat="1">
      <c r="A948" s="12"/>
      <c r="B948" s="12"/>
      <c r="G948" s="4">
        <f>SUM(G947:G947)</f>
        <v>8000</v>
      </c>
      <c r="J948" s="13" t="s">
        <v>792</v>
      </c>
    </row>
    <row r="949" spans="1:10">
      <c r="A949" s="10">
        <v>42987</v>
      </c>
      <c r="B949" s="10">
        <v>43003</v>
      </c>
      <c r="C949" s="43" t="s">
        <v>870</v>
      </c>
      <c r="D949" s="7" t="s">
        <v>800</v>
      </c>
      <c r="E949" s="7">
        <v>2600</v>
      </c>
      <c r="F949" s="7">
        <v>1.35</v>
      </c>
      <c r="G949" s="7">
        <f>E949*F949</f>
        <v>3510.0000000000005</v>
      </c>
      <c r="H949" s="7">
        <v>390</v>
      </c>
      <c r="I949" s="7" t="s">
        <v>807</v>
      </c>
      <c r="J949" s="7" t="s">
        <v>841</v>
      </c>
    </row>
    <row r="950" spans="1:10" s="4" customFormat="1">
      <c r="A950" s="12"/>
      <c r="B950" s="12"/>
      <c r="J950" s="13" t="s">
        <v>572</v>
      </c>
    </row>
    <row r="951" spans="1:10">
      <c r="A951" s="10">
        <v>42992</v>
      </c>
      <c r="B951" s="10">
        <v>42997</v>
      </c>
      <c r="C951" s="1" t="s">
        <v>603</v>
      </c>
      <c r="D951" s="7" t="s">
        <v>755</v>
      </c>
      <c r="E951" s="7">
        <v>4500</v>
      </c>
      <c r="F951" s="7">
        <v>1.1000000000000001</v>
      </c>
      <c r="G951" s="7">
        <f>E951*F951</f>
        <v>4950</v>
      </c>
      <c r="H951" s="7">
        <v>50</v>
      </c>
      <c r="I951" s="7" t="s">
        <v>699</v>
      </c>
    </row>
    <row r="952" spans="1:10" s="4" customFormat="1">
      <c r="A952" s="12"/>
      <c r="B952" s="12"/>
      <c r="G952" s="4">
        <f>SUM(G951:G951)</f>
        <v>4950</v>
      </c>
      <c r="J952" s="13" t="s">
        <v>813</v>
      </c>
    </row>
    <row r="953" spans="1:10">
      <c r="A953" s="10">
        <v>42993</v>
      </c>
      <c r="B953" s="10">
        <v>42995</v>
      </c>
      <c r="C953" s="7" t="s">
        <v>343</v>
      </c>
      <c r="D953" s="30" t="s">
        <v>818</v>
      </c>
      <c r="E953" s="7">
        <v>4000</v>
      </c>
      <c r="F953" s="7">
        <v>2.1000000000000001E-2</v>
      </c>
      <c r="G953" s="7">
        <f>E953*F953</f>
        <v>84</v>
      </c>
      <c r="H953" s="7">
        <v>8</v>
      </c>
      <c r="I953" s="7" t="s">
        <v>829</v>
      </c>
      <c r="J953" s="31"/>
    </row>
    <row r="954" spans="1:10">
      <c r="A954" s="10"/>
      <c r="B954" s="10"/>
      <c r="D954" s="30" t="s">
        <v>819</v>
      </c>
      <c r="E954" s="7">
        <v>3000</v>
      </c>
      <c r="F954" s="7">
        <v>2.1999999999999999E-2</v>
      </c>
      <c r="G954" s="7">
        <f>E954*F954</f>
        <v>66</v>
      </c>
      <c r="J954" s="31"/>
    </row>
    <row r="955" spans="1:10" s="4" customFormat="1">
      <c r="A955" s="12"/>
      <c r="B955" s="12"/>
      <c r="G955" s="4">
        <f>SUM(G953:G954)</f>
        <v>150</v>
      </c>
      <c r="J955" s="13" t="s">
        <v>805</v>
      </c>
    </row>
    <row r="956" spans="1:10">
      <c r="A956" s="10">
        <v>42993</v>
      </c>
      <c r="B956" s="10">
        <v>42995</v>
      </c>
      <c r="C956" s="1" t="s">
        <v>809</v>
      </c>
      <c r="D956" s="7" t="s">
        <v>810</v>
      </c>
      <c r="E956" s="7">
        <v>1000</v>
      </c>
      <c r="F956" s="7">
        <v>0.3</v>
      </c>
      <c r="G956" s="7">
        <f>E956*F956</f>
        <v>300</v>
      </c>
      <c r="H956" s="1">
        <v>38.799999999999997</v>
      </c>
      <c r="I956" s="1" t="s">
        <v>476</v>
      </c>
      <c r="J956" s="1"/>
    </row>
    <row r="957" spans="1:10">
      <c r="A957" s="10"/>
      <c r="B957" s="10"/>
      <c r="C957" s="1"/>
      <c r="D957" s="7" t="s">
        <v>811</v>
      </c>
      <c r="E957" s="7">
        <v>300</v>
      </c>
      <c r="F957" s="7">
        <v>0.35</v>
      </c>
      <c r="G957" s="7">
        <f>E957*F957</f>
        <v>105</v>
      </c>
      <c r="H957" s="1"/>
      <c r="I957" s="1"/>
      <c r="J957" s="1"/>
    </row>
    <row r="958" spans="1:10" s="4" customFormat="1">
      <c r="A958" s="12"/>
      <c r="B958" s="12"/>
      <c r="G958" s="4">
        <f>SUM(G956:G957)</f>
        <v>405</v>
      </c>
      <c r="J958" s="13" t="s">
        <v>816</v>
      </c>
    </row>
    <row r="959" spans="1:10">
      <c r="A959" s="10">
        <v>42993</v>
      </c>
      <c r="B959" s="10">
        <v>42995</v>
      </c>
      <c r="C959" s="1" t="s">
        <v>814</v>
      </c>
      <c r="D959" s="7" t="s">
        <v>204</v>
      </c>
      <c r="E959" s="7">
        <v>100</v>
      </c>
      <c r="F959" s="7">
        <v>10</v>
      </c>
      <c r="G959" s="7">
        <f>E959*F959</f>
        <v>1000</v>
      </c>
      <c r="H959" s="1">
        <v>40</v>
      </c>
      <c r="I959" s="7" t="s">
        <v>837</v>
      </c>
      <c r="J959" s="1"/>
    </row>
    <row r="960" spans="1:10" s="4" customFormat="1">
      <c r="A960" s="12"/>
      <c r="B960" s="12"/>
      <c r="G960" s="4">
        <f>SUM(G959:G959)</f>
        <v>1000</v>
      </c>
      <c r="J960" s="13" t="s">
        <v>815</v>
      </c>
    </row>
    <row r="961" spans="1:10">
      <c r="A961" s="10">
        <v>42993</v>
      </c>
      <c r="B961" s="10">
        <v>43001</v>
      </c>
      <c r="C961" s="1" t="s">
        <v>703</v>
      </c>
      <c r="D961" s="1" t="s">
        <v>817</v>
      </c>
      <c r="E961" s="1">
        <v>4000</v>
      </c>
      <c r="F961" s="7">
        <v>0.4</v>
      </c>
      <c r="G961" s="7">
        <f>E961*F961+150</f>
        <v>1750</v>
      </c>
      <c r="H961" s="7">
        <v>205</v>
      </c>
      <c r="I961" s="7" t="s">
        <v>821</v>
      </c>
    </row>
    <row r="962" spans="1:10">
      <c r="A962" s="10"/>
      <c r="B962" s="10"/>
      <c r="C962" s="1"/>
      <c r="D962" s="1" t="s">
        <v>820</v>
      </c>
      <c r="E962" s="1">
        <v>4000</v>
      </c>
      <c r="F962" s="7">
        <v>0.4</v>
      </c>
      <c r="G962" s="7">
        <f>E962*F962+150</f>
        <v>1750</v>
      </c>
    </row>
    <row r="963" spans="1:10" s="4" customFormat="1">
      <c r="A963" s="12"/>
      <c r="B963" s="12"/>
      <c r="G963" s="4">
        <f>SUM(G961:G962)</f>
        <v>3500</v>
      </c>
      <c r="J963" s="13" t="s">
        <v>822</v>
      </c>
    </row>
    <row r="964" spans="1:10">
      <c r="A964" s="10">
        <v>42993</v>
      </c>
      <c r="B964" s="10">
        <v>43003</v>
      </c>
      <c r="C964" s="1" t="s">
        <v>47</v>
      </c>
      <c r="D964" s="7" t="s">
        <v>797</v>
      </c>
      <c r="E964" s="1">
        <v>3000</v>
      </c>
      <c r="F964" s="7">
        <v>0.8</v>
      </c>
      <c r="G964" s="7">
        <f>E964*F964</f>
        <v>2400</v>
      </c>
      <c r="H964" s="7">
        <v>0</v>
      </c>
      <c r="I964" s="7" t="s">
        <v>840</v>
      </c>
    </row>
    <row r="965" spans="1:10">
      <c r="D965" s="7" t="s">
        <v>798</v>
      </c>
      <c r="E965" s="1">
        <v>-3000</v>
      </c>
      <c r="G965" s="7">
        <f>E965*F965</f>
        <v>0</v>
      </c>
    </row>
    <row r="966" spans="1:10" s="4" customFormat="1">
      <c r="A966" s="12"/>
      <c r="B966" s="12"/>
      <c r="G966" s="4">
        <f>SUM(G964:G965)</f>
        <v>2400</v>
      </c>
      <c r="J966" s="13" t="s">
        <v>823</v>
      </c>
    </row>
    <row r="967" spans="1:10">
      <c r="A967" s="10">
        <v>42993</v>
      </c>
      <c r="B967" s="10">
        <v>42995</v>
      </c>
      <c r="C967" s="1" t="s">
        <v>825</v>
      </c>
      <c r="D967" s="1" t="s">
        <v>945</v>
      </c>
      <c r="E967" s="1">
        <v>5000</v>
      </c>
      <c r="F967" s="7">
        <v>0.18</v>
      </c>
      <c r="G967" s="7">
        <f>E967*F967</f>
        <v>900</v>
      </c>
      <c r="H967" s="7">
        <v>117</v>
      </c>
      <c r="I967" s="7" t="s">
        <v>804</v>
      </c>
    </row>
    <row r="968" spans="1:10">
      <c r="A968" s="10"/>
      <c r="B968" s="10"/>
      <c r="C968" s="1"/>
      <c r="D968" s="7" t="s">
        <v>232</v>
      </c>
      <c r="E968" s="1">
        <v>8000</v>
      </c>
      <c r="F968" s="7">
        <v>0.2</v>
      </c>
      <c r="G968" s="7">
        <f>E968*F968</f>
        <v>1600</v>
      </c>
    </row>
    <row r="969" spans="1:10" s="4" customFormat="1">
      <c r="A969" s="12"/>
      <c r="B969" s="12"/>
      <c r="G969" s="4">
        <f>SUM(G967:G968)</f>
        <v>2500</v>
      </c>
      <c r="J969" s="13" t="s">
        <v>826</v>
      </c>
    </row>
    <row r="970" spans="1:10">
      <c r="A970" s="10">
        <v>42993</v>
      </c>
      <c r="B970" s="10">
        <v>42998</v>
      </c>
      <c r="C970" s="10" t="s">
        <v>824</v>
      </c>
      <c r="D970" s="7" t="s">
        <v>874</v>
      </c>
      <c r="E970" s="7">
        <v>2000</v>
      </c>
      <c r="F970" s="7">
        <v>4.8</v>
      </c>
      <c r="G970" s="7">
        <f>E970*F970</f>
        <v>9600</v>
      </c>
      <c r="I970" s="7" t="s">
        <v>836</v>
      </c>
    </row>
    <row r="971" spans="1:10" s="4" customFormat="1">
      <c r="A971" s="12"/>
      <c r="B971" s="12"/>
      <c r="J971" s="13" t="s">
        <v>827</v>
      </c>
    </row>
    <row r="972" spans="1:10">
      <c r="A972" s="10">
        <v>42996</v>
      </c>
      <c r="B972" s="10">
        <v>43000</v>
      </c>
      <c r="C972" s="1" t="s">
        <v>362</v>
      </c>
      <c r="D972" s="7" t="s">
        <v>831</v>
      </c>
      <c r="E972" s="7">
        <v>10000</v>
      </c>
      <c r="F972" s="7">
        <v>0.22</v>
      </c>
      <c r="G972" s="7">
        <f>E972*F972</f>
        <v>2200</v>
      </c>
      <c r="H972" s="7">
        <v>0</v>
      </c>
    </row>
    <row r="973" spans="1:10" s="4" customFormat="1">
      <c r="A973" s="12"/>
      <c r="B973" s="12"/>
      <c r="J973" s="13" t="s">
        <v>830</v>
      </c>
    </row>
    <row r="974" spans="1:10">
      <c r="A974" s="10">
        <v>42997</v>
      </c>
      <c r="B974" s="10">
        <v>42999</v>
      </c>
      <c r="C974" s="7" t="s">
        <v>812</v>
      </c>
      <c r="D974" s="7" t="s">
        <v>832</v>
      </c>
      <c r="E974" s="7">
        <v>16000</v>
      </c>
      <c r="F974" s="7">
        <v>3.5000000000000003E-2</v>
      </c>
      <c r="G974" s="7">
        <f>E974*F974</f>
        <v>560</v>
      </c>
      <c r="H974" s="7">
        <v>0</v>
      </c>
      <c r="I974" s="7" t="s">
        <v>838</v>
      </c>
    </row>
    <row r="975" spans="1:10" s="4" customFormat="1">
      <c r="A975" s="12"/>
      <c r="B975" s="12"/>
      <c r="J975" s="13" t="s">
        <v>833</v>
      </c>
    </row>
    <row r="976" spans="1:10">
      <c r="A976" s="10">
        <v>42997</v>
      </c>
      <c r="B976" s="10">
        <v>42998</v>
      </c>
      <c r="C976" s="1" t="s">
        <v>834</v>
      </c>
      <c r="D976" s="1" t="s">
        <v>691</v>
      </c>
      <c r="E976" s="1">
        <v>2000</v>
      </c>
      <c r="F976" s="7">
        <v>1.7</v>
      </c>
      <c r="G976" s="7">
        <f>E976*F976</f>
        <v>3400</v>
      </c>
      <c r="H976" s="7">
        <v>0</v>
      </c>
      <c r="I976" s="7" t="s">
        <v>839</v>
      </c>
    </row>
    <row r="977" spans="1:10" s="4" customFormat="1">
      <c r="A977" s="12"/>
      <c r="B977" s="12"/>
      <c r="J977" s="13" t="s">
        <v>835</v>
      </c>
    </row>
    <row r="978" spans="1:10">
      <c r="A978" s="10">
        <v>42999</v>
      </c>
      <c r="B978" s="10">
        <v>43003</v>
      </c>
      <c r="C978" s="1" t="s">
        <v>799</v>
      </c>
      <c r="D978" s="7" t="s">
        <v>930</v>
      </c>
      <c r="E978" s="1">
        <v>2000</v>
      </c>
      <c r="F978" s="7">
        <v>4</v>
      </c>
      <c r="G978" s="7">
        <f t="shared" ref="G978:G983" si="27">E978*F978</f>
        <v>8000</v>
      </c>
      <c r="I978" s="7" t="s">
        <v>845</v>
      </c>
    </row>
    <row r="979" spans="1:10">
      <c r="A979" s="10"/>
      <c r="B979" s="10"/>
      <c r="D979" s="7" t="s">
        <v>931</v>
      </c>
      <c r="E979" s="1">
        <v>500</v>
      </c>
      <c r="F979" s="7">
        <v>4</v>
      </c>
      <c r="G979" s="7">
        <f t="shared" si="27"/>
        <v>2000</v>
      </c>
    </row>
    <row r="980" spans="1:10">
      <c r="D980" s="7" t="s">
        <v>932</v>
      </c>
      <c r="E980" s="1">
        <v>2000</v>
      </c>
      <c r="F980" s="7">
        <v>4.8</v>
      </c>
      <c r="G980" s="7">
        <f t="shared" si="27"/>
        <v>9600</v>
      </c>
    </row>
    <row r="981" spans="1:10">
      <c r="A981" s="10"/>
      <c r="B981" s="10"/>
      <c r="C981" s="1"/>
      <c r="D981" s="7" t="s">
        <v>933</v>
      </c>
      <c r="E981" s="1">
        <v>500</v>
      </c>
      <c r="F981" s="7">
        <v>4.8</v>
      </c>
      <c r="G981" s="7">
        <f t="shared" si="27"/>
        <v>2400</v>
      </c>
    </row>
    <row r="982" spans="1:10">
      <c r="D982" s="1" t="s">
        <v>934</v>
      </c>
      <c r="E982" s="7">
        <v>800</v>
      </c>
      <c r="F982" s="7">
        <v>5</v>
      </c>
      <c r="G982" s="7">
        <f t="shared" si="27"/>
        <v>4000</v>
      </c>
    </row>
    <row r="983" spans="1:10">
      <c r="A983" s="10"/>
      <c r="B983" s="10"/>
      <c r="C983" s="1"/>
      <c r="D983" s="7" t="s">
        <v>844</v>
      </c>
      <c r="E983" s="1">
        <v>8</v>
      </c>
      <c r="F983" s="7">
        <f>9*12</f>
        <v>108</v>
      </c>
      <c r="G983" s="7">
        <f t="shared" si="27"/>
        <v>864</v>
      </c>
    </row>
    <row r="984" spans="1:10" s="4" customFormat="1">
      <c r="A984" s="12"/>
      <c r="B984" s="12"/>
      <c r="G984" s="4">
        <f>SUM(G978:G983)</f>
        <v>26864</v>
      </c>
      <c r="J984" s="13" t="s">
        <v>843</v>
      </c>
    </row>
    <row r="985" spans="1:10">
      <c r="A985" s="10">
        <v>43000</v>
      </c>
      <c r="B985" s="10">
        <v>43005</v>
      </c>
      <c r="C985" s="1" t="s">
        <v>55</v>
      </c>
      <c r="D985" s="1" t="s">
        <v>915</v>
      </c>
      <c r="E985" s="1">
        <v>3000</v>
      </c>
      <c r="F985" s="7">
        <v>2.8</v>
      </c>
      <c r="G985" s="7">
        <f>E985*F985</f>
        <v>8400</v>
      </c>
      <c r="I985" s="7" t="s">
        <v>748</v>
      </c>
    </row>
    <row r="986" spans="1:10" s="4" customFormat="1">
      <c r="A986" s="12"/>
      <c r="B986" s="12"/>
      <c r="J986" s="13" t="s">
        <v>842</v>
      </c>
    </row>
    <row r="987" spans="1:10">
      <c r="A987" s="10">
        <v>42907</v>
      </c>
      <c r="B987" s="10">
        <v>42907</v>
      </c>
      <c r="C987" s="1" t="s">
        <v>898</v>
      </c>
      <c r="D987" s="1"/>
      <c r="E987" s="1"/>
    </row>
    <row r="988" spans="1:10" s="4" customFormat="1">
      <c r="A988" s="12"/>
      <c r="B988" s="12"/>
      <c r="J988" s="13" t="s">
        <v>847</v>
      </c>
    </row>
    <row r="989" spans="1:10">
      <c r="A989" s="10">
        <v>43203</v>
      </c>
      <c r="B989" s="10">
        <v>43211</v>
      </c>
      <c r="C989" s="7" t="s">
        <v>11</v>
      </c>
      <c r="D989" s="7" t="s">
        <v>42</v>
      </c>
      <c r="E989" s="7">
        <v>48</v>
      </c>
      <c r="F989" s="7">
        <v>987.5</v>
      </c>
      <c r="G989" s="7">
        <f>E989*F989</f>
        <v>47400</v>
      </c>
      <c r="H989" s="7">
        <v>0</v>
      </c>
      <c r="I989" s="7" t="s">
        <v>849</v>
      </c>
    </row>
    <row r="990" spans="1:10" s="4" customFormat="1">
      <c r="A990" s="12"/>
      <c r="B990" s="12"/>
      <c r="J990" s="13" t="s">
        <v>848</v>
      </c>
    </row>
    <row r="991" spans="1:10">
      <c r="A991" s="10">
        <v>43211</v>
      </c>
      <c r="B991" s="10">
        <v>43213</v>
      </c>
      <c r="C991" s="7" t="s">
        <v>343</v>
      </c>
      <c r="D991" s="30" t="s">
        <v>850</v>
      </c>
      <c r="E991" s="7">
        <v>1000</v>
      </c>
      <c r="F991" s="7">
        <v>0.18</v>
      </c>
      <c r="G991" s="7">
        <f t="shared" ref="G991:G996" si="28">E991*F991</f>
        <v>180</v>
      </c>
      <c r="H991" s="7">
        <v>40</v>
      </c>
      <c r="I991" s="7" t="s">
        <v>699</v>
      </c>
      <c r="J991" s="31"/>
    </row>
    <row r="992" spans="1:10">
      <c r="A992" s="10"/>
      <c r="B992" s="10"/>
      <c r="D992" s="30" t="s">
        <v>505</v>
      </c>
      <c r="E992" s="7">
        <v>1000</v>
      </c>
      <c r="F992" s="7">
        <v>0.18</v>
      </c>
      <c r="G992" s="7">
        <f t="shared" si="28"/>
        <v>180</v>
      </c>
      <c r="H992" s="7">
        <v>8</v>
      </c>
      <c r="I992" s="7" t="s">
        <v>851</v>
      </c>
      <c r="J992" s="31"/>
    </row>
    <row r="993" spans="1:13">
      <c r="A993" s="10"/>
      <c r="B993" s="10"/>
      <c r="D993" s="30" t="s">
        <v>507</v>
      </c>
      <c r="E993" s="7">
        <v>2500</v>
      </c>
      <c r="F993" s="7">
        <v>0.12</v>
      </c>
      <c r="G993" s="7">
        <f t="shared" si="28"/>
        <v>300</v>
      </c>
      <c r="J993" s="31"/>
    </row>
    <row r="994" spans="1:13">
      <c r="A994" s="10"/>
      <c r="B994" s="10"/>
      <c r="D994" s="30" t="s">
        <v>508</v>
      </c>
      <c r="E994" s="7">
        <v>2500</v>
      </c>
      <c r="F994" s="7">
        <v>0.12</v>
      </c>
      <c r="G994" s="7">
        <f t="shared" si="28"/>
        <v>300</v>
      </c>
      <c r="J994" s="31"/>
    </row>
    <row r="995" spans="1:13">
      <c r="A995" s="10"/>
      <c r="B995" s="10"/>
      <c r="D995" s="30" t="s">
        <v>509</v>
      </c>
      <c r="E995" s="7">
        <v>2500</v>
      </c>
      <c r="F995" s="7">
        <v>0.12</v>
      </c>
      <c r="G995" s="7">
        <f t="shared" si="28"/>
        <v>300</v>
      </c>
      <c r="J995" s="31"/>
    </row>
    <row r="996" spans="1:13">
      <c r="A996" s="10">
        <v>43213</v>
      </c>
      <c r="B996" s="10">
        <v>43215</v>
      </c>
      <c r="D996" s="30" t="s">
        <v>344</v>
      </c>
      <c r="E996" s="7">
        <v>4000</v>
      </c>
      <c r="F996" s="7">
        <v>0.02</v>
      </c>
      <c r="G996" s="7">
        <f t="shared" si="28"/>
        <v>80</v>
      </c>
      <c r="H996" s="7">
        <v>8</v>
      </c>
      <c r="I996" s="7" t="s">
        <v>804</v>
      </c>
      <c r="J996" s="31"/>
    </row>
    <row r="997" spans="1:13">
      <c r="A997" s="10">
        <v>43218</v>
      </c>
      <c r="B997" s="10">
        <v>43221</v>
      </c>
      <c r="D997" s="30" t="s">
        <v>344</v>
      </c>
      <c r="E997" s="7">
        <v>5000</v>
      </c>
      <c r="F997" s="7">
        <v>1.6E-2</v>
      </c>
      <c r="G997" s="7">
        <f>E997*F997</f>
        <v>80</v>
      </c>
      <c r="H997" s="7">
        <v>13</v>
      </c>
      <c r="I997" s="7" t="s">
        <v>829</v>
      </c>
      <c r="J997" s="31"/>
    </row>
    <row r="998" spans="1:13" s="4" customFormat="1">
      <c r="A998" s="12"/>
      <c r="B998" s="12"/>
      <c r="G998" s="4">
        <f>SUM(G991:G997)</f>
        <v>1420</v>
      </c>
      <c r="H998" s="4">
        <f>SUM(H991:H997)</f>
        <v>69</v>
      </c>
      <c r="J998" s="13" t="s">
        <v>856</v>
      </c>
    </row>
    <row r="999" spans="1:13">
      <c r="A999" s="10">
        <v>43217</v>
      </c>
      <c r="B999" s="10">
        <v>43217</v>
      </c>
      <c r="C999" s="1" t="s">
        <v>704</v>
      </c>
      <c r="D999" s="1" t="s">
        <v>852</v>
      </c>
      <c r="E999" s="1">
        <v>1000</v>
      </c>
      <c r="F999" s="7">
        <v>0.03</v>
      </c>
      <c r="G999" s="7">
        <f>E999*F999</f>
        <v>30</v>
      </c>
      <c r="H999" s="7">
        <v>10</v>
      </c>
      <c r="I999" s="7" t="s">
        <v>699</v>
      </c>
      <c r="J999" s="7" t="s">
        <v>866</v>
      </c>
    </row>
    <row r="1000" spans="1:13">
      <c r="A1000" s="10"/>
      <c r="B1000" s="10"/>
      <c r="C1000" s="1"/>
      <c r="D1000" s="1" t="s">
        <v>24</v>
      </c>
      <c r="E1000" s="1">
        <v>400</v>
      </c>
      <c r="F1000" s="7">
        <v>0.25</v>
      </c>
      <c r="G1000" s="7">
        <f>E1000*F1000</f>
        <v>100</v>
      </c>
    </row>
    <row r="1001" spans="1:13">
      <c r="A1001" s="10"/>
      <c r="B1001" s="10"/>
      <c r="C1001" s="1"/>
      <c r="D1001" s="1" t="s">
        <v>644</v>
      </c>
      <c r="E1001" s="1">
        <v>200</v>
      </c>
      <c r="F1001" s="7">
        <v>0.85</v>
      </c>
      <c r="G1001" s="7">
        <f>E1001*F1001</f>
        <v>170</v>
      </c>
    </row>
    <row r="1002" spans="1:13" s="4" customFormat="1">
      <c r="A1002" s="12"/>
      <c r="B1002" s="12"/>
      <c r="G1002" s="4">
        <f>SUM(G999:G1001)</f>
        <v>300</v>
      </c>
      <c r="J1002" s="13" t="s">
        <v>853</v>
      </c>
      <c r="K1002" s="60" t="s">
        <v>863</v>
      </c>
    </row>
    <row r="1003" spans="1:13">
      <c r="A1003" s="10">
        <v>43217</v>
      </c>
      <c r="B1003" s="10">
        <v>43225</v>
      </c>
      <c r="C1003" s="1" t="s">
        <v>799</v>
      </c>
      <c r="D1003" s="7" t="s">
        <v>935</v>
      </c>
      <c r="E1003" s="1">
        <v>4450</v>
      </c>
      <c r="F1003" s="7">
        <v>3.6</v>
      </c>
      <c r="G1003" s="7">
        <f>E1003*F1003</f>
        <v>16020</v>
      </c>
      <c r="H1003" s="7">
        <v>0</v>
      </c>
      <c r="I1003" s="7" t="s">
        <v>857</v>
      </c>
      <c r="K1003" s="9">
        <v>30</v>
      </c>
      <c r="L1003" s="7">
        <f>K1003*25*1000/30/E1003</f>
        <v>5.617977528089888</v>
      </c>
      <c r="M1003" s="7">
        <f>E1003/K1003</f>
        <v>148.33333333333334</v>
      </c>
    </row>
    <row r="1004" spans="1:13">
      <c r="A1004" s="10"/>
      <c r="B1004" s="10"/>
      <c r="C1004" s="1"/>
      <c r="D1004" s="7" t="s">
        <v>936</v>
      </c>
      <c r="E1004" s="1">
        <v>750</v>
      </c>
      <c r="F1004" s="7">
        <v>4.3</v>
      </c>
      <c r="G1004" s="7">
        <f>E1004*F1004</f>
        <v>3225</v>
      </c>
      <c r="K1004" s="9">
        <v>8</v>
      </c>
      <c r="L1004" s="7">
        <f>K1004*25*1000/30/E1004</f>
        <v>8.8888888888888893</v>
      </c>
      <c r="M1004" s="7">
        <f>E1004/K1004</f>
        <v>93.75</v>
      </c>
    </row>
    <row r="1005" spans="1:13">
      <c r="A1005" s="10"/>
      <c r="B1005" s="10"/>
      <c r="C1005" s="1"/>
      <c r="D1005" s="7" t="s">
        <v>864</v>
      </c>
      <c r="E1005" s="1">
        <v>48</v>
      </c>
      <c r="F1005" s="7">
        <v>40</v>
      </c>
      <c r="G1005" s="7">
        <f>E1005*F1005</f>
        <v>1920</v>
      </c>
      <c r="K1005" s="9"/>
    </row>
    <row r="1006" spans="1:13">
      <c r="A1006" s="10"/>
      <c r="B1006" s="10"/>
      <c r="C1006" s="1"/>
      <c r="D1006" s="7" t="s">
        <v>855</v>
      </c>
      <c r="E1006" s="1">
        <v>200</v>
      </c>
      <c r="F1006" s="7">
        <v>0</v>
      </c>
      <c r="G1006" s="7">
        <f>E1006*F1006</f>
        <v>0</v>
      </c>
      <c r="K1006" s="9">
        <v>10</v>
      </c>
    </row>
    <row r="1007" spans="1:13" s="4" customFormat="1">
      <c r="A1007" s="12"/>
      <c r="B1007" s="12"/>
      <c r="G1007" s="4">
        <f>SUM(G1003:G1006)</f>
        <v>21165</v>
      </c>
      <c r="J1007" s="13" t="s">
        <v>865</v>
      </c>
      <c r="K1007" s="5">
        <f>SUM(K1003:K1006)</f>
        <v>48</v>
      </c>
    </row>
    <row r="1008" spans="1:13">
      <c r="A1008" s="10">
        <v>43218</v>
      </c>
      <c r="B1008" s="10">
        <v>43224</v>
      </c>
      <c r="C1008" s="1" t="s">
        <v>859</v>
      </c>
      <c r="D1008" s="1" t="s">
        <v>860</v>
      </c>
      <c r="E1008" s="1">
        <v>200</v>
      </c>
      <c r="F1008" s="7">
        <v>6</v>
      </c>
      <c r="G1008" s="7">
        <f>E1008*F1008</f>
        <v>1200</v>
      </c>
      <c r="H1008" s="7">
        <v>110</v>
      </c>
      <c r="I1008" s="7" t="s">
        <v>861</v>
      </c>
    </row>
    <row r="1009" spans="1:10" s="4" customFormat="1">
      <c r="A1009" s="12"/>
      <c r="B1009" s="12"/>
      <c r="G1009" s="4">
        <f>SUM(G1008:G1008)</f>
        <v>1200</v>
      </c>
      <c r="J1009" s="13" t="s">
        <v>862</v>
      </c>
    </row>
    <row r="1010" spans="1:10">
      <c r="A1010" s="10">
        <v>43224</v>
      </c>
      <c r="B1010" s="10">
        <v>43226</v>
      </c>
      <c r="C1010" s="1" t="s">
        <v>659</v>
      </c>
      <c r="D1010" s="1" t="s">
        <v>924</v>
      </c>
      <c r="E1010" s="1">
        <v>840</v>
      </c>
      <c r="F1010" s="7">
        <v>8</v>
      </c>
      <c r="G1010" s="7">
        <f>E1010*F1010</f>
        <v>6720</v>
      </c>
      <c r="H1010" s="7">
        <v>300</v>
      </c>
      <c r="I1010" s="7" t="s">
        <v>684</v>
      </c>
    </row>
    <row r="1011" spans="1:10">
      <c r="A1011" s="10"/>
      <c r="B1011" s="10"/>
      <c r="D1011" s="7" t="s">
        <v>141</v>
      </c>
      <c r="E1011" s="1">
        <v>840</v>
      </c>
      <c r="F1011" s="7">
        <v>0.5</v>
      </c>
      <c r="G1011" s="7">
        <f>E1011*F1011</f>
        <v>420</v>
      </c>
    </row>
    <row r="1012" spans="1:10" s="4" customFormat="1">
      <c r="A1012" s="12"/>
      <c r="B1012" s="12"/>
      <c r="G1012" s="4">
        <f>SUM(G1010:G1011)</f>
        <v>7140</v>
      </c>
      <c r="J1012" s="13" t="s">
        <v>858</v>
      </c>
    </row>
    <row r="1013" spans="1:10">
      <c r="A1013" s="10">
        <v>43188</v>
      </c>
      <c r="B1013" s="10">
        <v>43237</v>
      </c>
      <c r="C1013" s="1" t="s">
        <v>897</v>
      </c>
      <c r="D1013" s="1"/>
      <c r="E1013" s="1"/>
    </row>
    <row r="1014" spans="1:10" s="4" customFormat="1">
      <c r="A1014" s="12"/>
      <c r="B1014" s="12"/>
      <c r="J1014" s="13" t="s">
        <v>867</v>
      </c>
    </row>
    <row r="1015" spans="1:10">
      <c r="A1015" s="10">
        <v>43278</v>
      </c>
      <c r="B1015" s="10">
        <v>43279</v>
      </c>
      <c r="C1015" s="1" t="s">
        <v>894</v>
      </c>
      <c r="D1015" s="1" t="s">
        <v>895</v>
      </c>
      <c r="E1015" s="1">
        <v>1600</v>
      </c>
      <c r="F1015" s="7">
        <v>0.35</v>
      </c>
      <c r="G1015" s="7">
        <f>E1015*F1015</f>
        <v>560</v>
      </c>
      <c r="H1015" s="7">
        <v>13</v>
      </c>
      <c r="I1015" s="7" t="s">
        <v>699</v>
      </c>
    </row>
    <row r="1016" spans="1:10" s="4" customFormat="1">
      <c r="A1016" s="12"/>
      <c r="B1016" s="12"/>
      <c r="J1016" s="13" t="s">
        <v>896</v>
      </c>
    </row>
    <row r="1017" spans="1:10">
      <c r="A1017" s="10">
        <v>43529</v>
      </c>
      <c r="B1017" s="10">
        <v>43531</v>
      </c>
      <c r="C1017" s="1" t="s">
        <v>901</v>
      </c>
      <c r="D1017" s="1" t="s">
        <v>899</v>
      </c>
      <c r="E1017" s="1">
        <v>100</v>
      </c>
      <c r="F1017" s="7">
        <v>1.9</v>
      </c>
      <c r="G1017" s="7">
        <f>E1017*F1017</f>
        <v>190</v>
      </c>
      <c r="H1017" s="7">
        <v>10</v>
      </c>
    </row>
    <row r="1018" spans="1:10" s="4" customFormat="1">
      <c r="A1018" s="12"/>
      <c r="B1018" s="12"/>
      <c r="J1018" s="13" t="s">
        <v>902</v>
      </c>
    </row>
    <row r="1019" spans="1:10">
      <c r="A1019" s="10">
        <v>43607</v>
      </c>
      <c r="B1019" s="10">
        <v>43628</v>
      </c>
      <c r="C1019" s="1" t="s">
        <v>944</v>
      </c>
      <c r="D1019" s="1" t="s">
        <v>918</v>
      </c>
      <c r="E1019" s="7">
        <v>10000</v>
      </c>
      <c r="F1019" s="7">
        <v>1.5</v>
      </c>
      <c r="G1019" s="7">
        <f>E1019*F1019</f>
        <v>15000</v>
      </c>
      <c r="H1019" s="1">
        <v>80</v>
      </c>
      <c r="I1019" s="7" t="s">
        <v>808</v>
      </c>
      <c r="J1019" s="1" t="s">
        <v>995</v>
      </c>
    </row>
    <row r="1020" spans="1:10" s="4" customFormat="1">
      <c r="A1020" s="12"/>
      <c r="B1020" s="12"/>
      <c r="G1020" s="4">
        <f>SUM(G1019:G1019)</f>
        <v>15000</v>
      </c>
      <c r="J1020" s="13" t="s">
        <v>792</v>
      </c>
    </row>
    <row r="1021" spans="1:10">
      <c r="A1021" s="10">
        <v>43607</v>
      </c>
      <c r="B1021" s="10">
        <v>43617</v>
      </c>
      <c r="C1021" s="7" t="s">
        <v>343</v>
      </c>
      <c r="D1021" s="30" t="s">
        <v>903</v>
      </c>
      <c r="E1021" s="7">
        <v>2000</v>
      </c>
      <c r="F1021" s="7">
        <v>0.11</v>
      </c>
      <c r="G1021" s="7">
        <f>E1021*F1021</f>
        <v>220</v>
      </c>
      <c r="H1021" s="7">
        <v>15</v>
      </c>
      <c r="I1021" s="7" t="s">
        <v>962</v>
      </c>
      <c r="J1021" s="31"/>
    </row>
    <row r="1022" spans="1:10" s="4" customFormat="1">
      <c r="A1022" s="12"/>
      <c r="B1022" s="12"/>
      <c r="G1022" s="4">
        <f>SUM(G1021:G1021)</f>
        <v>220</v>
      </c>
      <c r="H1022" s="4">
        <f>SUM(H1021:H1021)</f>
        <v>15</v>
      </c>
      <c r="J1022" s="13" t="s">
        <v>912</v>
      </c>
    </row>
    <row r="1023" spans="1:10">
      <c r="A1023" s="10">
        <v>43614</v>
      </c>
      <c r="B1023" s="10">
        <v>43616</v>
      </c>
      <c r="C1023" s="1" t="s">
        <v>946</v>
      </c>
      <c r="D1023" s="1" t="s">
        <v>899</v>
      </c>
      <c r="E1023" s="1">
        <v>100</v>
      </c>
      <c r="F1023" s="7">
        <v>1.8</v>
      </c>
      <c r="G1023" s="7">
        <f>E1023*F1023</f>
        <v>180</v>
      </c>
      <c r="H1023" s="7">
        <v>9</v>
      </c>
    </row>
    <row r="1024" spans="1:10" s="4" customFormat="1">
      <c r="A1024" s="12"/>
      <c r="B1024" s="12"/>
      <c r="J1024" s="13" t="s">
        <v>947</v>
      </c>
    </row>
    <row r="1025" spans="1:12">
      <c r="A1025" s="10">
        <v>43614</v>
      </c>
      <c r="B1025" s="10">
        <v>43616</v>
      </c>
      <c r="C1025" s="7" t="s">
        <v>948</v>
      </c>
      <c r="D1025" s="1" t="s">
        <v>949</v>
      </c>
      <c r="E1025" s="1">
        <v>300</v>
      </c>
      <c r="F1025" s="1">
        <v>2.5</v>
      </c>
      <c r="G1025" s="7">
        <f>E1025*F1025</f>
        <v>750</v>
      </c>
      <c r="H1025" s="7">
        <v>8</v>
      </c>
      <c r="J1025" s="1"/>
      <c r="K1025" s="1"/>
      <c r="L1025" s="1"/>
    </row>
    <row r="1026" spans="1:12" s="4" customFormat="1">
      <c r="A1026" s="12"/>
      <c r="B1026" s="12"/>
      <c r="J1026" s="13" t="s">
        <v>950</v>
      </c>
    </row>
    <row r="1027" spans="1:12">
      <c r="A1027" s="10">
        <v>43614</v>
      </c>
      <c r="B1027" s="10">
        <v>43617</v>
      </c>
      <c r="C1027" s="7" t="s">
        <v>957</v>
      </c>
      <c r="D1027" s="160" t="s">
        <v>3744</v>
      </c>
      <c r="E1027" s="1">
        <v>300</v>
      </c>
      <c r="F1027" s="1">
        <v>0.65</v>
      </c>
      <c r="G1027" s="7">
        <f>E1027*F1027</f>
        <v>195</v>
      </c>
      <c r="H1027" s="7">
        <v>10</v>
      </c>
      <c r="J1027" s="1"/>
      <c r="K1027" s="1"/>
      <c r="L1027" s="1"/>
    </row>
    <row r="1028" spans="1:12" s="4" customFormat="1">
      <c r="A1028" s="12"/>
      <c r="B1028" s="12"/>
      <c r="J1028" s="13" t="s">
        <v>958</v>
      </c>
    </row>
    <row r="1029" spans="1:12">
      <c r="A1029" s="10">
        <v>43621</v>
      </c>
      <c r="B1029" s="10">
        <v>43623</v>
      </c>
      <c r="C1029" s="1" t="s">
        <v>963</v>
      </c>
      <c r="D1029" s="1" t="s">
        <v>959</v>
      </c>
      <c r="E1029" s="1">
        <v>100</v>
      </c>
      <c r="F1029" s="7">
        <v>7.5</v>
      </c>
      <c r="G1029" s="7">
        <f>E1029*F1029</f>
        <v>750</v>
      </c>
      <c r="H1029" s="7">
        <v>100</v>
      </c>
      <c r="I1029" s="7" t="s">
        <v>961</v>
      </c>
    </row>
    <row r="1030" spans="1:12">
      <c r="A1030" s="10"/>
      <c r="B1030" s="10"/>
      <c r="C1030" s="1"/>
      <c r="D1030" s="1" t="s">
        <v>964</v>
      </c>
      <c r="E1030" s="1">
        <v>120</v>
      </c>
      <c r="F1030" s="7">
        <v>10.5</v>
      </c>
      <c r="G1030" s="7">
        <f>E1030*F1030</f>
        <v>1260</v>
      </c>
    </row>
    <row r="1031" spans="1:12">
      <c r="A1031" s="10"/>
      <c r="B1031" s="10"/>
      <c r="C1031" s="1"/>
      <c r="D1031" s="1" t="s">
        <v>960</v>
      </c>
      <c r="E1031" s="1">
        <v>100</v>
      </c>
      <c r="F1031" s="7">
        <v>7.5</v>
      </c>
      <c r="G1031" s="7">
        <f>E1031*F1031</f>
        <v>750</v>
      </c>
    </row>
    <row r="1032" spans="1:12" s="4" customFormat="1">
      <c r="A1032" s="12"/>
      <c r="B1032" s="12"/>
      <c r="G1032" s="4">
        <f>SUM(G1029:G1031)</f>
        <v>2760</v>
      </c>
      <c r="J1032" s="13" t="s">
        <v>971</v>
      </c>
    </row>
    <row r="1033" spans="1:12">
      <c r="A1033" s="10">
        <v>43621</v>
      </c>
      <c r="B1033" s="10">
        <v>43623</v>
      </c>
      <c r="C1033" s="1" t="s">
        <v>965</v>
      </c>
      <c r="D1033" s="1" t="s">
        <v>966</v>
      </c>
      <c r="E1033" s="1">
        <v>50</v>
      </c>
      <c r="F1033" s="7">
        <v>11</v>
      </c>
      <c r="G1033" s="7">
        <f>E1033*F1033</f>
        <v>550</v>
      </c>
      <c r="H1033" s="7">
        <v>9</v>
      </c>
    </row>
    <row r="1034" spans="1:12" s="4" customFormat="1">
      <c r="A1034" s="12"/>
      <c r="B1034" s="12"/>
      <c r="J1034" s="13" t="s">
        <v>967</v>
      </c>
    </row>
    <row r="1035" spans="1:12">
      <c r="A1035" s="10">
        <v>43621</v>
      </c>
      <c r="B1035" s="10">
        <v>43623</v>
      </c>
      <c r="C1035" s="7" t="s">
        <v>969</v>
      </c>
      <c r="D1035" s="160" t="s">
        <v>3744</v>
      </c>
      <c r="E1035" s="1">
        <v>300</v>
      </c>
      <c r="F1035" s="1">
        <v>0.65</v>
      </c>
      <c r="G1035" s="7">
        <f>E1035*F1035</f>
        <v>195</v>
      </c>
      <c r="H1035" s="7">
        <v>10</v>
      </c>
      <c r="J1035" s="1"/>
      <c r="K1035" s="1"/>
      <c r="L1035" s="1"/>
    </row>
    <row r="1036" spans="1:12" s="4" customFormat="1">
      <c r="A1036" s="12"/>
      <c r="B1036" s="12"/>
      <c r="J1036" s="13" t="s">
        <v>970</v>
      </c>
    </row>
    <row r="1037" spans="1:12">
      <c r="A1037" s="10">
        <v>43621</v>
      </c>
      <c r="B1037" s="10">
        <v>43622</v>
      </c>
      <c r="C1037" s="1" t="s">
        <v>825</v>
      </c>
      <c r="D1037" s="1" t="s">
        <v>945</v>
      </c>
      <c r="E1037" s="1">
        <v>2000</v>
      </c>
      <c r="F1037" s="7">
        <v>0.2</v>
      </c>
      <c r="G1037" s="7">
        <f>E1037*F1037</f>
        <v>400</v>
      </c>
      <c r="H1037" s="7">
        <v>16</v>
      </c>
      <c r="I1037" s="7" t="s">
        <v>972</v>
      </c>
    </row>
    <row r="1038" spans="1:12" s="4" customFormat="1">
      <c r="A1038" s="12"/>
      <c r="B1038" s="12"/>
      <c r="J1038" s="13" t="s">
        <v>968</v>
      </c>
    </row>
    <row r="1039" spans="1:12">
      <c r="A1039" s="10">
        <v>43628</v>
      </c>
      <c r="B1039" s="10">
        <v>43633</v>
      </c>
      <c r="C1039" s="1" t="s">
        <v>55</v>
      </c>
      <c r="D1039" s="1" t="s">
        <v>915</v>
      </c>
      <c r="E1039" s="1">
        <v>2000</v>
      </c>
      <c r="F1039" s="7">
        <v>2.8</v>
      </c>
      <c r="G1039" s="7">
        <f>E1039*F1039</f>
        <v>5600</v>
      </c>
      <c r="I1039" s="7" t="s">
        <v>748</v>
      </c>
    </row>
    <row r="1040" spans="1:12">
      <c r="A1040" s="10"/>
      <c r="B1040" s="10"/>
      <c r="C1040" s="1"/>
      <c r="D1040" s="1" t="s">
        <v>973</v>
      </c>
      <c r="E1040" s="1">
        <v>600</v>
      </c>
      <c r="F1040" s="7">
        <v>2.2999999999999998</v>
      </c>
      <c r="G1040" s="7">
        <f>E1040*F1040</f>
        <v>1380</v>
      </c>
    </row>
    <row r="1041" spans="1:12" s="4" customFormat="1">
      <c r="A1041" s="12"/>
      <c r="B1041" s="12"/>
      <c r="G1041" s="4">
        <f>SUM(G1039:G1040)</f>
        <v>6980</v>
      </c>
      <c r="J1041" s="13" t="s">
        <v>974</v>
      </c>
    </row>
    <row r="1042" spans="1:12">
      <c r="A1042" s="10">
        <v>43628</v>
      </c>
      <c r="B1042" s="10">
        <v>43629</v>
      </c>
      <c r="C1042" s="7" t="s">
        <v>975</v>
      </c>
      <c r="D1042" s="1" t="s">
        <v>956</v>
      </c>
      <c r="E1042" s="1">
        <v>300</v>
      </c>
      <c r="F1042" s="1">
        <v>0.7</v>
      </c>
      <c r="G1042" s="7">
        <f>E1042*F1042</f>
        <v>210</v>
      </c>
      <c r="I1042" s="7" t="s">
        <v>996</v>
      </c>
      <c r="J1042" s="1"/>
      <c r="K1042" s="1"/>
      <c r="L1042" s="1"/>
    </row>
    <row r="1043" spans="1:12" s="4" customFormat="1">
      <c r="A1043" s="12"/>
      <c r="B1043" s="12"/>
      <c r="J1043" s="13" t="s">
        <v>976</v>
      </c>
    </row>
    <row r="1044" spans="1:12">
      <c r="A1044" s="10">
        <v>43605</v>
      </c>
      <c r="B1044" s="10">
        <v>43633</v>
      </c>
      <c r="C1044" s="1" t="s">
        <v>977</v>
      </c>
      <c r="D1044" s="1" t="s">
        <v>978</v>
      </c>
      <c r="E1044" s="1">
        <v>300</v>
      </c>
      <c r="F1044" s="7">
        <v>5</v>
      </c>
      <c r="G1044" s="7">
        <f t="shared" ref="G1044:G1063" si="29">E1044*F1044</f>
        <v>1500</v>
      </c>
    </row>
    <row r="1045" spans="1:12">
      <c r="A1045" s="10"/>
      <c r="B1045" s="10"/>
      <c r="C1045" s="1"/>
      <c r="D1045" s="1" t="s">
        <v>484</v>
      </c>
      <c r="E1045" s="1">
        <v>800</v>
      </c>
      <c r="F1045" s="7">
        <v>19</v>
      </c>
      <c r="G1045" s="7">
        <f t="shared" si="29"/>
        <v>15200</v>
      </c>
    </row>
    <row r="1046" spans="1:12">
      <c r="A1046" s="10"/>
      <c r="B1046" s="10"/>
      <c r="C1046" s="1"/>
      <c r="D1046" s="1" t="s">
        <v>483</v>
      </c>
      <c r="E1046" s="1">
        <v>100</v>
      </c>
      <c r="F1046" s="7">
        <v>13</v>
      </c>
      <c r="G1046" s="7">
        <f t="shared" si="29"/>
        <v>1300</v>
      </c>
    </row>
    <row r="1047" spans="1:12">
      <c r="A1047" s="10"/>
      <c r="B1047" s="10"/>
      <c r="C1047" s="1"/>
      <c r="D1047" s="1" t="s">
        <v>486</v>
      </c>
      <c r="E1047" s="1">
        <v>900</v>
      </c>
      <c r="F1047" s="7">
        <v>2.8</v>
      </c>
      <c r="G1047" s="7">
        <f t="shared" si="29"/>
        <v>2520</v>
      </c>
    </row>
    <row r="1048" spans="1:12">
      <c r="A1048" s="10"/>
      <c r="B1048" s="10"/>
      <c r="C1048" s="1"/>
      <c r="D1048" s="1" t="s">
        <v>979</v>
      </c>
      <c r="E1048" s="1">
        <v>1200</v>
      </c>
      <c r="F1048" s="7">
        <v>0.11</v>
      </c>
      <c r="G1048" s="7">
        <f t="shared" si="29"/>
        <v>132</v>
      </c>
    </row>
    <row r="1049" spans="1:12">
      <c r="A1049" s="10"/>
      <c r="B1049" s="10"/>
      <c r="C1049" s="1"/>
      <c r="D1049" s="1" t="s">
        <v>980</v>
      </c>
      <c r="E1049" s="1">
        <v>600</v>
      </c>
      <c r="F1049" s="7">
        <v>0.64</v>
      </c>
      <c r="G1049" s="7">
        <f t="shared" si="29"/>
        <v>384</v>
      </c>
    </row>
    <row r="1050" spans="1:12">
      <c r="A1050" s="10"/>
      <c r="B1050" s="10"/>
      <c r="C1050" s="1"/>
      <c r="D1050" s="1" t="s">
        <v>981</v>
      </c>
      <c r="E1050" s="1">
        <v>1200</v>
      </c>
      <c r="F1050" s="7">
        <v>0.11</v>
      </c>
      <c r="G1050" s="7">
        <f t="shared" si="29"/>
        <v>132</v>
      </c>
    </row>
    <row r="1051" spans="1:12">
      <c r="A1051" s="10"/>
      <c r="B1051" s="10"/>
      <c r="C1051" s="1"/>
      <c r="D1051" s="1" t="s">
        <v>635</v>
      </c>
      <c r="E1051" s="1">
        <v>300</v>
      </c>
      <c r="F1051" s="7">
        <v>9</v>
      </c>
      <c r="G1051" s="7">
        <f t="shared" si="29"/>
        <v>2700</v>
      </c>
    </row>
    <row r="1052" spans="1:12">
      <c r="A1052" s="10"/>
      <c r="B1052" s="10"/>
      <c r="C1052" s="1"/>
      <c r="D1052" s="1" t="s">
        <v>982</v>
      </c>
      <c r="E1052" s="1">
        <v>300</v>
      </c>
      <c r="F1052" s="7">
        <v>0.75</v>
      </c>
      <c r="G1052" s="7">
        <f t="shared" si="29"/>
        <v>225</v>
      </c>
    </row>
    <row r="1053" spans="1:12">
      <c r="A1053" s="10"/>
      <c r="B1053" s="10"/>
      <c r="C1053" s="1"/>
      <c r="D1053" s="1" t="s">
        <v>983</v>
      </c>
      <c r="E1053" s="1">
        <v>3600</v>
      </c>
      <c r="F1053" s="7">
        <v>3.2000000000000001E-2</v>
      </c>
      <c r="G1053" s="7">
        <f t="shared" si="29"/>
        <v>115.2</v>
      </c>
    </row>
    <row r="1054" spans="1:12">
      <c r="A1054" s="10"/>
      <c r="B1054" s="10"/>
      <c r="C1054" s="1"/>
      <c r="D1054" s="1" t="s">
        <v>984</v>
      </c>
      <c r="E1054" s="1">
        <v>80</v>
      </c>
      <c r="F1054" s="7">
        <v>4</v>
      </c>
      <c r="G1054" s="7">
        <f t="shared" si="29"/>
        <v>320</v>
      </c>
    </row>
    <row r="1055" spans="1:12">
      <c r="A1055" s="10"/>
      <c r="B1055" s="10"/>
      <c r="C1055" s="1"/>
      <c r="D1055" s="1" t="s">
        <v>985</v>
      </c>
      <c r="E1055" s="1">
        <v>240</v>
      </c>
      <c r="F1055" s="7">
        <v>13</v>
      </c>
      <c r="G1055" s="7">
        <f t="shared" si="29"/>
        <v>3120</v>
      </c>
    </row>
    <row r="1056" spans="1:12">
      <c r="A1056" s="10"/>
      <c r="B1056" s="10"/>
      <c r="C1056" s="1"/>
      <c r="D1056" s="1" t="s">
        <v>986</v>
      </c>
      <c r="E1056" s="1">
        <v>200</v>
      </c>
      <c r="F1056" s="7">
        <v>14</v>
      </c>
      <c r="G1056" s="7">
        <f t="shared" si="29"/>
        <v>2800</v>
      </c>
    </row>
    <row r="1057" spans="1:10">
      <c r="A1057" s="10"/>
      <c r="B1057" s="10"/>
      <c r="C1057" s="1"/>
      <c r="D1057" s="1" t="s">
        <v>987</v>
      </c>
      <c r="E1057" s="1">
        <v>240</v>
      </c>
      <c r="F1057" s="7">
        <v>1.2</v>
      </c>
      <c r="G1057" s="7">
        <f t="shared" si="29"/>
        <v>288</v>
      </c>
    </row>
    <row r="1058" spans="1:10">
      <c r="A1058" s="10"/>
      <c r="B1058" s="10"/>
      <c r="C1058" s="1"/>
      <c r="D1058" s="1" t="s">
        <v>988</v>
      </c>
      <c r="E1058" s="1">
        <v>1000</v>
      </c>
      <c r="F1058" s="7">
        <v>1.8</v>
      </c>
      <c r="G1058" s="7">
        <f t="shared" si="29"/>
        <v>1800</v>
      </c>
    </row>
    <row r="1059" spans="1:10">
      <c r="A1059" s="10"/>
      <c r="B1059" s="10"/>
      <c r="C1059" s="1"/>
      <c r="D1059" s="1" t="s">
        <v>989</v>
      </c>
      <c r="E1059" s="1">
        <v>20</v>
      </c>
      <c r="F1059" s="7">
        <v>40</v>
      </c>
      <c r="G1059" s="7">
        <f t="shared" si="29"/>
        <v>800</v>
      </c>
    </row>
    <row r="1060" spans="1:10">
      <c r="A1060" s="10"/>
      <c r="B1060" s="10"/>
      <c r="C1060" s="1"/>
      <c r="D1060" s="1" t="s">
        <v>990</v>
      </c>
      <c r="E1060" s="1">
        <v>10</v>
      </c>
      <c r="F1060" s="7">
        <v>40</v>
      </c>
      <c r="G1060" s="7">
        <f t="shared" si="29"/>
        <v>400</v>
      </c>
    </row>
    <row r="1061" spans="1:10">
      <c r="A1061" s="10"/>
      <c r="B1061" s="10"/>
      <c r="C1061" s="1"/>
      <c r="D1061" s="1" t="s">
        <v>991</v>
      </c>
      <c r="E1061" s="1">
        <v>500</v>
      </c>
      <c r="F1061" s="7">
        <v>1</v>
      </c>
      <c r="G1061" s="7">
        <f t="shared" si="29"/>
        <v>500</v>
      </c>
    </row>
    <row r="1062" spans="1:10">
      <c r="A1062" s="10"/>
      <c r="B1062" s="10"/>
      <c r="C1062" s="1"/>
      <c r="D1062" s="1" t="s">
        <v>992</v>
      </c>
      <c r="E1062" s="1">
        <v>4</v>
      </c>
      <c r="F1062" s="7">
        <v>230</v>
      </c>
      <c r="G1062" s="7">
        <f t="shared" si="29"/>
        <v>920</v>
      </c>
    </row>
    <row r="1063" spans="1:10">
      <c r="A1063" s="10"/>
      <c r="B1063" s="10"/>
      <c r="C1063" s="1"/>
      <c r="D1063" s="1" t="s">
        <v>993</v>
      </c>
      <c r="E1063" s="1">
        <v>280</v>
      </c>
      <c r="F1063" s="7">
        <v>7</v>
      </c>
      <c r="G1063" s="7">
        <f t="shared" si="29"/>
        <v>1960</v>
      </c>
    </row>
    <row r="1064" spans="1:10" s="4" customFormat="1">
      <c r="A1064" s="12"/>
      <c r="B1064" s="12"/>
      <c r="G1064" s="4">
        <f>SUM(G1044:G1063)</f>
        <v>37116.199999999997</v>
      </c>
      <c r="J1064" s="13" t="s">
        <v>994</v>
      </c>
    </row>
    <row r="1065" spans="1:10">
      <c r="A1065" s="10">
        <v>43822</v>
      </c>
      <c r="B1065" s="10"/>
      <c r="C1065" s="71" t="s">
        <v>1095</v>
      </c>
      <c r="D1065" s="66" t="s">
        <v>1096</v>
      </c>
      <c r="E1065" s="7">
        <v>10000</v>
      </c>
      <c r="F1065" s="7">
        <v>0.19</v>
      </c>
      <c r="G1065" s="7">
        <f>E1065*F1065</f>
        <v>1900</v>
      </c>
      <c r="H1065" s="7">
        <v>50</v>
      </c>
    </row>
    <row r="1066" spans="1:10" s="4" customFormat="1">
      <c r="A1066" s="12"/>
      <c r="B1066" s="12"/>
      <c r="G1066" s="4">
        <f>SUM(G1065)</f>
        <v>1900</v>
      </c>
      <c r="J1066" s="72" t="s">
        <v>1097</v>
      </c>
    </row>
    <row r="1067" spans="1:10">
      <c r="A1067" s="10">
        <v>43836</v>
      </c>
      <c r="B1067" s="10"/>
      <c r="C1067" s="1" t="s">
        <v>2028</v>
      </c>
      <c r="D1067" s="1" t="s">
        <v>895</v>
      </c>
      <c r="E1067" s="1">
        <v>200</v>
      </c>
      <c r="F1067" s="7">
        <v>0.45</v>
      </c>
      <c r="G1067" s="7">
        <f>E1067*F1067</f>
        <v>90</v>
      </c>
      <c r="H1067" s="7">
        <v>8</v>
      </c>
      <c r="I1067" s="7" t="s">
        <v>2026</v>
      </c>
    </row>
    <row r="1068" spans="1:10">
      <c r="A1068" s="10"/>
      <c r="B1068" s="10"/>
      <c r="C1068" s="1"/>
      <c r="D1068" s="1" t="s">
        <v>2025</v>
      </c>
      <c r="E1068" s="1">
        <v>20</v>
      </c>
      <c r="F1068" s="7">
        <v>4.5999999999999996</v>
      </c>
      <c r="G1068" s="7">
        <f>E1068*F1068</f>
        <v>92</v>
      </c>
    </row>
    <row r="1069" spans="1:10" s="4" customFormat="1">
      <c r="A1069" s="12"/>
      <c r="B1069" s="12"/>
      <c r="G1069" s="4">
        <f>SUM(G1067:G1068)</f>
        <v>182</v>
      </c>
      <c r="J1069" s="13" t="s">
        <v>2027</v>
      </c>
    </row>
    <row r="1070" spans="1:10">
      <c r="A1070" s="10">
        <v>43837</v>
      </c>
      <c r="B1070" s="10"/>
      <c r="C1070" s="81" t="s">
        <v>2319</v>
      </c>
      <c r="D1070" s="81" t="s">
        <v>2320</v>
      </c>
      <c r="E1070" s="1">
        <v>100</v>
      </c>
      <c r="F1070" s="7">
        <v>3.5</v>
      </c>
      <c r="G1070" s="7">
        <f>E1070*F1070</f>
        <v>350</v>
      </c>
      <c r="H1070" s="7">
        <v>30</v>
      </c>
      <c r="I1070" s="7" t="s">
        <v>2026</v>
      </c>
    </row>
    <row r="1071" spans="1:10" s="4" customFormat="1">
      <c r="A1071" s="12"/>
      <c r="B1071" s="12"/>
      <c r="G1071" s="4">
        <f>SUM(G1070:G1070)</f>
        <v>350</v>
      </c>
      <c r="J1071" s="82" t="s">
        <v>2321</v>
      </c>
    </row>
    <row r="1072" spans="1:10">
      <c r="A1072" s="10"/>
      <c r="B1072" s="10"/>
      <c r="C1072" s="1" t="s">
        <v>386</v>
      </c>
      <c r="D1072" s="1" t="s">
        <v>864</v>
      </c>
      <c r="E1072" s="1"/>
      <c r="F1072" s="7">
        <v>42</v>
      </c>
      <c r="G1072" s="7">
        <f>E1072*F1072</f>
        <v>0</v>
      </c>
    </row>
    <row r="1073" spans="1:10">
      <c r="A1073" s="10"/>
      <c r="B1073" s="10"/>
      <c r="C1073" s="1"/>
      <c r="D1073" s="1" t="s">
        <v>170</v>
      </c>
      <c r="E1073" s="1">
        <v>12</v>
      </c>
      <c r="F1073" s="7">
        <v>110</v>
      </c>
      <c r="G1073" s="7">
        <f>E1073*F1073</f>
        <v>1320</v>
      </c>
      <c r="J1073" s="51" t="s">
        <v>793</v>
      </c>
    </row>
    <row r="1074" spans="1:10" s="4" customFormat="1">
      <c r="A1074" s="12"/>
      <c r="B1074" s="12"/>
      <c r="J1074" s="13" t="s">
        <v>854</v>
      </c>
    </row>
    <row r="1076" spans="1:10" ht="16.5" customHeight="1">
      <c r="A1076" s="1"/>
      <c r="B1076" s="1"/>
      <c r="D1076" s="36" t="s">
        <v>401</v>
      </c>
      <c r="E1076" s="7">
        <v>2.65</v>
      </c>
      <c r="F1076" s="7">
        <f>E1076*3</f>
        <v>7.9499999999999993</v>
      </c>
    </row>
    <row r="1077" spans="1:10" ht="14.25">
      <c r="A1077" s="1"/>
      <c r="B1077" s="1"/>
      <c r="D1077" s="37" t="s">
        <v>402</v>
      </c>
      <c r="E1077" s="7">
        <v>3.7</v>
      </c>
      <c r="F1077" s="7">
        <f>E1077*2</f>
        <v>7.4</v>
      </c>
    </row>
    <row r="1078" spans="1:10" ht="20.25">
      <c r="D1078" s="38" t="s">
        <v>434</v>
      </c>
      <c r="E1078" s="15"/>
      <c r="I1078" s="7" t="s">
        <v>441</v>
      </c>
    </row>
    <row r="1079" spans="1:10">
      <c r="A1079" s="1"/>
      <c r="B1079" s="1"/>
      <c r="D1079" s="7" t="s">
        <v>435</v>
      </c>
    </row>
    <row r="1080" spans="1:10">
      <c r="A1080" s="1"/>
      <c r="B1080" s="1"/>
    </row>
    <row r="1081" spans="1:10">
      <c r="A1081" s="7" t="s">
        <v>414</v>
      </c>
      <c r="D1081" s="7" t="s">
        <v>494</v>
      </c>
      <c r="E1081" s="7">
        <v>0.1</v>
      </c>
      <c r="F1081" s="7" t="s">
        <v>495</v>
      </c>
    </row>
    <row r="1082" spans="1:10">
      <c r="A1082" s="7" t="s">
        <v>415</v>
      </c>
    </row>
    <row r="1083" spans="1:10">
      <c r="A1083" s="7" t="s">
        <v>416</v>
      </c>
    </row>
    <row r="1084" spans="1:10">
      <c r="A1084" s="7" t="s">
        <v>417</v>
      </c>
    </row>
  </sheetData>
  <phoneticPr fontId="2"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190"/>
  <sheetViews>
    <sheetView tabSelected="1" zoomScale="120" zoomScaleNormal="120" workbookViewId="0">
      <pane ySplit="1" topLeftCell="A445" activePane="bottomLeft" state="frozen"/>
      <selection pane="bottomLeft" activeCell="E459" sqref="E459"/>
    </sheetView>
  </sheetViews>
  <sheetFormatPr defaultRowHeight="14.25" customHeight="1"/>
  <cols>
    <col min="1" max="1" width="7.375" style="106" customWidth="1"/>
    <col min="2" max="2" width="6.75" style="9" bestFit="1" customWidth="1"/>
    <col min="3" max="3" width="32.875" style="7" customWidth="1"/>
    <col min="4" max="4" width="7.875" style="187" customWidth="1"/>
    <col min="5" max="5" width="8.5" style="7" bestFit="1" customWidth="1"/>
    <col min="6" max="6" width="9.125" style="7" bestFit="1" customWidth="1"/>
    <col min="7" max="16384" width="9" style="7"/>
  </cols>
  <sheetData>
    <row r="1" spans="1:19" s="9" customFormat="1" ht="14.25" customHeight="1">
      <c r="A1" s="106" t="s">
        <v>2894</v>
      </c>
      <c r="B1" s="9" t="s">
        <v>1349</v>
      </c>
      <c r="C1" s="9" t="s">
        <v>1120</v>
      </c>
      <c r="D1" s="187" t="s">
        <v>1121</v>
      </c>
      <c r="E1" s="9" t="s">
        <v>1122</v>
      </c>
    </row>
    <row r="2" spans="1:19" s="4" customFormat="1" ht="14.25" customHeight="1">
      <c r="A2" s="113" t="s">
        <v>5995</v>
      </c>
      <c r="B2" s="9">
        <v>2.2999999999999998</v>
      </c>
      <c r="C2" s="1" t="s">
        <v>5994</v>
      </c>
      <c r="D2" s="188">
        <f>1*950</f>
        <v>950</v>
      </c>
      <c r="E2" s="108">
        <v>5.2631578947368418E-2</v>
      </c>
      <c r="F2" s="9"/>
      <c r="G2" s="7"/>
      <c r="H2" s="7"/>
      <c r="I2" s="7"/>
      <c r="J2" s="7"/>
      <c r="K2" s="7"/>
      <c r="L2" s="7"/>
      <c r="M2" s="7"/>
      <c r="N2" s="7"/>
      <c r="O2" s="7"/>
      <c r="P2" s="7"/>
      <c r="Q2" s="7"/>
      <c r="R2" s="7"/>
      <c r="S2" s="7"/>
    </row>
    <row r="3" spans="1:19" ht="14.25" customHeight="1">
      <c r="A3" s="113">
        <v>101.02</v>
      </c>
      <c r="B3" s="9">
        <v>2.6</v>
      </c>
      <c r="C3" s="1" t="s">
        <v>3347</v>
      </c>
      <c r="D3" s="188">
        <f>1*800</f>
        <v>800</v>
      </c>
      <c r="E3" s="108">
        <v>6.25E-2</v>
      </c>
      <c r="F3" s="9"/>
    </row>
    <row r="4" spans="1:19" ht="14.25" customHeight="1">
      <c r="A4" s="128">
        <v>101.03</v>
      </c>
      <c r="B4" s="9">
        <f>15.4/5</f>
        <v>3.08</v>
      </c>
      <c r="C4" s="1" t="s">
        <v>3348</v>
      </c>
      <c r="D4" s="188">
        <f>2*700</f>
        <v>1400</v>
      </c>
      <c r="E4" s="108">
        <v>7.1428571428571425E-2</v>
      </c>
      <c r="F4" s="9"/>
      <c r="S4" s="4"/>
    </row>
    <row r="5" spans="1:19" ht="14.25" customHeight="1">
      <c r="A5" s="113">
        <v>101.04</v>
      </c>
      <c r="B5" s="9">
        <v>4.9000000000000004</v>
      </c>
      <c r="C5" s="1" t="s">
        <v>3349</v>
      </c>
      <c r="D5" s="188">
        <f>2*450</f>
        <v>900</v>
      </c>
      <c r="E5" s="108">
        <v>0.1111111111111111</v>
      </c>
      <c r="F5" s="9"/>
    </row>
    <row r="6" spans="1:19" s="4" customFormat="1" ht="14.25" customHeight="1">
      <c r="A6" s="113">
        <v>101.05</v>
      </c>
      <c r="B6" s="9">
        <v>3.8</v>
      </c>
      <c r="C6" s="1" t="s">
        <v>3350</v>
      </c>
      <c r="D6" s="188">
        <f>3*550</f>
        <v>1650</v>
      </c>
      <c r="E6" s="108">
        <v>9.0909090909090912E-2</v>
      </c>
      <c r="F6" s="9"/>
      <c r="G6" s="7"/>
      <c r="H6" s="7"/>
      <c r="I6" s="7"/>
      <c r="J6" s="7"/>
      <c r="K6" s="7"/>
      <c r="L6" s="7"/>
      <c r="M6" s="7"/>
      <c r="N6" s="7"/>
      <c r="O6" s="7"/>
      <c r="P6" s="7"/>
      <c r="Q6" s="7"/>
      <c r="R6" s="7"/>
      <c r="S6" s="7"/>
    </row>
    <row r="7" spans="1:19" ht="14.25" customHeight="1">
      <c r="A7" s="113">
        <v>101.06</v>
      </c>
      <c r="B7" s="9">
        <v>4.7</v>
      </c>
      <c r="C7" s="121" t="s">
        <v>3351</v>
      </c>
      <c r="D7" s="188">
        <f>12*450</f>
        <v>5400</v>
      </c>
      <c r="E7" s="108">
        <v>0.1111111111111111</v>
      </c>
      <c r="F7" s="9"/>
    </row>
    <row r="8" spans="1:19" s="4" customFormat="1" ht="14.25" customHeight="1">
      <c r="A8" s="113">
        <v>101.07</v>
      </c>
      <c r="B8" s="65">
        <v>4.5</v>
      </c>
      <c r="C8" s="1" t="s">
        <v>3352</v>
      </c>
      <c r="D8" s="188">
        <f>1*470</f>
        <v>470</v>
      </c>
      <c r="E8" s="108">
        <v>0.10638297872340426</v>
      </c>
      <c r="F8" s="9"/>
      <c r="G8" s="7"/>
      <c r="H8" s="7"/>
      <c r="I8" s="7"/>
      <c r="J8" s="7"/>
      <c r="K8" s="7"/>
      <c r="L8" s="7"/>
      <c r="M8" s="7"/>
      <c r="N8" s="7"/>
      <c r="O8" s="7"/>
      <c r="P8" s="7"/>
      <c r="Q8" s="7"/>
      <c r="R8" s="7"/>
    </row>
    <row r="9" spans="1:19" ht="14.25" customHeight="1">
      <c r="A9" s="128">
        <v>101.08</v>
      </c>
      <c r="B9" s="9">
        <v>7</v>
      </c>
      <c r="C9" s="121" t="s">
        <v>3353</v>
      </c>
      <c r="D9" s="188">
        <f>38*300</f>
        <v>11400</v>
      </c>
      <c r="E9" s="108">
        <v>0.16666666666666666</v>
      </c>
      <c r="F9" s="9"/>
    </row>
    <row r="10" spans="1:19" s="4" customFormat="1" ht="14.25" customHeight="1">
      <c r="A10" s="113" t="s">
        <v>5997</v>
      </c>
      <c r="B10" s="9">
        <v>8.8000000000000007</v>
      </c>
      <c r="C10" s="1" t="s">
        <v>5998</v>
      </c>
      <c r="D10" s="188">
        <f>7*250</f>
        <v>1750</v>
      </c>
      <c r="E10" s="108">
        <v>0.2</v>
      </c>
      <c r="F10" s="9"/>
      <c r="G10" s="7"/>
      <c r="H10" s="7"/>
      <c r="I10" s="7"/>
      <c r="J10" s="7"/>
      <c r="K10" s="7"/>
      <c r="L10" s="7"/>
      <c r="M10" s="7"/>
      <c r="N10" s="7"/>
      <c r="O10" s="7"/>
      <c r="P10" s="7"/>
      <c r="Q10" s="7"/>
      <c r="R10" s="7"/>
    </row>
    <row r="11" spans="1:19" ht="14.25" customHeight="1">
      <c r="A11" s="116" t="s">
        <v>5996</v>
      </c>
      <c r="B11" s="9">
        <v>10.199999999999999</v>
      </c>
      <c r="C11" s="1" t="s">
        <v>3355</v>
      </c>
      <c r="D11" s="188">
        <f>9*190</f>
        <v>1710</v>
      </c>
      <c r="E11" s="108">
        <v>0.26315789473684209</v>
      </c>
      <c r="F11" s="9"/>
    </row>
    <row r="12" spans="1:19" s="4" customFormat="1" ht="14.25" customHeight="1">
      <c r="A12" s="128">
        <v>101.11</v>
      </c>
      <c r="B12" s="9">
        <v>13.5</v>
      </c>
      <c r="C12" s="121" t="s">
        <v>3356</v>
      </c>
      <c r="D12" s="188">
        <f>24*160</f>
        <v>3840</v>
      </c>
      <c r="E12" s="108">
        <v>0.3125</v>
      </c>
      <c r="F12" s="9"/>
      <c r="G12" s="7"/>
      <c r="H12" s="7"/>
      <c r="I12" s="7"/>
      <c r="J12" s="7"/>
      <c r="K12" s="7"/>
      <c r="L12" s="7"/>
      <c r="M12" s="7"/>
      <c r="N12" s="7"/>
      <c r="O12" s="7"/>
      <c r="P12" s="7"/>
      <c r="Q12" s="7"/>
      <c r="R12" s="7"/>
      <c r="S12" s="7"/>
    </row>
    <row r="13" spans="1:19" ht="14.25" customHeight="1">
      <c r="A13" s="113">
        <v>102.01</v>
      </c>
      <c r="B13" s="9">
        <v>10.8</v>
      </c>
      <c r="C13" s="1" t="s">
        <v>3341</v>
      </c>
      <c r="D13" s="188">
        <f>1*354</f>
        <v>354</v>
      </c>
      <c r="E13" s="108">
        <f t="shared" ref="E13:E19" si="0">65/D13</f>
        <v>0.18361581920903955</v>
      </c>
      <c r="S13" s="4"/>
    </row>
    <row r="14" spans="1:19" s="4" customFormat="1" ht="14.25" customHeight="1">
      <c r="A14" s="113">
        <v>102.02</v>
      </c>
      <c r="B14" s="9">
        <v>12.8</v>
      </c>
      <c r="C14" s="1" t="s">
        <v>3342</v>
      </c>
      <c r="D14" s="188">
        <f>1*283</f>
        <v>283</v>
      </c>
      <c r="E14" s="108">
        <f t="shared" si="0"/>
        <v>0.22968197879858657</v>
      </c>
      <c r="F14" s="7"/>
      <c r="G14" s="7"/>
      <c r="H14" s="7"/>
      <c r="I14" s="7"/>
      <c r="J14" s="7"/>
      <c r="K14" s="7"/>
      <c r="L14" s="7"/>
      <c r="M14" s="7"/>
      <c r="N14" s="7"/>
      <c r="O14" s="7"/>
      <c r="P14" s="7"/>
      <c r="Q14" s="7"/>
      <c r="R14" s="7"/>
      <c r="S14" s="7"/>
    </row>
    <row r="15" spans="1:19" ht="14.25" customHeight="1">
      <c r="A15" s="113">
        <v>102.03</v>
      </c>
      <c r="B15" s="9">
        <v>9.3000000000000007</v>
      </c>
      <c r="C15" s="1" t="s">
        <v>3343</v>
      </c>
      <c r="D15" s="188">
        <f>1*383</f>
        <v>383</v>
      </c>
      <c r="E15" s="108">
        <f t="shared" si="0"/>
        <v>0.16971279373368145</v>
      </c>
      <c r="S15" s="4"/>
    </row>
    <row r="16" spans="1:19" ht="14.25" customHeight="1">
      <c r="A16" s="113">
        <v>102.04</v>
      </c>
      <c r="B16" s="9">
        <v>5.9</v>
      </c>
      <c r="C16" s="1" t="s">
        <v>4167</v>
      </c>
      <c r="D16" s="188">
        <f>1*650</f>
        <v>650</v>
      </c>
      <c r="E16" s="108">
        <f t="shared" si="0"/>
        <v>0.1</v>
      </c>
    </row>
    <row r="17" spans="1:19" ht="14.25" customHeight="1">
      <c r="A17" s="113">
        <v>102.05</v>
      </c>
      <c r="B17" s="9">
        <v>15.1</v>
      </c>
      <c r="C17" s="1" t="s">
        <v>3344</v>
      </c>
      <c r="D17" s="188">
        <f>1*250</f>
        <v>250</v>
      </c>
      <c r="E17" s="108">
        <f t="shared" si="0"/>
        <v>0.26</v>
      </c>
      <c r="S17" s="4"/>
    </row>
    <row r="18" spans="1:19" ht="14.25" customHeight="1">
      <c r="A18" s="113">
        <v>102.06</v>
      </c>
      <c r="B18" s="9">
        <v>4.0999999999999996</v>
      </c>
      <c r="C18" s="178" t="s">
        <v>4168</v>
      </c>
      <c r="D18" s="188">
        <f>1*880</f>
        <v>880</v>
      </c>
      <c r="E18" s="108">
        <f t="shared" si="0"/>
        <v>7.3863636363636367E-2</v>
      </c>
    </row>
    <row r="19" spans="1:19" ht="14.25" customHeight="1">
      <c r="A19" s="113">
        <v>102.07</v>
      </c>
      <c r="B19" s="9">
        <v>25.8</v>
      </c>
      <c r="C19" s="1" t="s">
        <v>3345</v>
      </c>
      <c r="D19" s="188">
        <f>1*145</f>
        <v>145</v>
      </c>
      <c r="E19" s="108">
        <f t="shared" si="0"/>
        <v>0.44827586206896552</v>
      </c>
      <c r="F19" s="9"/>
    </row>
    <row r="20" spans="1:19" ht="14.25" customHeight="1">
      <c r="A20" s="128">
        <v>103.01</v>
      </c>
      <c r="B20" s="9">
        <v>0.8</v>
      </c>
      <c r="C20" s="7" t="s">
        <v>1758</v>
      </c>
      <c r="D20" s="187">
        <v>2000</v>
      </c>
      <c r="E20" s="7">
        <v>4.8000000000000001E-2</v>
      </c>
    </row>
    <row r="21" spans="1:19" s="4" customFormat="1" ht="14.25" customHeight="1">
      <c r="A21" s="128">
        <v>103.02</v>
      </c>
      <c r="B21" s="9">
        <v>1</v>
      </c>
      <c r="C21" s="7" t="s">
        <v>1759</v>
      </c>
      <c r="D21" s="187">
        <v>2000</v>
      </c>
      <c r="E21" s="7">
        <v>5.2999999999999999E-2</v>
      </c>
      <c r="F21" s="7"/>
      <c r="G21" s="7"/>
      <c r="H21" s="7"/>
      <c r="I21" s="7"/>
      <c r="J21" s="7"/>
      <c r="K21" s="7"/>
      <c r="L21" s="7"/>
      <c r="M21" s="7"/>
      <c r="N21" s="7"/>
      <c r="O21" s="7"/>
      <c r="P21" s="7"/>
      <c r="Q21" s="7"/>
      <c r="R21" s="7"/>
      <c r="S21" s="7"/>
    </row>
    <row r="22" spans="1:19" ht="14.25" customHeight="1">
      <c r="A22" s="128">
        <v>103.03</v>
      </c>
      <c r="B22" s="9">
        <v>1.5</v>
      </c>
      <c r="C22" s="7" t="s">
        <v>1760</v>
      </c>
      <c r="D22" s="187">
        <v>2000</v>
      </c>
      <c r="E22" s="7">
        <v>0.06</v>
      </c>
    </row>
    <row r="23" spans="1:19" ht="14.25" customHeight="1">
      <c r="A23" s="128">
        <v>103.04</v>
      </c>
      <c r="B23" s="9">
        <v>1</v>
      </c>
      <c r="C23" s="7" t="s">
        <v>2895</v>
      </c>
      <c r="D23" s="187">
        <v>2000</v>
      </c>
      <c r="E23" s="7">
        <v>0.08</v>
      </c>
    </row>
    <row r="24" spans="1:19" ht="14.25" customHeight="1">
      <c r="A24" s="128">
        <v>103.05</v>
      </c>
      <c r="B24" s="9">
        <v>1.8</v>
      </c>
      <c r="C24" s="7" t="s">
        <v>2896</v>
      </c>
      <c r="D24" s="187">
        <v>2000</v>
      </c>
      <c r="E24" s="7">
        <v>0.08</v>
      </c>
      <c r="S24" s="4"/>
    </row>
    <row r="25" spans="1:19" ht="14.25" customHeight="1">
      <c r="A25" s="128" t="s">
        <v>4120</v>
      </c>
      <c r="B25" s="9">
        <v>2.5</v>
      </c>
      <c r="C25" s="7" t="s">
        <v>2897</v>
      </c>
      <c r="D25" s="187">
        <v>2000</v>
      </c>
      <c r="E25" s="7">
        <v>0.08</v>
      </c>
    </row>
    <row r="26" spans="1:19" ht="14.25" customHeight="1">
      <c r="A26" s="106">
        <v>103.07</v>
      </c>
      <c r="B26" s="9">
        <v>1.7</v>
      </c>
      <c r="C26" s="7" t="s">
        <v>3041</v>
      </c>
      <c r="D26" s="187">
        <v>2000</v>
      </c>
      <c r="E26" s="7">
        <v>0.08</v>
      </c>
    </row>
    <row r="27" spans="1:19" ht="14.25" customHeight="1">
      <c r="A27" s="113">
        <v>103.09</v>
      </c>
      <c r="B27" s="9">
        <v>1.4</v>
      </c>
      <c r="C27" s="179" t="s">
        <v>4169</v>
      </c>
      <c r="D27" s="188">
        <v>1000</v>
      </c>
      <c r="E27" s="6">
        <v>0.05</v>
      </c>
    </row>
    <row r="28" spans="1:19" s="4" customFormat="1" ht="14.25" customHeight="1">
      <c r="A28" s="116" t="s">
        <v>4114</v>
      </c>
      <c r="B28" s="9">
        <v>1.6</v>
      </c>
      <c r="C28" s="1" t="s">
        <v>1789</v>
      </c>
      <c r="D28" s="188">
        <v>500</v>
      </c>
      <c r="E28" s="6">
        <v>0.05</v>
      </c>
      <c r="F28" s="7"/>
      <c r="G28" s="7"/>
      <c r="H28" s="7"/>
      <c r="I28" s="7"/>
      <c r="J28" s="7"/>
      <c r="K28" s="7"/>
      <c r="L28" s="7"/>
      <c r="M28" s="7"/>
      <c r="N28" s="7"/>
      <c r="O28" s="7"/>
      <c r="P28" s="7"/>
      <c r="Q28" s="7"/>
      <c r="R28" s="7"/>
    </row>
    <row r="29" spans="1:19" ht="14.25" customHeight="1">
      <c r="A29" s="116" t="s">
        <v>2976</v>
      </c>
      <c r="B29" s="9">
        <f>3.5/2</f>
        <v>1.75</v>
      </c>
      <c r="C29" s="1" t="s">
        <v>1794</v>
      </c>
      <c r="D29" s="188">
        <v>500</v>
      </c>
      <c r="E29" s="6">
        <v>0.06</v>
      </c>
    </row>
    <row r="30" spans="1:19" ht="14.25" customHeight="1">
      <c r="A30" s="116" t="s">
        <v>2977</v>
      </c>
      <c r="B30" s="9">
        <v>2.1</v>
      </c>
      <c r="C30" s="1" t="s">
        <v>1782</v>
      </c>
      <c r="D30" s="188">
        <v>500</v>
      </c>
      <c r="E30" s="6">
        <v>0.06</v>
      </c>
    </row>
    <row r="31" spans="1:19" ht="14.25" customHeight="1">
      <c r="A31" s="116" t="s">
        <v>2978</v>
      </c>
      <c r="B31" s="9">
        <f>4.5/2</f>
        <v>2.25</v>
      </c>
      <c r="C31" s="1" t="s">
        <v>1781</v>
      </c>
      <c r="D31" s="188">
        <v>500</v>
      </c>
      <c r="E31" s="6">
        <v>0.06</v>
      </c>
    </row>
    <row r="32" spans="1:19" ht="14.25" customHeight="1">
      <c r="A32" s="116" t="s">
        <v>2979</v>
      </c>
      <c r="B32" s="9">
        <v>3.1</v>
      </c>
      <c r="C32" s="1" t="s">
        <v>1788</v>
      </c>
      <c r="D32" s="188">
        <v>500</v>
      </c>
      <c r="E32" s="6">
        <v>7.0000000000000007E-2</v>
      </c>
    </row>
    <row r="33" spans="1:19" ht="14.25" customHeight="1">
      <c r="A33" s="116" t="s">
        <v>2980</v>
      </c>
      <c r="B33" s="9">
        <v>3.9</v>
      </c>
      <c r="C33" s="1" t="s">
        <v>1791</v>
      </c>
      <c r="D33" s="188">
        <v>500</v>
      </c>
      <c r="E33" s="6">
        <v>0.1</v>
      </c>
    </row>
    <row r="34" spans="1:19" ht="14.25" customHeight="1">
      <c r="A34" s="116" t="s">
        <v>2981</v>
      </c>
      <c r="B34" s="9">
        <v>2.5</v>
      </c>
      <c r="C34" s="1" t="s">
        <v>1795</v>
      </c>
      <c r="D34" s="188">
        <v>500</v>
      </c>
      <c r="E34" s="6">
        <v>7.0000000000000007E-2</v>
      </c>
      <c r="S34" s="4"/>
    </row>
    <row r="35" spans="1:19" ht="14.25" customHeight="1">
      <c r="A35" s="116" t="s">
        <v>4129</v>
      </c>
      <c r="B35" s="9">
        <v>3.4</v>
      </c>
      <c r="C35" s="1" t="s">
        <v>1793</v>
      </c>
      <c r="D35" s="188">
        <v>500</v>
      </c>
      <c r="E35" s="6">
        <v>0.08</v>
      </c>
    </row>
    <row r="36" spans="1:19" ht="14.25" customHeight="1">
      <c r="A36" s="116" t="s">
        <v>2982</v>
      </c>
      <c r="B36" s="9">
        <v>4.7</v>
      </c>
      <c r="C36" s="1" t="s">
        <v>1790</v>
      </c>
      <c r="D36" s="188">
        <v>500</v>
      </c>
      <c r="E36" s="6">
        <v>0.12</v>
      </c>
    </row>
    <row r="37" spans="1:19" ht="14.25" customHeight="1">
      <c r="A37" s="116" t="s">
        <v>4128</v>
      </c>
      <c r="B37" s="9">
        <v>6.3</v>
      </c>
      <c r="C37" s="1" t="s">
        <v>1784</v>
      </c>
      <c r="D37" s="188">
        <v>50</v>
      </c>
      <c r="E37" s="6">
        <v>0.15</v>
      </c>
    </row>
    <row r="38" spans="1:19" ht="14.25" customHeight="1">
      <c r="A38" s="116" t="s">
        <v>2983</v>
      </c>
      <c r="B38" s="9">
        <v>6.2</v>
      </c>
      <c r="C38" s="1" t="s">
        <v>1783</v>
      </c>
      <c r="D38" s="188">
        <v>50</v>
      </c>
      <c r="E38" s="6">
        <v>0.18</v>
      </c>
    </row>
    <row r="39" spans="1:19" ht="14.25" customHeight="1">
      <c r="A39" s="116" t="s">
        <v>4113</v>
      </c>
      <c r="B39" s="9">
        <v>6.6</v>
      </c>
      <c r="C39" s="1" t="s">
        <v>1787</v>
      </c>
      <c r="D39" s="188">
        <v>50</v>
      </c>
      <c r="E39" s="6">
        <v>0.2</v>
      </c>
    </row>
    <row r="40" spans="1:19" ht="14.25" customHeight="1">
      <c r="A40" s="116" t="s">
        <v>2984</v>
      </c>
      <c r="B40" s="9">
        <v>8.4</v>
      </c>
      <c r="C40" s="1" t="s">
        <v>1785</v>
      </c>
      <c r="D40" s="188">
        <v>50</v>
      </c>
      <c r="E40" s="6">
        <v>0.24</v>
      </c>
    </row>
    <row r="41" spans="1:19" ht="14.25" customHeight="1">
      <c r="A41" s="116" t="s">
        <v>2985</v>
      </c>
      <c r="B41" s="9">
        <v>11</v>
      </c>
      <c r="C41" s="1" t="s">
        <v>1780</v>
      </c>
      <c r="D41" s="188">
        <v>50</v>
      </c>
      <c r="E41" s="6">
        <v>0.26</v>
      </c>
      <c r="S41" s="4"/>
    </row>
    <row r="42" spans="1:19" ht="14.25" customHeight="1">
      <c r="A42" s="116" t="s">
        <v>4119</v>
      </c>
      <c r="B42" s="9">
        <v>12</v>
      </c>
      <c r="C42" s="1" t="s">
        <v>1786</v>
      </c>
      <c r="D42" s="188">
        <v>50</v>
      </c>
      <c r="E42" s="6">
        <v>0.32</v>
      </c>
    </row>
    <row r="43" spans="1:19" ht="14.25" customHeight="1">
      <c r="A43" s="115">
        <v>104.01</v>
      </c>
      <c r="B43" s="9">
        <v>2.5</v>
      </c>
      <c r="C43" s="1" t="s">
        <v>2990</v>
      </c>
      <c r="D43" s="188">
        <v>100</v>
      </c>
      <c r="E43" s="6">
        <v>0.08</v>
      </c>
    </row>
    <row r="44" spans="1:19" ht="14.25" customHeight="1">
      <c r="A44" s="115">
        <v>104.02</v>
      </c>
      <c r="B44" s="9">
        <v>3.1</v>
      </c>
      <c r="C44" s="1" t="s">
        <v>2991</v>
      </c>
      <c r="D44" s="188">
        <v>100</v>
      </c>
      <c r="E44" s="6">
        <v>0.13</v>
      </c>
    </row>
    <row r="45" spans="1:19" ht="14.25" customHeight="1">
      <c r="A45" s="115">
        <v>104.03</v>
      </c>
      <c r="B45" s="9">
        <v>5.8</v>
      </c>
      <c r="C45" s="1" t="s">
        <v>2992</v>
      </c>
      <c r="D45" s="188">
        <v>100</v>
      </c>
      <c r="E45" s="6">
        <v>0.12</v>
      </c>
    </row>
    <row r="46" spans="1:19" ht="14.25" customHeight="1">
      <c r="A46" s="115">
        <v>104.04</v>
      </c>
      <c r="B46" s="9">
        <v>7.5</v>
      </c>
      <c r="C46" s="1" t="s">
        <v>2993</v>
      </c>
      <c r="D46" s="188">
        <v>100</v>
      </c>
      <c r="E46" s="6">
        <v>0.14000000000000001</v>
      </c>
    </row>
    <row r="47" spans="1:19" ht="14.25" customHeight="1">
      <c r="A47" s="115">
        <v>104.05</v>
      </c>
      <c r="B47" s="9">
        <f>49.7-41</f>
        <v>8.7000000000000028</v>
      </c>
      <c r="C47" s="1" t="s">
        <v>2994</v>
      </c>
      <c r="D47" s="188">
        <v>100</v>
      </c>
      <c r="E47" s="6">
        <v>0.19</v>
      </c>
      <c r="S47" s="4"/>
    </row>
    <row r="48" spans="1:19" ht="14.25" customHeight="1">
      <c r="A48" s="115">
        <v>104.06</v>
      </c>
      <c r="B48" s="9">
        <v>9.6</v>
      </c>
      <c r="C48" s="1" t="s">
        <v>2995</v>
      </c>
      <c r="D48" s="188">
        <v>100</v>
      </c>
      <c r="E48" s="6">
        <v>0.22</v>
      </c>
    </row>
    <row r="49" spans="1:5" ht="14.25" customHeight="1">
      <c r="A49" s="115">
        <v>104.07</v>
      </c>
      <c r="B49" s="9">
        <v>11.3</v>
      </c>
      <c r="C49" s="1" t="s">
        <v>2996</v>
      </c>
      <c r="D49" s="188">
        <v>100</v>
      </c>
      <c r="E49" s="6">
        <v>0.33</v>
      </c>
    </row>
    <row r="50" spans="1:5" ht="14.25" customHeight="1">
      <c r="A50" s="115">
        <v>104.08</v>
      </c>
      <c r="B50" s="9">
        <v>20.7</v>
      </c>
      <c r="C50" s="1" t="s">
        <v>2997</v>
      </c>
      <c r="D50" s="188">
        <v>100</v>
      </c>
      <c r="E50" s="6">
        <v>0.47</v>
      </c>
    </row>
    <row r="51" spans="1:5" ht="14.25" customHeight="1">
      <c r="A51" s="115">
        <v>104.09</v>
      </c>
      <c r="B51" s="9">
        <v>37</v>
      </c>
      <c r="C51" s="1" t="s">
        <v>2998</v>
      </c>
      <c r="D51" s="188">
        <v>50</v>
      </c>
      <c r="E51" s="6">
        <v>0.75</v>
      </c>
    </row>
    <row r="52" spans="1:5" ht="14.25" customHeight="1">
      <c r="A52" s="117" t="s">
        <v>2999</v>
      </c>
      <c r="B52" s="9">
        <v>46.6</v>
      </c>
      <c r="C52" s="1" t="s">
        <v>3000</v>
      </c>
      <c r="D52" s="188">
        <v>50</v>
      </c>
      <c r="E52" s="6">
        <v>0.96</v>
      </c>
    </row>
    <row r="53" spans="1:5" ht="14.25" customHeight="1">
      <c r="A53" s="115">
        <v>105.01</v>
      </c>
      <c r="B53" s="9">
        <f>70/1000</f>
        <v>7.0000000000000007E-2</v>
      </c>
      <c r="C53" s="7" t="s">
        <v>1707</v>
      </c>
      <c r="D53" s="187">
        <f>10*1000</f>
        <v>10000</v>
      </c>
      <c r="E53" s="107">
        <f>6/1000</f>
        <v>6.0000000000000001E-3</v>
      </c>
    </row>
    <row r="54" spans="1:5" ht="14.25" customHeight="1">
      <c r="A54" s="115">
        <v>105.02</v>
      </c>
      <c r="B54" s="110">
        <f>118/1000</f>
        <v>0.11799999999999999</v>
      </c>
      <c r="C54" s="7" t="s">
        <v>1706</v>
      </c>
      <c r="D54" s="187">
        <f>10*1000</f>
        <v>10000</v>
      </c>
      <c r="E54" s="107">
        <f>7/1000</f>
        <v>7.0000000000000001E-3</v>
      </c>
    </row>
    <row r="55" spans="1:5" ht="14.25" customHeight="1">
      <c r="A55" s="115">
        <v>105.03</v>
      </c>
      <c r="B55" s="110">
        <f>282/2000</f>
        <v>0.14099999999999999</v>
      </c>
      <c r="C55" s="7" t="s">
        <v>1711</v>
      </c>
      <c r="D55" s="187">
        <f>2*1000</f>
        <v>2000</v>
      </c>
      <c r="E55" s="107">
        <f>9/1000</f>
        <v>8.9999999999999993E-3</v>
      </c>
    </row>
    <row r="56" spans="1:5" ht="14.25" customHeight="1">
      <c r="A56" s="115">
        <v>105.04</v>
      </c>
      <c r="B56" s="110">
        <f>466/1000</f>
        <v>0.46600000000000003</v>
      </c>
      <c r="C56" s="7" t="s">
        <v>1710</v>
      </c>
      <c r="D56" s="187">
        <f>15*100</f>
        <v>1500</v>
      </c>
      <c r="E56" s="107">
        <f>2/100</f>
        <v>0.02</v>
      </c>
    </row>
    <row r="57" spans="1:5" ht="14.25" customHeight="1">
      <c r="A57" s="115">
        <v>105.05</v>
      </c>
      <c r="B57" s="110">
        <f>290/1000</f>
        <v>0.28999999999999998</v>
      </c>
      <c r="C57" s="7" t="s">
        <v>1708</v>
      </c>
      <c r="D57" s="187">
        <f>15*100</f>
        <v>1500</v>
      </c>
      <c r="E57" s="107">
        <f>2.5/100</f>
        <v>2.5000000000000001E-2</v>
      </c>
    </row>
    <row r="58" spans="1:5" ht="14.25" customHeight="1">
      <c r="A58" s="115">
        <v>105.06</v>
      </c>
      <c r="B58" s="110">
        <f>360/1000</f>
        <v>0.36</v>
      </c>
      <c r="C58" s="7" t="s">
        <v>1709</v>
      </c>
      <c r="D58" s="187">
        <f>10*100</f>
        <v>1000</v>
      </c>
      <c r="E58" s="107">
        <f>1.5/100</f>
        <v>1.4999999999999999E-2</v>
      </c>
    </row>
    <row r="59" spans="1:5" ht="14.25" customHeight="1">
      <c r="A59" s="115">
        <v>105.07</v>
      </c>
      <c r="B59" s="110">
        <f>169.4-41.1</f>
        <v>128.30000000000001</v>
      </c>
      <c r="C59" s="7" t="s">
        <v>1729</v>
      </c>
      <c r="D59" s="187">
        <f>10*200</f>
        <v>2000</v>
      </c>
      <c r="E59" s="109">
        <f>3.95/200</f>
        <v>1.975E-2</v>
      </c>
    </row>
    <row r="60" spans="1:5" ht="14.25" customHeight="1">
      <c r="A60" s="119" t="s">
        <v>2764</v>
      </c>
      <c r="B60" s="110">
        <v>0.24</v>
      </c>
      <c r="C60" s="7" t="s">
        <v>1689</v>
      </c>
      <c r="D60" s="187">
        <f>50*100</f>
        <v>5000</v>
      </c>
      <c r="E60" s="107">
        <f>0.77/100</f>
        <v>7.7000000000000002E-3</v>
      </c>
    </row>
    <row r="61" spans="1:5" ht="14.25" customHeight="1">
      <c r="A61" s="119">
        <v>105.09</v>
      </c>
      <c r="B61" s="110">
        <v>0.432</v>
      </c>
      <c r="C61" s="7" t="s">
        <v>1696</v>
      </c>
      <c r="D61" s="187">
        <f>50*100</f>
        <v>5000</v>
      </c>
      <c r="E61" s="107">
        <f>1.05/100</f>
        <v>1.0500000000000001E-2</v>
      </c>
    </row>
    <row r="62" spans="1:5" ht="14.25" customHeight="1">
      <c r="A62" s="120" t="s">
        <v>2952</v>
      </c>
      <c r="B62" s="110">
        <v>0.624</v>
      </c>
      <c r="C62" s="7" t="s">
        <v>1691</v>
      </c>
      <c r="D62" s="187">
        <f>30*100</f>
        <v>3000</v>
      </c>
      <c r="E62" s="107">
        <f>1.41/100</f>
        <v>1.41E-2</v>
      </c>
    </row>
    <row r="63" spans="1:5" ht="14.25" customHeight="1">
      <c r="A63" s="120" t="s">
        <v>2953</v>
      </c>
      <c r="B63" s="125">
        <f>313/500</f>
        <v>0.626</v>
      </c>
      <c r="C63" s="7" t="s">
        <v>1694</v>
      </c>
      <c r="D63" s="187">
        <f>50*100</f>
        <v>5000</v>
      </c>
      <c r="E63" s="107">
        <f>1.45/100</f>
        <v>1.4499999999999999E-2</v>
      </c>
    </row>
    <row r="64" spans="1:5" ht="14.25" customHeight="1">
      <c r="A64" s="120" t="s">
        <v>2954</v>
      </c>
      <c r="B64" s="125">
        <f>5.7/5</f>
        <v>1.1400000000000001</v>
      </c>
      <c r="C64" s="7" t="s">
        <v>1700</v>
      </c>
      <c r="D64" s="187">
        <f>30*100</f>
        <v>3000</v>
      </c>
      <c r="E64" s="107">
        <f>2.09/100</f>
        <v>2.0899999999999998E-2</v>
      </c>
    </row>
    <row r="65" spans="1:19" ht="14.25" customHeight="1">
      <c r="A65" s="120" t="s">
        <v>2955</v>
      </c>
      <c r="B65" s="125">
        <f>6/5</f>
        <v>1.2</v>
      </c>
      <c r="C65" s="105" t="s">
        <v>1704</v>
      </c>
      <c r="D65" s="187">
        <f>10*100</f>
        <v>1000</v>
      </c>
      <c r="E65" s="107">
        <f>2.44/100</f>
        <v>2.4399999999999998E-2</v>
      </c>
    </row>
    <row r="66" spans="1:19" ht="14.25" customHeight="1">
      <c r="A66" s="120" t="s">
        <v>2956</v>
      </c>
      <c r="B66" s="110">
        <v>1.51</v>
      </c>
      <c r="C66" s="7" t="s">
        <v>1697</v>
      </c>
      <c r="D66" s="187">
        <f>7*100</f>
        <v>700</v>
      </c>
      <c r="E66" s="107">
        <f>2.94/100</f>
        <v>2.9399999999999999E-2</v>
      </c>
    </row>
    <row r="67" spans="1:19" ht="14.25" customHeight="1">
      <c r="A67" s="120" t="s">
        <v>2957</v>
      </c>
      <c r="B67" s="125">
        <f>18.1/10</f>
        <v>1.81</v>
      </c>
      <c r="C67" s="7" t="s">
        <v>1690</v>
      </c>
      <c r="D67" s="189">
        <f>20*100-30</f>
        <v>1970</v>
      </c>
      <c r="E67" s="132">
        <f>3.39/100/1970*2000</f>
        <v>3.4416243654822334E-2</v>
      </c>
    </row>
    <row r="68" spans="1:19" ht="14.25" customHeight="1">
      <c r="A68" s="120" t="s">
        <v>2958</v>
      </c>
      <c r="B68" s="110">
        <v>2.3519999999999999</v>
      </c>
      <c r="C68" s="7" t="s">
        <v>1698</v>
      </c>
      <c r="D68" s="187">
        <f>5*100</f>
        <v>500</v>
      </c>
      <c r="E68" s="107">
        <f>4.25/100</f>
        <v>4.2500000000000003E-2</v>
      </c>
    </row>
    <row r="69" spans="1:19" ht="14.25" customHeight="1">
      <c r="A69" s="120" t="s">
        <v>3147</v>
      </c>
      <c r="B69" s="110">
        <v>2.16</v>
      </c>
      <c r="C69" s="7" t="s">
        <v>1703</v>
      </c>
      <c r="D69" s="187">
        <f>10*100</f>
        <v>1000</v>
      </c>
      <c r="E69" s="107">
        <f>3.97/100</f>
        <v>3.9699999999999999E-2</v>
      </c>
    </row>
    <row r="70" spans="1:19" ht="14.25" customHeight="1">
      <c r="A70" s="120" t="s">
        <v>2959</v>
      </c>
      <c r="B70" s="110">
        <v>3.5640000000000001</v>
      </c>
      <c r="C70" s="7" t="s">
        <v>1702</v>
      </c>
      <c r="D70" s="187">
        <f>4*100</f>
        <v>400</v>
      </c>
      <c r="E70" s="107">
        <f>6.16/100</f>
        <v>6.1600000000000002E-2</v>
      </c>
    </row>
    <row r="71" spans="1:19" ht="14.25" customHeight="1">
      <c r="A71" s="120" t="s">
        <v>2960</v>
      </c>
      <c r="B71" s="110">
        <v>3.6</v>
      </c>
      <c r="C71" s="7" t="s">
        <v>1695</v>
      </c>
      <c r="D71" s="187">
        <f>4*100</f>
        <v>400</v>
      </c>
      <c r="E71" s="107">
        <f>6.02/100</f>
        <v>6.0199999999999997E-2</v>
      </c>
    </row>
    <row r="72" spans="1:19" ht="14.25" customHeight="1">
      <c r="A72" s="120" t="s">
        <v>2961</v>
      </c>
      <c r="B72" s="110">
        <v>4.08</v>
      </c>
      <c r="C72" s="7" t="s">
        <v>1701</v>
      </c>
      <c r="D72" s="187">
        <f>3*100</f>
        <v>300</v>
      </c>
      <c r="E72" s="107">
        <f>6.77/100</f>
        <v>6.7699999999999996E-2</v>
      </c>
    </row>
    <row r="73" spans="1:19" ht="14.25" customHeight="1">
      <c r="A73" s="120" t="s">
        <v>2962</v>
      </c>
      <c r="B73" s="110">
        <v>4.968</v>
      </c>
      <c r="C73" s="7" t="s">
        <v>1688</v>
      </c>
      <c r="D73" s="187">
        <f>3*100</f>
        <v>300</v>
      </c>
      <c r="E73" s="107">
        <f>8.4/100</f>
        <v>8.4000000000000005E-2</v>
      </c>
    </row>
    <row r="74" spans="1:19" ht="14.25" customHeight="1">
      <c r="A74" s="120" t="s">
        <v>2963</v>
      </c>
      <c r="B74" s="125">
        <f>25.8/5</f>
        <v>5.16</v>
      </c>
      <c r="C74" s="7" t="s">
        <v>1699</v>
      </c>
      <c r="D74" s="187">
        <f>3*100</f>
        <v>300</v>
      </c>
      <c r="E74" s="107">
        <f>8.9/100</f>
        <v>8.900000000000001E-2</v>
      </c>
    </row>
    <row r="75" spans="1:19" ht="14.25" customHeight="1">
      <c r="A75" s="120" t="s">
        <v>2964</v>
      </c>
      <c r="B75" s="110">
        <v>7.56</v>
      </c>
      <c r="C75" s="7" t="s">
        <v>1692</v>
      </c>
      <c r="D75" s="187">
        <f>2*100</f>
        <v>200</v>
      </c>
      <c r="E75" s="107">
        <f>12.39/100</f>
        <v>0.12390000000000001</v>
      </c>
    </row>
    <row r="76" spans="1:19" ht="14.25" customHeight="1">
      <c r="A76" s="120" t="s">
        <v>2965</v>
      </c>
      <c r="B76" s="110">
        <v>15.36</v>
      </c>
      <c r="C76" s="7" t="s">
        <v>1693</v>
      </c>
      <c r="D76" s="187">
        <f>1*100</f>
        <v>100</v>
      </c>
      <c r="E76" s="107">
        <f>24.61/100</f>
        <v>0.24609999999999999</v>
      </c>
    </row>
    <row r="77" spans="1:19" ht="14.25" customHeight="1">
      <c r="A77" s="115">
        <v>106.01</v>
      </c>
      <c r="B77" s="110">
        <f>294.7/1000</f>
        <v>0.29469999999999996</v>
      </c>
      <c r="C77" s="7" t="s">
        <v>1722</v>
      </c>
      <c r="D77" s="187">
        <f>20*100</f>
        <v>2000</v>
      </c>
      <c r="E77" s="107">
        <f>0.98/100</f>
        <v>9.7999999999999997E-3</v>
      </c>
    </row>
    <row r="78" spans="1:19" ht="14.25" customHeight="1">
      <c r="A78" s="115">
        <v>106.02</v>
      </c>
      <c r="B78" s="110">
        <f>388.3/1000</f>
        <v>0.38830000000000003</v>
      </c>
      <c r="C78" s="7" t="s">
        <v>1718</v>
      </c>
      <c r="D78" s="187">
        <f>20*100</f>
        <v>2000</v>
      </c>
      <c r="E78" s="107">
        <f>0.98/100</f>
        <v>9.7999999999999997E-3</v>
      </c>
    </row>
    <row r="79" spans="1:19" ht="14.25" customHeight="1">
      <c r="A79" s="115">
        <v>106.03</v>
      </c>
      <c r="B79" s="110">
        <f>416.8/1000</f>
        <v>0.4168</v>
      </c>
      <c r="C79" s="7" t="s">
        <v>1714</v>
      </c>
      <c r="D79" s="187">
        <f>8*100</f>
        <v>800</v>
      </c>
      <c r="E79" s="107">
        <f>1.38/100</f>
        <v>1.38E-2</v>
      </c>
    </row>
    <row r="80" spans="1:19" s="4" customFormat="1" ht="14.25" customHeight="1">
      <c r="A80" s="115">
        <v>106.04</v>
      </c>
      <c r="B80" s="110">
        <f>129/200</f>
        <v>0.64500000000000002</v>
      </c>
      <c r="C80" s="7" t="s">
        <v>1723</v>
      </c>
      <c r="D80" s="187">
        <f>20*100</f>
        <v>2000</v>
      </c>
      <c r="E80" s="107">
        <f>1.58/100</f>
        <v>1.5800000000000002E-2</v>
      </c>
      <c r="F80" s="7"/>
      <c r="G80" s="7"/>
      <c r="H80" s="7"/>
      <c r="I80" s="7"/>
      <c r="J80" s="7"/>
      <c r="K80" s="7"/>
      <c r="L80" s="7"/>
      <c r="M80" s="7"/>
      <c r="N80" s="7"/>
      <c r="O80" s="7"/>
      <c r="P80" s="7"/>
      <c r="Q80" s="7"/>
      <c r="R80" s="7"/>
      <c r="S80" s="7"/>
    </row>
    <row r="81" spans="1:19" ht="14.25" customHeight="1">
      <c r="A81" s="115">
        <v>106.05</v>
      </c>
      <c r="B81" s="110">
        <f>85.3/100</f>
        <v>0.85299999999999998</v>
      </c>
      <c r="C81" s="7" t="s">
        <v>1713</v>
      </c>
      <c r="D81" s="187">
        <f>10*100</f>
        <v>1000</v>
      </c>
      <c r="E81" s="107">
        <f>1.88/100</f>
        <v>1.8799999999999997E-2</v>
      </c>
    </row>
    <row r="82" spans="1:19" ht="14.25" customHeight="1">
      <c r="A82" s="115">
        <v>106.06</v>
      </c>
      <c r="B82" s="110">
        <f>239/200</f>
        <v>1.1950000000000001</v>
      </c>
      <c r="C82" s="7" t="s">
        <v>1719</v>
      </c>
      <c r="D82" s="187">
        <f>10*100</f>
        <v>1000</v>
      </c>
      <c r="E82" s="107">
        <f>2.78/100</f>
        <v>2.7799999999999998E-2</v>
      </c>
    </row>
    <row r="83" spans="1:19" ht="14.25" customHeight="1">
      <c r="A83" s="115">
        <v>106.07</v>
      </c>
      <c r="B83" s="9">
        <f>15.3/10</f>
        <v>1.53</v>
      </c>
      <c r="C83" s="7" t="s">
        <v>1720</v>
      </c>
      <c r="D83" s="187">
        <f>5*100</f>
        <v>500</v>
      </c>
      <c r="E83" s="107">
        <f>3.18/100</f>
        <v>3.1800000000000002E-2</v>
      </c>
    </row>
    <row r="84" spans="1:19" ht="14.25" customHeight="1">
      <c r="A84" s="115">
        <v>106.08</v>
      </c>
      <c r="B84" s="9">
        <f>16.5/10</f>
        <v>1.65</v>
      </c>
      <c r="C84" s="7" t="s">
        <v>1724</v>
      </c>
      <c r="D84" s="187">
        <f>8*100</f>
        <v>800</v>
      </c>
      <c r="E84" s="107">
        <f>3.38/100</f>
        <v>3.3799999999999997E-2</v>
      </c>
    </row>
    <row r="85" spans="1:19" ht="14.25" customHeight="1">
      <c r="A85" s="206" t="s">
        <v>5971</v>
      </c>
      <c r="B85" s="3">
        <f>18.4/10</f>
        <v>1.8399999999999999</v>
      </c>
      <c r="C85" s="7" t="s">
        <v>1725</v>
      </c>
      <c r="D85" s="187">
        <f>3*100</f>
        <v>300</v>
      </c>
      <c r="E85" s="107">
        <f>3.88/100</f>
        <v>3.8800000000000001E-2</v>
      </c>
    </row>
    <row r="86" spans="1:19" ht="14.25" customHeight="1">
      <c r="A86" s="117" t="s">
        <v>2969</v>
      </c>
      <c r="B86" s="110">
        <f>197.6/400</f>
        <v>0.49399999999999999</v>
      </c>
      <c r="C86" s="7" t="s">
        <v>1714</v>
      </c>
      <c r="D86" s="187">
        <f>2*200</f>
        <v>400</v>
      </c>
      <c r="E86" s="107">
        <f>3.6/200</f>
        <v>1.8000000000000002E-2</v>
      </c>
    </row>
    <row r="87" spans="1:19" ht="14.25" customHeight="1">
      <c r="A87" s="115">
        <v>106.11</v>
      </c>
      <c r="B87" s="110">
        <f>208.5/400</f>
        <v>0.52124999999999999</v>
      </c>
      <c r="C87" s="105" t="s">
        <v>1732</v>
      </c>
      <c r="D87" s="187">
        <f>2*200</f>
        <v>400</v>
      </c>
      <c r="E87" s="107">
        <f>3.2/200</f>
        <v>1.6E-2</v>
      </c>
    </row>
    <row r="88" spans="1:19" ht="14.25" customHeight="1">
      <c r="A88" s="115">
        <v>106.12</v>
      </c>
      <c r="B88" s="110">
        <f>257.9/800</f>
        <v>0.32237499999999997</v>
      </c>
      <c r="C88" s="7" t="s">
        <v>1731</v>
      </c>
      <c r="D88" s="187">
        <f>4*200</f>
        <v>800</v>
      </c>
      <c r="E88" s="107">
        <f>2.4/200</f>
        <v>1.2E-2</v>
      </c>
    </row>
    <row r="89" spans="1:19" ht="14.25" customHeight="1">
      <c r="A89" s="115">
        <v>106.13</v>
      </c>
      <c r="B89" s="110">
        <f>311.5/400</f>
        <v>0.77875000000000005</v>
      </c>
      <c r="C89" s="7" t="s">
        <v>1730</v>
      </c>
      <c r="D89" s="187">
        <f>2*200</f>
        <v>400</v>
      </c>
      <c r="E89" s="107">
        <f>4/200</f>
        <v>0.02</v>
      </c>
    </row>
    <row r="90" spans="1:19" ht="14.25" customHeight="1">
      <c r="A90" s="115">
        <v>106.14</v>
      </c>
      <c r="B90" s="110">
        <f>396.2/400</f>
        <v>0.99049999999999994</v>
      </c>
      <c r="C90" s="7" t="s">
        <v>2352</v>
      </c>
      <c r="D90" s="187">
        <f>2*200</f>
        <v>400</v>
      </c>
      <c r="E90" s="107">
        <f>5/200</f>
        <v>2.5000000000000001E-2</v>
      </c>
    </row>
    <row r="91" spans="1:19" ht="14.25" customHeight="1">
      <c r="A91" s="115">
        <v>106.15</v>
      </c>
      <c r="B91" s="110">
        <f>358.5/400</f>
        <v>0.89624999999999999</v>
      </c>
      <c r="C91" s="105" t="s">
        <v>1733</v>
      </c>
      <c r="D91" s="187">
        <f>2*200</f>
        <v>400</v>
      </c>
      <c r="E91" s="107">
        <f>4.5/200</f>
        <v>2.2499999999999999E-2</v>
      </c>
    </row>
    <row r="92" spans="1:19" ht="14.25" customHeight="1">
      <c r="A92" s="115">
        <v>106.16</v>
      </c>
      <c r="B92" s="110">
        <f>260/2000</f>
        <v>0.13</v>
      </c>
      <c r="C92" s="1" t="s">
        <v>1736</v>
      </c>
      <c r="D92" s="188">
        <f>20*100</f>
        <v>2000</v>
      </c>
      <c r="E92" s="25">
        <f>0.7/100</f>
        <v>6.9999999999999993E-3</v>
      </c>
    </row>
    <row r="93" spans="1:19" ht="14.25" customHeight="1">
      <c r="A93" s="115">
        <v>106.17</v>
      </c>
      <c r="B93" s="110">
        <f>170.5/2000</f>
        <v>8.5250000000000006E-2</v>
      </c>
      <c r="C93" s="1" t="s">
        <v>2353</v>
      </c>
      <c r="D93" s="188">
        <f>10*100</f>
        <v>1000</v>
      </c>
      <c r="E93" s="25">
        <f>0.8/100</f>
        <v>8.0000000000000002E-3</v>
      </c>
    </row>
    <row r="94" spans="1:19" ht="14.25" customHeight="1">
      <c r="A94" s="115">
        <v>106.18</v>
      </c>
      <c r="B94" s="110">
        <f>445/1000</f>
        <v>0.44500000000000001</v>
      </c>
      <c r="C94" s="1" t="s">
        <v>1737</v>
      </c>
      <c r="D94" s="188">
        <f>10*100</f>
        <v>1000</v>
      </c>
      <c r="E94" s="25">
        <f>1.1/100</f>
        <v>1.1000000000000001E-2</v>
      </c>
    </row>
    <row r="95" spans="1:19" s="4" customFormat="1" ht="14.25" customHeight="1">
      <c r="A95" s="115">
        <v>106.19</v>
      </c>
      <c r="B95" s="9">
        <f>3.4/5</f>
        <v>0.67999999999999994</v>
      </c>
      <c r="C95" s="105" t="s">
        <v>1738</v>
      </c>
      <c r="D95" s="188">
        <f>10*100</f>
        <v>1000</v>
      </c>
      <c r="E95" s="25">
        <f>1.5/100</f>
        <v>1.4999999999999999E-2</v>
      </c>
      <c r="F95" s="7"/>
      <c r="G95" s="7"/>
      <c r="H95" s="7"/>
      <c r="I95" s="7"/>
      <c r="J95" s="7"/>
      <c r="K95" s="7"/>
      <c r="L95" s="7"/>
      <c r="M95" s="7"/>
      <c r="N95" s="7"/>
      <c r="O95" s="7"/>
      <c r="P95" s="7"/>
      <c r="Q95" s="7"/>
      <c r="R95" s="7"/>
      <c r="S95" s="7"/>
    </row>
    <row r="96" spans="1:19" ht="14.25" customHeight="1">
      <c r="A96" s="117" t="s">
        <v>2971</v>
      </c>
      <c r="B96" s="9">
        <f>43.4-41.1</f>
        <v>2.2999999999999972</v>
      </c>
      <c r="C96" s="105" t="s">
        <v>1739</v>
      </c>
      <c r="D96" s="188">
        <f>2*100</f>
        <v>200</v>
      </c>
      <c r="E96" s="25">
        <f>4.7/100</f>
        <v>4.7E-2</v>
      </c>
    </row>
    <row r="97" spans="1:19" s="4" customFormat="1" ht="14.25" customHeight="1">
      <c r="A97" s="115">
        <v>106.21</v>
      </c>
      <c r="B97" s="9">
        <f>44.2-41.1</f>
        <v>3.1000000000000014</v>
      </c>
      <c r="C97" s="105" t="s">
        <v>1740</v>
      </c>
      <c r="D97" s="188">
        <f>2*100</f>
        <v>200</v>
      </c>
      <c r="E97" s="25">
        <f>6/100</f>
        <v>0.06</v>
      </c>
      <c r="F97" s="7"/>
      <c r="G97" s="7"/>
      <c r="H97" s="7"/>
      <c r="I97" s="7"/>
      <c r="J97" s="7"/>
      <c r="K97" s="7"/>
      <c r="L97" s="7"/>
      <c r="M97" s="7"/>
      <c r="N97" s="7"/>
      <c r="O97" s="7"/>
      <c r="P97" s="7"/>
      <c r="Q97" s="7"/>
      <c r="R97" s="7"/>
      <c r="S97" s="7"/>
    </row>
    <row r="98" spans="1:19" ht="14.25" customHeight="1">
      <c r="A98" s="115">
        <v>106.22</v>
      </c>
      <c r="B98" s="9">
        <f>44.9-41.1</f>
        <v>3.7999999999999972</v>
      </c>
      <c r="C98" s="105" t="s">
        <v>1741</v>
      </c>
      <c r="D98" s="188">
        <f>2*100</f>
        <v>200</v>
      </c>
      <c r="E98" s="25">
        <f>7.7/100</f>
        <v>7.6999999999999999E-2</v>
      </c>
    </row>
    <row r="99" spans="1:19" ht="14.25" customHeight="1">
      <c r="A99" s="115">
        <v>107.01</v>
      </c>
      <c r="B99" s="110">
        <f>3.4/100</f>
        <v>3.4000000000000002E-2</v>
      </c>
      <c r="C99" s="1" t="s">
        <v>1777</v>
      </c>
      <c r="D99" s="188">
        <v>5000</v>
      </c>
      <c r="E99" s="108">
        <f>0.78/100</f>
        <v>7.8000000000000005E-3</v>
      </c>
    </row>
    <row r="100" spans="1:19" ht="14.25" customHeight="1">
      <c r="A100" s="113" t="s">
        <v>2765</v>
      </c>
      <c r="B100" s="9">
        <f>51/100</f>
        <v>0.51</v>
      </c>
      <c r="C100" s="1" t="s">
        <v>4019</v>
      </c>
      <c r="D100" s="188">
        <v>50000</v>
      </c>
      <c r="E100" s="25">
        <f>0.014</f>
        <v>1.4E-2</v>
      </c>
    </row>
    <row r="101" spans="1:19" ht="14.25" customHeight="1">
      <c r="A101" s="113" t="s">
        <v>3309</v>
      </c>
      <c r="B101" s="110">
        <f>132.6/100</f>
        <v>1.3259999999999998</v>
      </c>
      <c r="C101" s="1" t="s">
        <v>4020</v>
      </c>
      <c r="D101" s="188">
        <v>30000</v>
      </c>
      <c r="E101" s="25">
        <f>0.027</f>
        <v>2.7E-2</v>
      </c>
    </row>
    <row r="102" spans="1:19" s="4" customFormat="1" ht="14.25" customHeight="1">
      <c r="A102" s="119" t="s">
        <v>2810</v>
      </c>
      <c r="B102" s="110">
        <f>27.8/100</f>
        <v>0.27800000000000002</v>
      </c>
      <c r="C102" s="1" t="s">
        <v>1770</v>
      </c>
      <c r="D102" s="190">
        <f>50*100</f>
        <v>5000</v>
      </c>
      <c r="E102" s="25">
        <f>0.65/100</f>
        <v>6.5000000000000006E-3</v>
      </c>
      <c r="F102" s="7"/>
      <c r="G102" s="7"/>
      <c r="H102" s="7"/>
      <c r="I102" s="7"/>
      <c r="J102" s="7"/>
      <c r="K102" s="7"/>
      <c r="L102" s="7"/>
      <c r="M102" s="7"/>
      <c r="N102" s="7"/>
      <c r="O102" s="7"/>
      <c r="P102" s="7"/>
      <c r="Q102" s="7"/>
      <c r="R102" s="7"/>
      <c r="S102" s="7"/>
    </row>
    <row r="103" spans="1:19" ht="14.25" customHeight="1">
      <c r="A103" s="119" t="s">
        <v>2811</v>
      </c>
      <c r="B103" s="110">
        <f>36.5/100</f>
        <v>0.36499999999999999</v>
      </c>
      <c r="C103" s="1" t="s">
        <v>1769</v>
      </c>
      <c r="D103" s="190">
        <f>100*100</f>
        <v>10000</v>
      </c>
      <c r="E103" s="25">
        <f>1/100</f>
        <v>0.01</v>
      </c>
    </row>
    <row r="104" spans="1:19" ht="14.25" customHeight="1">
      <c r="A104" s="119" t="s">
        <v>2812</v>
      </c>
      <c r="B104" s="110">
        <f>98.6/100</f>
        <v>0.98599999999999999</v>
      </c>
      <c r="C104" s="1" t="s">
        <v>1768</v>
      </c>
      <c r="D104" s="190">
        <f>100*100</f>
        <v>10000</v>
      </c>
      <c r="E104" s="25">
        <f>2.2/100</f>
        <v>2.2000000000000002E-2</v>
      </c>
    </row>
    <row r="105" spans="1:19" ht="14.25" customHeight="1">
      <c r="A105" s="119" t="s">
        <v>2813</v>
      </c>
      <c r="B105" s="110">
        <f>172.7/100</f>
        <v>1.7269999999999999</v>
      </c>
      <c r="C105" s="1" t="s">
        <v>1763</v>
      </c>
      <c r="D105" s="190">
        <f>5*100</f>
        <v>500</v>
      </c>
      <c r="E105" s="25">
        <f>4.62/100</f>
        <v>4.6199999999999998E-2</v>
      </c>
    </row>
    <row r="106" spans="1:19" ht="14.25" customHeight="1">
      <c r="A106" s="128" t="s">
        <v>2814</v>
      </c>
      <c r="B106" s="110">
        <v>2.1</v>
      </c>
      <c r="C106" s="51" t="s">
        <v>1767</v>
      </c>
      <c r="D106" s="190">
        <f>50*100</f>
        <v>5000</v>
      </c>
      <c r="E106" s="25">
        <f>3/100</f>
        <v>0.03</v>
      </c>
    </row>
    <row r="107" spans="1:19" ht="14.25" customHeight="1">
      <c r="A107" s="119" t="s">
        <v>2815</v>
      </c>
      <c r="B107" s="110">
        <f>227/100</f>
        <v>2.27</v>
      </c>
      <c r="C107" s="1" t="s">
        <v>1765</v>
      </c>
      <c r="D107" s="190">
        <f>50*100</f>
        <v>5000</v>
      </c>
      <c r="E107" s="25">
        <f>4/100</f>
        <v>0.04</v>
      </c>
    </row>
    <row r="108" spans="1:19" ht="14.25" customHeight="1">
      <c r="A108" s="117" t="s">
        <v>3003</v>
      </c>
      <c r="B108" s="9">
        <f>37.1/10</f>
        <v>3.71</v>
      </c>
      <c r="C108" s="1" t="s">
        <v>1771</v>
      </c>
      <c r="D108" s="188">
        <v>300</v>
      </c>
      <c r="E108" s="108">
        <f>6.6/100</f>
        <v>6.6000000000000003E-2</v>
      </c>
    </row>
    <row r="109" spans="1:19" ht="14.25" customHeight="1">
      <c r="A109" s="119" t="s">
        <v>2817</v>
      </c>
      <c r="B109" s="110">
        <f>329.4/100</f>
        <v>3.2939999999999996</v>
      </c>
      <c r="C109" s="1" t="s">
        <v>1764</v>
      </c>
      <c r="D109" s="190">
        <f t="shared" ref="D109:D116" si="1">5*100</f>
        <v>500</v>
      </c>
      <c r="E109" s="25">
        <f>6.1/100</f>
        <v>6.0999999999999999E-2</v>
      </c>
    </row>
    <row r="110" spans="1:19" ht="14.25" customHeight="1">
      <c r="A110" s="119" t="s">
        <v>2818</v>
      </c>
      <c r="B110" s="110">
        <f>43.9/100</f>
        <v>0.439</v>
      </c>
      <c r="C110" s="1" t="s">
        <v>5978</v>
      </c>
      <c r="D110" s="188">
        <f t="shared" si="1"/>
        <v>500</v>
      </c>
      <c r="E110" s="25">
        <f>1.9/100</f>
        <v>1.9E-2</v>
      </c>
    </row>
    <row r="111" spans="1:19" ht="14.25" customHeight="1">
      <c r="A111" s="119" t="s">
        <v>2819</v>
      </c>
      <c r="B111" s="110">
        <f>22.7/100</f>
        <v>0.22699999999999998</v>
      </c>
      <c r="C111" s="1" t="s">
        <v>5976</v>
      </c>
      <c r="D111" s="188">
        <f t="shared" si="1"/>
        <v>500</v>
      </c>
      <c r="E111" s="25">
        <f>1.7/100</f>
        <v>1.7000000000000001E-2</v>
      </c>
    </row>
    <row r="112" spans="1:19" ht="14.25" customHeight="1">
      <c r="A112" s="119" t="s">
        <v>2820</v>
      </c>
      <c r="B112" s="110">
        <f>11.7/100</f>
        <v>0.11699999999999999</v>
      </c>
      <c r="C112" s="1" t="s">
        <v>5973</v>
      </c>
      <c r="D112" s="188">
        <f t="shared" si="1"/>
        <v>500</v>
      </c>
      <c r="E112" s="25">
        <f>1.4/100</f>
        <v>1.3999999999999999E-2</v>
      </c>
    </row>
    <row r="113" spans="1:19" ht="14.25" customHeight="1">
      <c r="A113" s="119" t="s">
        <v>2821</v>
      </c>
      <c r="B113" s="110">
        <f>32.1/100</f>
        <v>0.32100000000000001</v>
      </c>
      <c r="C113" s="1" t="s">
        <v>5977</v>
      </c>
      <c r="D113" s="188">
        <f t="shared" si="1"/>
        <v>500</v>
      </c>
      <c r="E113" s="25">
        <f>1.8/100</f>
        <v>1.8000000000000002E-2</v>
      </c>
    </row>
    <row r="114" spans="1:19" ht="14.25" customHeight="1">
      <c r="A114" s="119" t="s">
        <v>2822</v>
      </c>
      <c r="B114" s="110">
        <f>15.1/100</f>
        <v>0.151</v>
      </c>
      <c r="C114" s="1" t="s">
        <v>5974</v>
      </c>
      <c r="D114" s="188">
        <f t="shared" si="1"/>
        <v>500</v>
      </c>
      <c r="E114" s="25">
        <f>1.5/100</f>
        <v>1.4999999999999999E-2</v>
      </c>
    </row>
    <row r="115" spans="1:19" ht="14.25" customHeight="1">
      <c r="A115" s="119" t="s">
        <v>2823</v>
      </c>
      <c r="B115" s="110">
        <f>22.4/100</f>
        <v>0.22399999999999998</v>
      </c>
      <c r="C115" s="1" t="s">
        <v>5975</v>
      </c>
      <c r="D115" s="188">
        <f t="shared" si="1"/>
        <v>500</v>
      </c>
      <c r="E115" s="25">
        <f>1.6/100</f>
        <v>1.6E-2</v>
      </c>
    </row>
    <row r="116" spans="1:19" s="123" customFormat="1" ht="14.25" customHeight="1">
      <c r="A116" s="206" t="s">
        <v>5984</v>
      </c>
      <c r="B116" s="207">
        <f>276.7/100</f>
        <v>2.7669999999999999</v>
      </c>
      <c r="C116" s="123" t="s">
        <v>1766</v>
      </c>
      <c r="D116" s="190">
        <f t="shared" si="1"/>
        <v>500</v>
      </c>
      <c r="E116" s="208">
        <f>5/100</f>
        <v>0.05</v>
      </c>
    </row>
    <row r="117" spans="1:19" s="123" customFormat="1" ht="14.25" customHeight="1">
      <c r="A117" s="206" t="s">
        <v>5981</v>
      </c>
      <c r="B117" s="172">
        <f>2.4/10</f>
        <v>0.24</v>
      </c>
      <c r="C117" s="209" t="s">
        <v>5980</v>
      </c>
      <c r="D117" s="190">
        <v>10000</v>
      </c>
      <c r="E117" s="208">
        <v>1.2999999999999999E-2</v>
      </c>
    </row>
    <row r="118" spans="1:19" s="4" customFormat="1" ht="14.25" customHeight="1">
      <c r="A118" s="152" t="s">
        <v>3258</v>
      </c>
      <c r="B118" s="9">
        <f t="shared" ref="B118:B123" si="2">52/50</f>
        <v>1.04</v>
      </c>
      <c r="C118" s="1" t="s">
        <v>1802</v>
      </c>
      <c r="D118" s="188">
        <v>100</v>
      </c>
      <c r="E118" s="6">
        <f t="shared" ref="E118:E123" si="3">6/100</f>
        <v>0.06</v>
      </c>
      <c r="F118" s="7"/>
      <c r="G118" s="7"/>
      <c r="H118" s="7"/>
      <c r="I118" s="7"/>
      <c r="J118" s="7"/>
      <c r="K118" s="7"/>
      <c r="L118" s="7"/>
      <c r="M118" s="7"/>
      <c r="N118" s="7"/>
      <c r="O118" s="7"/>
      <c r="P118" s="7"/>
      <c r="Q118" s="7"/>
      <c r="R118" s="7"/>
      <c r="S118" s="7"/>
    </row>
    <row r="119" spans="1:19" ht="14.25" customHeight="1">
      <c r="A119" s="152" t="s">
        <v>3259</v>
      </c>
      <c r="B119" s="9">
        <f t="shared" si="2"/>
        <v>1.04</v>
      </c>
      <c r="C119" s="1" t="s">
        <v>1803</v>
      </c>
      <c r="D119" s="188">
        <v>100</v>
      </c>
      <c r="E119" s="6">
        <f t="shared" si="3"/>
        <v>0.06</v>
      </c>
    </row>
    <row r="120" spans="1:19" ht="14.25" customHeight="1">
      <c r="A120" s="152" t="s">
        <v>3260</v>
      </c>
      <c r="B120" s="9">
        <f t="shared" si="2"/>
        <v>1.04</v>
      </c>
      <c r="C120" s="1" t="s">
        <v>1804</v>
      </c>
      <c r="D120" s="188">
        <v>100</v>
      </c>
      <c r="E120" s="6">
        <f t="shared" si="3"/>
        <v>0.06</v>
      </c>
    </row>
    <row r="121" spans="1:19" ht="14.25" customHeight="1">
      <c r="A121" s="152" t="s">
        <v>3261</v>
      </c>
      <c r="B121" s="9">
        <f t="shared" si="2"/>
        <v>1.04</v>
      </c>
      <c r="C121" s="1" t="s">
        <v>1805</v>
      </c>
      <c r="D121" s="188">
        <v>100</v>
      </c>
      <c r="E121" s="6">
        <f t="shared" si="3"/>
        <v>0.06</v>
      </c>
    </row>
    <row r="122" spans="1:19" ht="14.25" customHeight="1">
      <c r="A122" s="152" t="s">
        <v>3262</v>
      </c>
      <c r="B122" s="9">
        <f t="shared" si="2"/>
        <v>1.04</v>
      </c>
      <c r="C122" s="1" t="s">
        <v>1806</v>
      </c>
      <c r="D122" s="188">
        <v>100</v>
      </c>
      <c r="E122" s="6">
        <f t="shared" si="3"/>
        <v>0.06</v>
      </c>
    </row>
    <row r="123" spans="1:19" ht="14.25" customHeight="1">
      <c r="A123" s="152" t="s">
        <v>3263</v>
      </c>
      <c r="B123" s="9">
        <f t="shared" si="2"/>
        <v>1.04</v>
      </c>
      <c r="C123" s="1" t="s">
        <v>1807</v>
      </c>
      <c r="D123" s="188">
        <v>100</v>
      </c>
      <c r="E123" s="6">
        <f t="shared" si="3"/>
        <v>0.06</v>
      </c>
    </row>
    <row r="124" spans="1:19" s="4" customFormat="1" ht="14.25" customHeight="1">
      <c r="A124" s="152" t="s">
        <v>3264</v>
      </c>
      <c r="B124" s="9">
        <v>2</v>
      </c>
      <c r="C124" s="1" t="s">
        <v>3254</v>
      </c>
      <c r="D124" s="188">
        <v>100</v>
      </c>
      <c r="E124" s="6">
        <f t="shared" ref="E124:E129" si="4">9/100</f>
        <v>0.09</v>
      </c>
      <c r="F124" s="7"/>
      <c r="G124" s="7"/>
      <c r="H124" s="7"/>
      <c r="I124" s="7"/>
      <c r="J124" s="7"/>
      <c r="K124" s="7"/>
      <c r="L124" s="7"/>
      <c r="M124" s="7"/>
      <c r="N124" s="7"/>
      <c r="O124" s="7"/>
      <c r="P124" s="7"/>
      <c r="Q124" s="7"/>
      <c r="R124" s="7"/>
      <c r="S124" s="7"/>
    </row>
    <row r="125" spans="1:19" ht="14.25" customHeight="1">
      <c r="A125" s="152" t="s">
        <v>3265</v>
      </c>
      <c r="B125" s="9">
        <v>2</v>
      </c>
      <c r="C125" s="1" t="s">
        <v>1797</v>
      </c>
      <c r="D125" s="188">
        <v>100</v>
      </c>
      <c r="E125" s="6">
        <f t="shared" si="4"/>
        <v>0.09</v>
      </c>
    </row>
    <row r="126" spans="1:19" ht="14.25" customHeight="1">
      <c r="A126" s="152" t="s">
        <v>3266</v>
      </c>
      <c r="B126" s="9">
        <v>2</v>
      </c>
      <c r="C126" s="1" t="s">
        <v>1798</v>
      </c>
      <c r="D126" s="188">
        <v>100</v>
      </c>
      <c r="E126" s="6">
        <f t="shared" si="4"/>
        <v>0.09</v>
      </c>
    </row>
    <row r="127" spans="1:19" ht="14.25" customHeight="1">
      <c r="A127" s="152" t="s">
        <v>3267</v>
      </c>
      <c r="B127" s="9">
        <v>2</v>
      </c>
      <c r="C127" s="1" t="s">
        <v>1799</v>
      </c>
      <c r="D127" s="188">
        <v>100</v>
      </c>
      <c r="E127" s="6">
        <f t="shared" si="4"/>
        <v>0.09</v>
      </c>
    </row>
    <row r="128" spans="1:19" ht="14.25" customHeight="1">
      <c r="A128" s="152" t="s">
        <v>3268</v>
      </c>
      <c r="B128" s="9">
        <v>2</v>
      </c>
      <c r="C128" s="1" t="s">
        <v>1800</v>
      </c>
      <c r="D128" s="188">
        <v>100</v>
      </c>
      <c r="E128" s="6">
        <f t="shared" si="4"/>
        <v>0.09</v>
      </c>
    </row>
    <row r="129" spans="1:19" ht="14.25" customHeight="1">
      <c r="A129" s="152" t="s">
        <v>3269</v>
      </c>
      <c r="B129" s="9">
        <v>2</v>
      </c>
      <c r="C129" s="1" t="s">
        <v>1801</v>
      </c>
      <c r="D129" s="188">
        <v>100</v>
      </c>
      <c r="E129" s="6">
        <f t="shared" si="4"/>
        <v>0.09</v>
      </c>
    </row>
    <row r="130" spans="1:19" ht="14.25" customHeight="1">
      <c r="A130" s="152" t="s">
        <v>3270</v>
      </c>
      <c r="B130" s="9">
        <v>4.9000000000000004</v>
      </c>
      <c r="C130" s="1" t="s">
        <v>3255</v>
      </c>
      <c r="D130" s="188">
        <v>100</v>
      </c>
      <c r="E130" s="6">
        <f>18/100</f>
        <v>0.18</v>
      </c>
    </row>
    <row r="131" spans="1:19" s="4" customFormat="1" ht="14.25" customHeight="1">
      <c r="A131" s="152" t="s">
        <v>3271</v>
      </c>
      <c r="B131" s="9">
        <v>5</v>
      </c>
      <c r="C131" s="1" t="s">
        <v>3256</v>
      </c>
      <c r="D131" s="188">
        <v>100</v>
      </c>
      <c r="E131" s="6">
        <f>18/100</f>
        <v>0.18</v>
      </c>
      <c r="F131" s="7"/>
      <c r="G131" s="7"/>
      <c r="H131" s="7"/>
      <c r="I131" s="7"/>
      <c r="J131" s="7"/>
      <c r="K131" s="7"/>
      <c r="L131" s="7"/>
      <c r="M131" s="7"/>
      <c r="N131" s="7"/>
      <c r="O131" s="7"/>
      <c r="P131" s="7"/>
      <c r="Q131" s="7"/>
      <c r="R131" s="7"/>
      <c r="S131" s="7"/>
    </row>
    <row r="132" spans="1:19" ht="14.25" customHeight="1">
      <c r="A132" s="152" t="s">
        <v>3272</v>
      </c>
      <c r="B132" s="110">
        <f>27.2/100</f>
        <v>0.27200000000000002</v>
      </c>
      <c r="C132" s="1" t="s">
        <v>3279</v>
      </c>
      <c r="D132" s="188">
        <f>100+100</f>
        <v>200</v>
      </c>
      <c r="E132" s="6">
        <v>0.05</v>
      </c>
    </row>
    <row r="133" spans="1:19" ht="14.25" customHeight="1">
      <c r="A133" s="152" t="s">
        <v>3273</v>
      </c>
      <c r="B133" s="110">
        <f>28.3/100</f>
        <v>0.28300000000000003</v>
      </c>
      <c r="C133" s="1" t="s">
        <v>3284</v>
      </c>
      <c r="D133" s="188">
        <v>200</v>
      </c>
      <c r="E133" s="6">
        <v>0.05</v>
      </c>
    </row>
    <row r="134" spans="1:19" ht="14.25" customHeight="1">
      <c r="A134" s="152" t="s">
        <v>3274</v>
      </c>
      <c r="B134" s="110">
        <f>29.2/100</f>
        <v>0.29199999999999998</v>
      </c>
      <c r="C134" s="1" t="s">
        <v>3285</v>
      </c>
      <c r="D134" s="188">
        <v>200</v>
      </c>
      <c r="E134" s="6">
        <v>0.05</v>
      </c>
    </row>
    <row r="135" spans="1:19" ht="14.25" customHeight="1">
      <c r="A135" s="128" t="s">
        <v>3277</v>
      </c>
      <c r="B135" s="110">
        <f>23.7/100</f>
        <v>0.23699999999999999</v>
      </c>
      <c r="C135" s="1" t="s">
        <v>3280</v>
      </c>
      <c r="D135" s="188">
        <v>100</v>
      </c>
      <c r="E135" s="6">
        <v>0.05</v>
      </c>
    </row>
    <row r="136" spans="1:19" ht="14.25" customHeight="1">
      <c r="A136" s="128" t="s">
        <v>3275</v>
      </c>
      <c r="B136" s="110">
        <f>18/100</f>
        <v>0.18</v>
      </c>
      <c r="C136" s="1" t="s">
        <v>3281</v>
      </c>
      <c r="D136" s="188">
        <v>100</v>
      </c>
      <c r="E136" s="6">
        <v>0.05</v>
      </c>
    </row>
    <row r="137" spans="1:19" ht="14.25" customHeight="1">
      <c r="A137" s="128" t="s">
        <v>3276</v>
      </c>
      <c r="B137" s="110">
        <f>21.2/100</f>
        <v>0.21199999999999999</v>
      </c>
      <c r="C137" s="1" t="s">
        <v>3282</v>
      </c>
      <c r="D137" s="190">
        <v>200</v>
      </c>
      <c r="E137" s="6">
        <f>0.05*100/200</f>
        <v>2.5000000000000001E-2</v>
      </c>
    </row>
    <row r="138" spans="1:19" ht="14.25" customHeight="1">
      <c r="A138" s="128" t="s">
        <v>3278</v>
      </c>
      <c r="B138" s="110">
        <f>37.5/100</f>
        <v>0.375</v>
      </c>
      <c r="C138" s="1" t="s">
        <v>3283</v>
      </c>
      <c r="D138" s="188">
        <v>100</v>
      </c>
      <c r="E138" s="6">
        <v>0.05</v>
      </c>
    </row>
    <row r="139" spans="1:19" ht="14.25" customHeight="1">
      <c r="A139" s="128">
        <v>201.01</v>
      </c>
      <c r="B139" s="9">
        <v>118</v>
      </c>
      <c r="C139" s="7" t="s">
        <v>1568</v>
      </c>
      <c r="D139" s="187">
        <f>60*3+60*2</f>
        <v>300</v>
      </c>
      <c r="E139" s="56">
        <v>1.42</v>
      </c>
    </row>
    <row r="140" spans="1:19" ht="14.25" customHeight="1">
      <c r="A140" s="128" t="s">
        <v>4102</v>
      </c>
      <c r="B140" s="9">
        <v>101</v>
      </c>
      <c r="C140" s="7" t="s">
        <v>1406</v>
      </c>
      <c r="D140" s="187">
        <f>72*2</f>
        <v>144</v>
      </c>
      <c r="E140" s="7">
        <v>1.2250000000000001</v>
      </c>
    </row>
    <row r="141" spans="1:19" ht="14.25" customHeight="1">
      <c r="A141" s="128">
        <v>201.11</v>
      </c>
      <c r="B141" s="9">
        <v>62</v>
      </c>
      <c r="C141" s="7" t="s">
        <v>2916</v>
      </c>
      <c r="D141" s="187">
        <v>30</v>
      </c>
      <c r="E141" s="7">
        <v>1.35</v>
      </c>
    </row>
    <row r="142" spans="1:19" ht="14.25" customHeight="1">
      <c r="A142" s="137" t="s">
        <v>2439</v>
      </c>
      <c r="B142" s="9">
        <v>39.4</v>
      </c>
      <c r="C142" s="7" t="s">
        <v>1478</v>
      </c>
      <c r="D142" s="187">
        <v>12</v>
      </c>
      <c r="E142" s="7">
        <v>0.88</v>
      </c>
    </row>
    <row r="143" spans="1:19" ht="14.25" customHeight="1">
      <c r="A143" s="137" t="s">
        <v>2440</v>
      </c>
      <c r="B143" s="9">
        <f>201.5/5</f>
        <v>40.299999999999997</v>
      </c>
      <c r="C143" s="7" t="s">
        <v>1479</v>
      </c>
      <c r="D143" s="187">
        <v>5</v>
      </c>
      <c r="E143" s="7">
        <v>0.88</v>
      </c>
    </row>
    <row r="144" spans="1:19" ht="14.25" customHeight="1">
      <c r="A144" s="137" t="s">
        <v>2441</v>
      </c>
      <c r="B144" s="9">
        <f>201.5/5</f>
        <v>40.299999999999997</v>
      </c>
      <c r="C144" s="7" t="s">
        <v>1480</v>
      </c>
      <c r="D144" s="187">
        <v>5</v>
      </c>
      <c r="E144" s="7">
        <v>0.88</v>
      </c>
    </row>
    <row r="145" spans="1:19" ht="14.25" customHeight="1">
      <c r="A145" s="137" t="s">
        <v>2442</v>
      </c>
      <c r="B145" s="9">
        <f>201.5/5</f>
        <v>40.299999999999997</v>
      </c>
      <c r="C145" s="7" t="s">
        <v>1481</v>
      </c>
      <c r="D145" s="187">
        <v>5</v>
      </c>
      <c r="E145" s="7">
        <v>0.88</v>
      </c>
    </row>
    <row r="146" spans="1:19" ht="14.25" customHeight="1">
      <c r="A146" s="137" t="s">
        <v>2443</v>
      </c>
      <c r="B146" s="9">
        <f>201.5/5</f>
        <v>40.299999999999997</v>
      </c>
      <c r="C146" s="7" t="s">
        <v>1482</v>
      </c>
      <c r="D146" s="187">
        <v>5</v>
      </c>
      <c r="E146" s="7">
        <v>0.88</v>
      </c>
    </row>
    <row r="147" spans="1:19" ht="14.25" customHeight="1">
      <c r="A147" s="137" t="s">
        <v>2444</v>
      </c>
      <c r="B147" s="9">
        <f>201.5/5</f>
        <v>40.299999999999997</v>
      </c>
      <c r="C147" s="7" t="s">
        <v>1483</v>
      </c>
      <c r="D147" s="187">
        <v>5</v>
      </c>
      <c r="E147" s="7">
        <v>0.88</v>
      </c>
      <c r="S147" s="4"/>
    </row>
    <row r="148" spans="1:19" ht="14.25" customHeight="1">
      <c r="A148" s="137" t="s">
        <v>2445</v>
      </c>
      <c r="B148" s="9">
        <f>161/5</f>
        <v>32.200000000000003</v>
      </c>
      <c r="C148" s="7" t="s">
        <v>1484</v>
      </c>
      <c r="D148" s="187">
        <v>5</v>
      </c>
      <c r="E148" s="7">
        <v>0.9</v>
      </c>
    </row>
    <row r="149" spans="1:19" ht="14.25" customHeight="1">
      <c r="A149" s="137" t="s">
        <v>2446</v>
      </c>
      <c r="B149" s="9">
        <f>189.4/5</f>
        <v>37.880000000000003</v>
      </c>
      <c r="C149" s="7" t="s">
        <v>1485</v>
      </c>
      <c r="D149" s="187">
        <v>5</v>
      </c>
      <c r="E149" s="7">
        <v>1.05</v>
      </c>
      <c r="S149" s="4"/>
    </row>
    <row r="150" spans="1:19" ht="14.25" customHeight="1">
      <c r="A150" s="137" t="s">
        <v>2447</v>
      </c>
      <c r="B150" s="9">
        <f t="shared" ref="B150:B156" si="5">232.2/3</f>
        <v>77.399999999999991</v>
      </c>
      <c r="C150" s="7" t="s">
        <v>1486</v>
      </c>
      <c r="D150" s="187">
        <v>10</v>
      </c>
      <c r="E150" s="7">
        <v>1.65</v>
      </c>
    </row>
    <row r="151" spans="1:19" ht="14.25" customHeight="1">
      <c r="A151" s="137" t="s">
        <v>2448</v>
      </c>
      <c r="B151" s="9">
        <f t="shared" si="5"/>
        <v>77.399999999999991</v>
      </c>
      <c r="C151" s="7" t="s">
        <v>1487</v>
      </c>
      <c r="D151" s="187">
        <v>3</v>
      </c>
      <c r="E151" s="7">
        <v>1.65</v>
      </c>
    </row>
    <row r="152" spans="1:19" ht="14.25" customHeight="1">
      <c r="A152" s="137" t="s">
        <v>2449</v>
      </c>
      <c r="B152" s="9">
        <f t="shared" si="5"/>
        <v>77.399999999999991</v>
      </c>
      <c r="C152" s="7" t="s">
        <v>1488</v>
      </c>
      <c r="D152" s="187">
        <v>3</v>
      </c>
      <c r="E152" s="7">
        <v>1.65</v>
      </c>
    </row>
    <row r="153" spans="1:19" ht="14.25" customHeight="1">
      <c r="A153" s="137" t="s">
        <v>2450</v>
      </c>
      <c r="B153" s="9">
        <f t="shared" si="5"/>
        <v>77.399999999999991</v>
      </c>
      <c r="C153" s="7" t="s">
        <v>1489</v>
      </c>
      <c r="D153" s="187">
        <v>3</v>
      </c>
      <c r="E153" s="7">
        <v>1.65</v>
      </c>
    </row>
    <row r="154" spans="1:19" ht="14.25" customHeight="1">
      <c r="A154" s="137" t="s">
        <v>2451</v>
      </c>
      <c r="B154" s="9">
        <f t="shared" si="5"/>
        <v>77.399999999999991</v>
      </c>
      <c r="C154" s="7" t="s">
        <v>1490</v>
      </c>
      <c r="D154" s="187">
        <v>3</v>
      </c>
      <c r="E154" s="7">
        <v>1.65</v>
      </c>
    </row>
    <row r="155" spans="1:19" ht="14.25" customHeight="1">
      <c r="A155" s="137" t="s">
        <v>2452</v>
      </c>
      <c r="B155" s="9">
        <f t="shared" si="5"/>
        <v>77.399999999999991</v>
      </c>
      <c r="C155" s="7" t="s">
        <v>1491</v>
      </c>
      <c r="D155" s="187">
        <v>3</v>
      </c>
      <c r="E155" s="7">
        <v>1.65</v>
      </c>
    </row>
    <row r="156" spans="1:19" ht="14.25" customHeight="1">
      <c r="A156" s="137" t="s">
        <v>2453</v>
      </c>
      <c r="B156" s="9">
        <f t="shared" si="5"/>
        <v>77.399999999999991</v>
      </c>
      <c r="C156" s="7" t="s">
        <v>1492</v>
      </c>
      <c r="D156" s="187">
        <v>4</v>
      </c>
      <c r="E156" s="7">
        <v>1.7</v>
      </c>
    </row>
    <row r="157" spans="1:19" ht="14.25" customHeight="1">
      <c r="A157" s="128">
        <v>203.01</v>
      </c>
      <c r="B157" s="9">
        <v>25</v>
      </c>
      <c r="C157" s="7" t="s">
        <v>1493</v>
      </c>
      <c r="D157" s="187">
        <v>10</v>
      </c>
      <c r="E157" s="7">
        <v>1.3</v>
      </c>
    </row>
    <row r="158" spans="1:19" ht="14.25" customHeight="1">
      <c r="A158" s="128">
        <v>203.02</v>
      </c>
      <c r="B158" s="9">
        <v>53</v>
      </c>
      <c r="C158" s="7" t="s">
        <v>1494</v>
      </c>
      <c r="D158" s="187">
        <v>10</v>
      </c>
      <c r="E158" s="7">
        <v>2.5</v>
      </c>
    </row>
    <row r="159" spans="1:19" ht="14.25" customHeight="1">
      <c r="A159" s="115">
        <v>204.01</v>
      </c>
      <c r="B159" s="124">
        <f>25.3/3</f>
        <v>8.4333333333333336</v>
      </c>
      <c r="C159" s="7" t="s">
        <v>1508</v>
      </c>
      <c r="D159" s="187">
        <v>3</v>
      </c>
      <c r="E159" s="7">
        <v>0.65</v>
      </c>
    </row>
    <row r="160" spans="1:19" ht="14.25" customHeight="1">
      <c r="A160" s="115">
        <v>204.02</v>
      </c>
      <c r="B160" s="124">
        <f>49.5/3</f>
        <v>16.5</v>
      </c>
      <c r="C160" s="7" t="s">
        <v>1509</v>
      </c>
      <c r="D160" s="187">
        <v>3</v>
      </c>
      <c r="E160" s="7">
        <v>1.3</v>
      </c>
    </row>
    <row r="161" spans="1:5" ht="14.25" customHeight="1">
      <c r="A161" s="115">
        <v>204.03</v>
      </c>
      <c r="B161" s="124">
        <f>80.2/3</f>
        <v>26.733333333333334</v>
      </c>
      <c r="C161" s="7" t="s">
        <v>1510</v>
      </c>
      <c r="D161" s="187">
        <v>3</v>
      </c>
      <c r="E161" s="7">
        <v>2.2000000000000002</v>
      </c>
    </row>
    <row r="162" spans="1:5" ht="14.25" customHeight="1">
      <c r="A162" s="115">
        <v>204.04</v>
      </c>
      <c r="B162" s="124">
        <f>96.5/3</f>
        <v>32.166666666666664</v>
      </c>
      <c r="C162" s="7" t="s">
        <v>1511</v>
      </c>
      <c r="D162" s="187">
        <v>3</v>
      </c>
      <c r="E162" s="7">
        <v>2.6</v>
      </c>
    </row>
    <row r="163" spans="1:5" ht="14.25" customHeight="1">
      <c r="A163" s="128" t="s">
        <v>2521</v>
      </c>
      <c r="B163" s="124">
        <f>165/3</f>
        <v>55</v>
      </c>
      <c r="C163" s="7" t="s">
        <v>1512</v>
      </c>
      <c r="D163" s="187">
        <v>3</v>
      </c>
      <c r="E163" s="7">
        <v>3.3</v>
      </c>
    </row>
    <row r="164" spans="1:5" ht="14.25" customHeight="1">
      <c r="A164" s="128" t="s">
        <v>2522</v>
      </c>
      <c r="B164" s="124">
        <f>134/3</f>
        <v>44.666666666666664</v>
      </c>
      <c r="C164" s="7" t="s">
        <v>1513</v>
      </c>
      <c r="D164" s="187">
        <v>3</v>
      </c>
      <c r="E164" s="7">
        <v>2.64</v>
      </c>
    </row>
    <row r="165" spans="1:5" ht="14.25" customHeight="1">
      <c r="A165" s="128" t="s">
        <v>2523</v>
      </c>
      <c r="B165" s="124">
        <f>126.7/3</f>
        <v>42.233333333333334</v>
      </c>
      <c r="C165" s="7" t="s">
        <v>1514</v>
      </c>
      <c r="D165" s="187">
        <v>3</v>
      </c>
      <c r="E165" s="7">
        <v>2.8</v>
      </c>
    </row>
    <row r="166" spans="1:5" ht="14.25" customHeight="1">
      <c r="A166" s="128" t="s">
        <v>2524</v>
      </c>
      <c r="B166" s="124">
        <f>202/3</f>
        <v>67.333333333333329</v>
      </c>
      <c r="C166" s="7" t="s">
        <v>1515</v>
      </c>
      <c r="D166" s="187">
        <v>3</v>
      </c>
      <c r="E166" s="7">
        <v>3.3</v>
      </c>
    </row>
    <row r="167" spans="1:5" ht="14.25" customHeight="1">
      <c r="A167" s="128" t="s">
        <v>2525</v>
      </c>
      <c r="B167" s="124">
        <f>74/3</f>
        <v>24.666666666666668</v>
      </c>
      <c r="C167" s="7" t="s">
        <v>1516</v>
      </c>
      <c r="D167" s="187">
        <v>3</v>
      </c>
      <c r="E167" s="7">
        <v>2</v>
      </c>
    </row>
    <row r="168" spans="1:5" ht="14.25" customHeight="1">
      <c r="A168" s="128" t="s">
        <v>2526</v>
      </c>
      <c r="B168" s="124">
        <f>131/3</f>
        <v>43.666666666666664</v>
      </c>
      <c r="C168" s="7" t="s">
        <v>1517</v>
      </c>
      <c r="D168" s="187">
        <v>3</v>
      </c>
      <c r="E168" s="7">
        <v>3</v>
      </c>
    </row>
    <row r="169" spans="1:5" ht="14.25" customHeight="1">
      <c r="A169" s="128">
        <v>206.01</v>
      </c>
      <c r="B169" s="9">
        <v>120</v>
      </c>
      <c r="C169" s="7" t="s">
        <v>1495</v>
      </c>
      <c r="D169" s="187">
        <v>8</v>
      </c>
      <c r="E169" s="7">
        <v>1.9</v>
      </c>
    </row>
    <row r="170" spans="1:5" ht="14.25" customHeight="1">
      <c r="A170" s="128">
        <v>206.02</v>
      </c>
      <c r="B170" s="9">
        <v>168</v>
      </c>
      <c r="C170" s="7" t="s">
        <v>1496</v>
      </c>
      <c r="D170" s="187">
        <v>3</v>
      </c>
      <c r="E170" s="7">
        <v>2.8</v>
      </c>
    </row>
    <row r="171" spans="1:5" ht="14.25" customHeight="1">
      <c r="A171" s="128" t="s">
        <v>2527</v>
      </c>
      <c r="B171" s="9">
        <v>18</v>
      </c>
      <c r="C171" s="7" t="s">
        <v>1518</v>
      </c>
      <c r="D171" s="187">
        <v>3</v>
      </c>
      <c r="E171" s="7">
        <v>1</v>
      </c>
    </row>
    <row r="172" spans="1:5" ht="14.25" customHeight="1">
      <c r="A172" s="128" t="s">
        <v>2528</v>
      </c>
      <c r="B172" s="9">
        <v>18</v>
      </c>
      <c r="C172" s="7" t="s">
        <v>1519</v>
      </c>
      <c r="D172" s="187">
        <v>3</v>
      </c>
      <c r="E172" s="7">
        <v>1</v>
      </c>
    </row>
    <row r="173" spans="1:5" ht="14.25" customHeight="1">
      <c r="A173" s="128" t="s">
        <v>2529</v>
      </c>
      <c r="B173" s="9">
        <v>18</v>
      </c>
      <c r="C173" s="7" t="s">
        <v>1520</v>
      </c>
      <c r="D173" s="187">
        <v>3</v>
      </c>
      <c r="E173" s="7">
        <v>1</v>
      </c>
    </row>
    <row r="174" spans="1:5" ht="14.25" customHeight="1">
      <c r="A174" s="128" t="s">
        <v>2530</v>
      </c>
      <c r="B174" s="9">
        <v>18</v>
      </c>
      <c r="C174" s="7" t="s">
        <v>1521</v>
      </c>
      <c r="D174" s="187">
        <v>3</v>
      </c>
      <c r="E174" s="7">
        <v>1</v>
      </c>
    </row>
    <row r="175" spans="1:5" ht="14.25" customHeight="1">
      <c r="A175" s="128" t="s">
        <v>2531</v>
      </c>
      <c r="B175" s="9">
        <v>18</v>
      </c>
      <c r="C175" s="7" t="s">
        <v>1522</v>
      </c>
      <c r="D175" s="187">
        <v>3</v>
      </c>
      <c r="E175" s="7">
        <v>1</v>
      </c>
    </row>
    <row r="176" spans="1:5" ht="14.25" customHeight="1">
      <c r="A176" s="128" t="s">
        <v>2532</v>
      </c>
      <c r="B176" s="9">
        <v>18</v>
      </c>
      <c r="C176" s="7" t="s">
        <v>1523</v>
      </c>
      <c r="D176" s="187">
        <v>3</v>
      </c>
      <c r="E176" s="7">
        <v>1</v>
      </c>
    </row>
    <row r="177" spans="1:19" ht="14.25" customHeight="1">
      <c r="A177" s="128" t="s">
        <v>2533</v>
      </c>
      <c r="B177" s="9">
        <v>18</v>
      </c>
      <c r="C177" s="7" t="s">
        <v>1525</v>
      </c>
      <c r="D177" s="187">
        <v>3</v>
      </c>
      <c r="E177" s="7">
        <v>1</v>
      </c>
    </row>
    <row r="178" spans="1:19" ht="14.25" customHeight="1">
      <c r="A178" s="128" t="s">
        <v>2534</v>
      </c>
      <c r="B178" s="9">
        <v>18</v>
      </c>
      <c r="C178" s="7" t="s">
        <v>1524</v>
      </c>
      <c r="D178" s="187">
        <v>3</v>
      </c>
      <c r="E178" s="7">
        <v>1</v>
      </c>
      <c r="S178" s="4"/>
    </row>
    <row r="179" spans="1:19" ht="14.25" customHeight="1">
      <c r="A179" s="128" t="s">
        <v>2535</v>
      </c>
      <c r="B179" s="9">
        <v>18</v>
      </c>
      <c r="C179" s="7" t="s">
        <v>1526</v>
      </c>
      <c r="D179" s="187">
        <v>3</v>
      </c>
      <c r="E179" s="7">
        <v>1</v>
      </c>
    </row>
    <row r="180" spans="1:19" ht="14.25" customHeight="1">
      <c r="A180" s="128" t="s">
        <v>2536</v>
      </c>
      <c r="B180" s="9">
        <v>18</v>
      </c>
      <c r="C180" s="7" t="s">
        <v>1527</v>
      </c>
      <c r="D180" s="187">
        <v>3</v>
      </c>
      <c r="E180" s="7">
        <v>1</v>
      </c>
    </row>
    <row r="181" spans="1:19" ht="14.25" customHeight="1">
      <c r="A181" s="128" t="s">
        <v>2537</v>
      </c>
      <c r="B181" s="9">
        <v>52</v>
      </c>
      <c r="C181" s="7" t="s">
        <v>1331</v>
      </c>
      <c r="D181" s="187">
        <v>3</v>
      </c>
      <c r="E181" s="7">
        <v>2.5</v>
      </c>
      <c r="S181" s="4"/>
    </row>
    <row r="182" spans="1:19" ht="14.25" customHeight="1">
      <c r="A182" s="128" t="s">
        <v>2538</v>
      </c>
      <c r="B182" s="9">
        <v>52</v>
      </c>
      <c r="C182" s="7" t="s">
        <v>1332</v>
      </c>
      <c r="D182" s="187">
        <v>3</v>
      </c>
      <c r="E182" s="7">
        <v>2.5</v>
      </c>
    </row>
    <row r="183" spans="1:19" ht="14.25" customHeight="1">
      <c r="A183" s="128" t="s">
        <v>2539</v>
      </c>
      <c r="B183" s="9">
        <v>52</v>
      </c>
      <c r="C183" s="7" t="s">
        <v>1333</v>
      </c>
      <c r="D183" s="187">
        <v>3</v>
      </c>
      <c r="E183" s="7">
        <v>2.5</v>
      </c>
    </row>
    <row r="184" spans="1:19" ht="14.25" customHeight="1">
      <c r="A184" s="128" t="s">
        <v>2540</v>
      </c>
      <c r="B184" s="9">
        <v>52</v>
      </c>
      <c r="C184" s="7" t="s">
        <v>1334</v>
      </c>
      <c r="D184" s="187">
        <v>3</v>
      </c>
      <c r="E184" s="7">
        <v>2.5</v>
      </c>
    </row>
    <row r="185" spans="1:19" ht="14.25" customHeight="1">
      <c r="A185" s="128" t="s">
        <v>2541</v>
      </c>
      <c r="B185" s="9">
        <v>52</v>
      </c>
      <c r="C185" s="7" t="s">
        <v>1335</v>
      </c>
      <c r="D185" s="187">
        <v>3</v>
      </c>
      <c r="E185" s="7">
        <v>2.5</v>
      </c>
    </row>
    <row r="186" spans="1:19" ht="14.25" customHeight="1">
      <c r="A186" s="128" t="s">
        <v>2542</v>
      </c>
      <c r="B186" s="9">
        <v>52</v>
      </c>
      <c r="C186" s="7" t="s">
        <v>1336</v>
      </c>
      <c r="D186" s="187">
        <v>3</v>
      </c>
      <c r="E186" s="7">
        <v>2.5</v>
      </c>
      <c r="S186" s="4"/>
    </row>
    <row r="187" spans="1:19" ht="14.25" customHeight="1">
      <c r="A187" s="128" t="s">
        <v>2543</v>
      </c>
      <c r="B187" s="9">
        <v>52</v>
      </c>
      <c r="C187" s="7" t="s">
        <v>1337</v>
      </c>
      <c r="D187" s="187">
        <v>3</v>
      </c>
      <c r="E187" s="7">
        <v>2.5</v>
      </c>
    </row>
    <row r="188" spans="1:19" ht="14.25" customHeight="1">
      <c r="A188" s="128" t="s">
        <v>2544</v>
      </c>
      <c r="B188" s="9">
        <v>52</v>
      </c>
      <c r="C188" s="7" t="s">
        <v>1338</v>
      </c>
      <c r="D188" s="187">
        <v>3</v>
      </c>
      <c r="E188" s="7">
        <v>2.5</v>
      </c>
    </row>
    <row r="189" spans="1:19" ht="14.25" customHeight="1">
      <c r="A189" s="128" t="s">
        <v>2545</v>
      </c>
      <c r="B189" s="9">
        <v>52</v>
      </c>
      <c r="C189" s="7" t="s">
        <v>1339</v>
      </c>
      <c r="D189" s="187">
        <v>3</v>
      </c>
      <c r="E189" s="7">
        <v>2.5</v>
      </c>
    </row>
    <row r="190" spans="1:19" ht="14.25" customHeight="1">
      <c r="A190" s="128" t="s">
        <v>2546</v>
      </c>
      <c r="B190" s="9">
        <v>52</v>
      </c>
      <c r="C190" s="7" t="s">
        <v>1340</v>
      </c>
      <c r="D190" s="187">
        <v>3</v>
      </c>
      <c r="E190" s="7">
        <v>2.5</v>
      </c>
    </row>
    <row r="191" spans="1:19" ht="14.25" customHeight="1">
      <c r="A191" s="119" t="s">
        <v>2547</v>
      </c>
      <c r="B191" s="9">
        <v>173</v>
      </c>
      <c r="C191" s="7" t="s">
        <v>1528</v>
      </c>
      <c r="D191" s="187">
        <v>6</v>
      </c>
      <c r="E191" s="7">
        <v>2.8</v>
      </c>
    </row>
    <row r="192" spans="1:19" ht="14.25" customHeight="1">
      <c r="A192" s="119" t="s">
        <v>2548</v>
      </c>
      <c r="B192" s="9">
        <v>187.2</v>
      </c>
      <c r="C192" s="7" t="s">
        <v>1529</v>
      </c>
      <c r="D192" s="187">
        <v>3</v>
      </c>
      <c r="E192" s="7">
        <v>2.8</v>
      </c>
    </row>
    <row r="193" spans="1:19" ht="14.25" customHeight="1">
      <c r="A193" s="119" t="s">
        <v>2549</v>
      </c>
      <c r="B193" s="9">
        <v>170</v>
      </c>
      <c r="C193" s="7" t="s">
        <v>1530</v>
      </c>
      <c r="D193" s="187">
        <v>3</v>
      </c>
      <c r="E193" s="7">
        <v>2.8</v>
      </c>
    </row>
    <row r="194" spans="1:19" ht="14.25" customHeight="1">
      <c r="A194" s="119" t="s">
        <v>2550</v>
      </c>
      <c r="B194" s="9">
        <v>174</v>
      </c>
      <c r="C194" s="7" t="s">
        <v>1531</v>
      </c>
      <c r="D194" s="187">
        <v>3</v>
      </c>
      <c r="E194" s="7">
        <v>2.8</v>
      </c>
    </row>
    <row r="195" spans="1:19" ht="14.25" customHeight="1">
      <c r="A195" s="119" t="s">
        <v>2551</v>
      </c>
      <c r="B195" s="9">
        <v>175</v>
      </c>
      <c r="C195" s="7" t="s">
        <v>1532</v>
      </c>
      <c r="D195" s="187">
        <v>3</v>
      </c>
      <c r="E195" s="7">
        <v>2.8</v>
      </c>
    </row>
    <row r="196" spans="1:19" ht="14.25" customHeight="1">
      <c r="A196" s="119" t="s">
        <v>2552</v>
      </c>
      <c r="B196" s="9">
        <v>189</v>
      </c>
      <c r="C196" s="7" t="s">
        <v>1533</v>
      </c>
      <c r="D196" s="187">
        <v>3</v>
      </c>
      <c r="E196" s="7">
        <v>2.8</v>
      </c>
    </row>
    <row r="197" spans="1:19" s="4" customFormat="1" ht="14.25" customHeight="1">
      <c r="A197" s="119" t="s">
        <v>2553</v>
      </c>
      <c r="B197" s="9">
        <v>184</v>
      </c>
      <c r="C197" s="7" t="s">
        <v>1534</v>
      </c>
      <c r="D197" s="187">
        <v>3</v>
      </c>
      <c r="E197" s="7">
        <v>2.8</v>
      </c>
      <c r="F197" s="7"/>
      <c r="G197" s="7"/>
      <c r="H197" s="7"/>
      <c r="I197" s="7"/>
      <c r="J197" s="7"/>
      <c r="K197" s="7"/>
      <c r="L197" s="7"/>
      <c r="M197" s="7"/>
      <c r="N197" s="7"/>
      <c r="O197" s="7"/>
      <c r="P197" s="7"/>
      <c r="Q197" s="7"/>
      <c r="R197" s="7"/>
      <c r="S197" s="7"/>
    </row>
    <row r="198" spans="1:19" ht="14.25" customHeight="1">
      <c r="A198" s="119" t="s">
        <v>2554</v>
      </c>
      <c r="B198" s="9">
        <v>190.3</v>
      </c>
      <c r="C198" s="7" t="s">
        <v>1535</v>
      </c>
      <c r="D198" s="187">
        <v>3</v>
      </c>
      <c r="E198" s="7">
        <v>2.8</v>
      </c>
    </row>
    <row r="199" spans="1:19" s="4" customFormat="1" ht="14.25" customHeight="1">
      <c r="A199" s="119" t="s">
        <v>2555</v>
      </c>
      <c r="B199" s="9">
        <v>173</v>
      </c>
      <c r="C199" s="7" t="s">
        <v>1536</v>
      </c>
      <c r="D199" s="187">
        <v>3</v>
      </c>
      <c r="E199" s="7">
        <v>2.8</v>
      </c>
      <c r="F199" s="7"/>
      <c r="G199" s="7"/>
      <c r="H199" s="7"/>
      <c r="I199" s="7"/>
      <c r="J199" s="7"/>
      <c r="K199" s="7"/>
      <c r="L199" s="7"/>
      <c r="M199" s="7"/>
      <c r="N199" s="7"/>
      <c r="O199" s="7"/>
      <c r="P199" s="7"/>
      <c r="Q199" s="7"/>
      <c r="R199" s="7"/>
      <c r="S199" s="7"/>
    </row>
    <row r="200" spans="1:19" ht="14.25" customHeight="1">
      <c r="A200" s="115">
        <v>209.01</v>
      </c>
      <c r="B200" s="172"/>
      <c r="C200" s="201" t="s">
        <v>5941</v>
      </c>
      <c r="D200" s="188">
        <v>3</v>
      </c>
      <c r="E200" s="6">
        <v>3.4</v>
      </c>
    </row>
    <row r="201" spans="1:19" ht="14.25" customHeight="1">
      <c r="A201" s="115">
        <v>209.02</v>
      </c>
      <c r="B201" s="172"/>
      <c r="C201" s="1" t="s">
        <v>1889</v>
      </c>
      <c r="D201" s="188">
        <v>3</v>
      </c>
      <c r="E201" s="6">
        <v>3.4</v>
      </c>
    </row>
    <row r="202" spans="1:19" ht="14.25" customHeight="1">
      <c r="A202" s="115">
        <v>209.03</v>
      </c>
      <c r="B202" s="172"/>
      <c r="C202" s="1" t="s">
        <v>1890</v>
      </c>
      <c r="D202" s="188">
        <v>3</v>
      </c>
      <c r="E202" s="6">
        <v>3.4</v>
      </c>
    </row>
    <row r="203" spans="1:19" ht="14.25" customHeight="1">
      <c r="A203" s="115">
        <v>209.04</v>
      </c>
      <c r="B203" s="172"/>
      <c r="C203" s="1" t="s">
        <v>1891</v>
      </c>
      <c r="D203" s="188">
        <v>3</v>
      </c>
      <c r="E203" s="6">
        <v>3.4</v>
      </c>
    </row>
    <row r="204" spans="1:19" ht="14.25" customHeight="1">
      <c r="A204" s="115">
        <v>209.05</v>
      </c>
      <c r="B204" s="172"/>
      <c r="C204" s="1" t="s">
        <v>1892</v>
      </c>
      <c r="D204" s="188">
        <v>3</v>
      </c>
      <c r="E204" s="6">
        <v>3.4</v>
      </c>
    </row>
    <row r="205" spans="1:19" ht="14.25" customHeight="1">
      <c r="A205" s="115">
        <v>209.06</v>
      </c>
      <c r="B205" s="172"/>
      <c r="C205" s="1" t="s">
        <v>1876</v>
      </c>
      <c r="D205" s="188">
        <v>3</v>
      </c>
      <c r="E205" s="6">
        <v>3.4</v>
      </c>
    </row>
    <row r="206" spans="1:19" ht="14.25" customHeight="1">
      <c r="A206" s="115">
        <v>209.07</v>
      </c>
      <c r="B206" s="172"/>
      <c r="C206" s="1" t="s">
        <v>1893</v>
      </c>
      <c r="D206" s="188">
        <v>3</v>
      </c>
      <c r="E206" s="6">
        <v>3.4</v>
      </c>
    </row>
    <row r="207" spans="1:19" ht="14.25" customHeight="1">
      <c r="A207" s="115">
        <v>209.08</v>
      </c>
      <c r="B207" s="172"/>
      <c r="C207" s="1" t="s">
        <v>1894</v>
      </c>
      <c r="D207" s="188">
        <v>3</v>
      </c>
      <c r="E207" s="6">
        <v>3.4</v>
      </c>
      <c r="S207" s="4"/>
    </row>
    <row r="208" spans="1:19" ht="14.25" customHeight="1">
      <c r="A208" s="115">
        <v>209.09</v>
      </c>
      <c r="B208" s="172"/>
      <c r="C208" s="1" t="s">
        <v>1895</v>
      </c>
      <c r="D208" s="188">
        <v>3</v>
      </c>
      <c r="E208" s="6">
        <v>3.4</v>
      </c>
    </row>
    <row r="209" spans="1:19" ht="14.25" customHeight="1">
      <c r="A209" s="117" t="s">
        <v>3008</v>
      </c>
      <c r="B209" s="172"/>
      <c r="C209" s="1" t="s">
        <v>1896</v>
      </c>
      <c r="D209" s="188">
        <v>3</v>
      </c>
      <c r="E209" s="6">
        <v>3.4</v>
      </c>
    </row>
    <row r="210" spans="1:19" ht="14.25" customHeight="1">
      <c r="A210" s="115">
        <v>211.01</v>
      </c>
      <c r="B210" s="9">
        <f>118.2</f>
        <v>118.2</v>
      </c>
      <c r="C210" s="1" t="s">
        <v>1903</v>
      </c>
      <c r="D210" s="188">
        <v>5</v>
      </c>
      <c r="E210" s="6">
        <v>3</v>
      </c>
    </row>
    <row r="211" spans="1:19" ht="14.25" customHeight="1">
      <c r="A211" s="115">
        <v>211.02</v>
      </c>
      <c r="B211" s="9">
        <f>118.2</f>
        <v>118.2</v>
      </c>
      <c r="C211" s="1" t="s">
        <v>1904</v>
      </c>
      <c r="D211" s="188">
        <v>5</v>
      </c>
      <c r="E211" s="6">
        <v>3</v>
      </c>
    </row>
    <row r="212" spans="1:19" ht="14.25" customHeight="1">
      <c r="A212" s="115">
        <v>211.03</v>
      </c>
      <c r="B212" s="9">
        <f>118.2</f>
        <v>118.2</v>
      </c>
      <c r="C212" s="1" t="s">
        <v>1905</v>
      </c>
      <c r="D212" s="188">
        <v>5</v>
      </c>
      <c r="E212" s="6">
        <v>3</v>
      </c>
    </row>
    <row r="213" spans="1:19" ht="14.25" customHeight="1">
      <c r="A213" s="115">
        <v>211.04</v>
      </c>
      <c r="B213" s="9">
        <f>118.2</f>
        <v>118.2</v>
      </c>
      <c r="C213" s="1" t="s">
        <v>1906</v>
      </c>
      <c r="D213" s="188">
        <v>5</v>
      </c>
      <c r="E213" s="6">
        <v>3</v>
      </c>
    </row>
    <row r="214" spans="1:19" ht="14.25" customHeight="1">
      <c r="A214" s="128">
        <v>212.01</v>
      </c>
      <c r="B214" s="124">
        <f t="shared" ref="B214:B224" si="6">262/30</f>
        <v>8.7333333333333325</v>
      </c>
      <c r="C214" s="7" t="s">
        <v>5999</v>
      </c>
      <c r="D214" s="187">
        <f>10</f>
        <v>10</v>
      </c>
      <c r="E214" s="7">
        <v>0.31</v>
      </c>
    </row>
    <row r="215" spans="1:19" ht="14.25" customHeight="1">
      <c r="A215" s="128">
        <v>212.02</v>
      </c>
      <c r="B215" s="124">
        <f t="shared" si="6"/>
        <v>8.7333333333333325</v>
      </c>
      <c r="C215" s="7" t="s">
        <v>1970</v>
      </c>
      <c r="D215" s="187">
        <f>10</f>
        <v>10</v>
      </c>
      <c r="E215" s="7">
        <v>0.31</v>
      </c>
    </row>
    <row r="216" spans="1:19" ht="14.25" customHeight="1">
      <c r="A216" s="128">
        <v>212.03</v>
      </c>
      <c r="B216" s="124">
        <f t="shared" si="6"/>
        <v>8.7333333333333325</v>
      </c>
      <c r="C216" s="7" t="s">
        <v>5768</v>
      </c>
      <c r="D216" s="187">
        <f>10</f>
        <v>10</v>
      </c>
      <c r="E216" s="7">
        <v>0.31</v>
      </c>
    </row>
    <row r="217" spans="1:19" ht="14.25" customHeight="1">
      <c r="A217" s="128">
        <v>212.04</v>
      </c>
      <c r="B217" s="124">
        <f t="shared" si="6"/>
        <v>8.7333333333333325</v>
      </c>
      <c r="C217" s="7" t="s">
        <v>1972</v>
      </c>
      <c r="D217" s="187">
        <f>10</f>
        <v>10</v>
      </c>
      <c r="E217" s="7">
        <v>0.31</v>
      </c>
    </row>
    <row r="218" spans="1:19" ht="14.25" customHeight="1">
      <c r="A218" s="137" t="s">
        <v>2354</v>
      </c>
      <c r="B218" s="124">
        <f t="shared" si="6"/>
        <v>8.7333333333333325</v>
      </c>
      <c r="C218" s="135" t="s">
        <v>3326</v>
      </c>
      <c r="D218" s="187">
        <f>10</f>
        <v>10</v>
      </c>
      <c r="E218" s="7">
        <v>0.31</v>
      </c>
    </row>
    <row r="219" spans="1:19" ht="14.25" customHeight="1">
      <c r="A219" s="137" t="s">
        <v>2355</v>
      </c>
      <c r="B219" s="124">
        <f t="shared" si="6"/>
        <v>8.7333333333333325</v>
      </c>
      <c r="C219" s="7" t="s">
        <v>5769</v>
      </c>
      <c r="D219" s="187">
        <f>10</f>
        <v>10</v>
      </c>
      <c r="E219" s="7">
        <v>0.31</v>
      </c>
      <c r="S219" s="4"/>
    </row>
    <row r="220" spans="1:19" s="4" customFormat="1" ht="14.25" customHeight="1">
      <c r="A220" s="137" t="s">
        <v>2356</v>
      </c>
      <c r="B220" s="124">
        <f t="shared" si="6"/>
        <v>8.7333333333333325</v>
      </c>
      <c r="C220" s="7" t="s">
        <v>5770</v>
      </c>
      <c r="D220" s="187">
        <f>10</f>
        <v>10</v>
      </c>
      <c r="E220" s="7">
        <v>0.31</v>
      </c>
      <c r="F220" s="7"/>
      <c r="G220" s="7"/>
      <c r="H220" s="7"/>
      <c r="I220" s="7"/>
      <c r="J220" s="7"/>
      <c r="K220" s="7"/>
      <c r="L220" s="7"/>
      <c r="M220" s="7"/>
      <c r="N220" s="7"/>
      <c r="O220" s="7"/>
      <c r="P220" s="7"/>
      <c r="Q220" s="7"/>
      <c r="R220" s="7"/>
      <c r="S220" s="7"/>
    </row>
    <row r="221" spans="1:19" ht="14.25" customHeight="1">
      <c r="A221" s="137" t="s">
        <v>2357</v>
      </c>
      <c r="B221" s="124">
        <f t="shared" si="6"/>
        <v>8.7333333333333325</v>
      </c>
      <c r="C221" s="7" t="s">
        <v>5771</v>
      </c>
      <c r="D221" s="187">
        <f>10</f>
        <v>10</v>
      </c>
      <c r="E221" s="7">
        <v>0.31</v>
      </c>
    </row>
    <row r="222" spans="1:19" ht="14.25" customHeight="1">
      <c r="A222" s="137" t="s">
        <v>2358</v>
      </c>
      <c r="B222" s="124">
        <f t="shared" si="6"/>
        <v>8.7333333333333325</v>
      </c>
      <c r="C222" s="7" t="s">
        <v>5772</v>
      </c>
      <c r="D222" s="187">
        <f>10</f>
        <v>10</v>
      </c>
      <c r="E222" s="7">
        <v>0.31</v>
      </c>
      <c r="S222" s="4"/>
    </row>
    <row r="223" spans="1:19" s="4" customFormat="1" ht="14.25" customHeight="1">
      <c r="A223" s="137" t="s">
        <v>2359</v>
      </c>
      <c r="B223" s="124">
        <f t="shared" si="6"/>
        <v>8.7333333333333325</v>
      </c>
      <c r="C223" s="7" t="s">
        <v>1977</v>
      </c>
      <c r="D223" s="187">
        <f>10</f>
        <v>10</v>
      </c>
      <c r="E223" s="7">
        <v>0.31</v>
      </c>
      <c r="F223" s="7"/>
      <c r="G223" s="7"/>
      <c r="H223" s="7"/>
      <c r="I223" s="7"/>
      <c r="J223" s="7"/>
      <c r="K223" s="7"/>
      <c r="L223" s="7"/>
      <c r="M223" s="7"/>
      <c r="N223" s="7"/>
      <c r="O223" s="7"/>
      <c r="P223" s="7"/>
      <c r="Q223" s="7"/>
      <c r="R223" s="7"/>
      <c r="S223" s="7"/>
    </row>
    <row r="224" spans="1:19" ht="14.25" customHeight="1">
      <c r="A224" s="137" t="s">
        <v>2360</v>
      </c>
      <c r="B224" s="124">
        <f t="shared" si="6"/>
        <v>8.7333333333333325</v>
      </c>
      <c r="C224" s="135" t="s">
        <v>3332</v>
      </c>
      <c r="D224" s="187">
        <f>10</f>
        <v>10</v>
      </c>
      <c r="E224" s="7">
        <v>0.31</v>
      </c>
    </row>
    <row r="225" spans="1:19" ht="14.25" customHeight="1">
      <c r="A225" s="137" t="s">
        <v>2361</v>
      </c>
      <c r="B225" s="9">
        <f t="shared" ref="B225:B235" si="7">189/10</f>
        <v>18.899999999999999</v>
      </c>
      <c r="C225" s="7" t="s">
        <v>1978</v>
      </c>
      <c r="D225" s="187">
        <f>10</f>
        <v>10</v>
      </c>
      <c r="E225" s="7">
        <v>0.49</v>
      </c>
      <c r="S225" s="4"/>
    </row>
    <row r="226" spans="1:19" ht="14.25" customHeight="1">
      <c r="A226" s="137" t="s">
        <v>2362</v>
      </c>
      <c r="B226" s="9">
        <f t="shared" si="7"/>
        <v>18.899999999999999</v>
      </c>
      <c r="C226" s="7" t="s">
        <v>1979</v>
      </c>
      <c r="D226" s="187">
        <f>10</f>
        <v>10</v>
      </c>
      <c r="E226" s="7">
        <v>0.49</v>
      </c>
    </row>
    <row r="227" spans="1:19" ht="14.25" customHeight="1">
      <c r="A227" s="137" t="s">
        <v>2363</v>
      </c>
      <c r="B227" s="9">
        <f t="shared" si="7"/>
        <v>18.899999999999999</v>
      </c>
      <c r="C227" s="7" t="s">
        <v>5773</v>
      </c>
      <c r="D227" s="187">
        <f>10</f>
        <v>10</v>
      </c>
      <c r="E227" s="7">
        <v>0.49</v>
      </c>
    </row>
    <row r="228" spans="1:19" s="4" customFormat="1" ht="14.25" customHeight="1">
      <c r="A228" s="137" t="s">
        <v>2364</v>
      </c>
      <c r="B228" s="9">
        <f t="shared" si="7"/>
        <v>18.899999999999999</v>
      </c>
      <c r="C228" s="7" t="s">
        <v>1981</v>
      </c>
      <c r="D228" s="187">
        <f>10</f>
        <v>10</v>
      </c>
      <c r="E228" s="7">
        <v>0.49</v>
      </c>
      <c r="F228" s="7"/>
      <c r="G228" s="7"/>
      <c r="H228" s="7"/>
      <c r="I228" s="7"/>
      <c r="J228" s="7"/>
      <c r="K228" s="7"/>
      <c r="L228" s="7"/>
      <c r="M228" s="7"/>
      <c r="N228" s="7"/>
      <c r="O228" s="7"/>
      <c r="P228" s="7"/>
      <c r="Q228" s="7"/>
      <c r="R228" s="7"/>
      <c r="S228" s="7"/>
    </row>
    <row r="229" spans="1:19" ht="14.25" customHeight="1">
      <c r="A229" s="137" t="s">
        <v>2365</v>
      </c>
      <c r="B229" s="9">
        <f t="shared" si="7"/>
        <v>18.899999999999999</v>
      </c>
      <c r="C229" s="135" t="s">
        <v>3327</v>
      </c>
      <c r="D229" s="187">
        <f>10</f>
        <v>10</v>
      </c>
      <c r="E229" s="7">
        <v>0.49</v>
      </c>
    </row>
    <row r="230" spans="1:19" ht="14.25" customHeight="1">
      <c r="A230" s="137" t="s">
        <v>2366</v>
      </c>
      <c r="B230" s="9">
        <f t="shared" si="7"/>
        <v>18.899999999999999</v>
      </c>
      <c r="C230" s="7" t="s">
        <v>5774</v>
      </c>
      <c r="D230" s="187">
        <f>10</f>
        <v>10</v>
      </c>
      <c r="E230" s="7">
        <v>0.49</v>
      </c>
    </row>
    <row r="231" spans="1:19" ht="14.25" customHeight="1">
      <c r="A231" s="137" t="s">
        <v>2367</v>
      </c>
      <c r="B231" s="9">
        <f t="shared" si="7"/>
        <v>18.899999999999999</v>
      </c>
      <c r="C231" s="7" t="s">
        <v>5775</v>
      </c>
      <c r="D231" s="187">
        <f>10</f>
        <v>10</v>
      </c>
      <c r="E231" s="7">
        <v>0.49</v>
      </c>
    </row>
    <row r="232" spans="1:19" ht="14.25" customHeight="1">
      <c r="A232" s="137" t="s">
        <v>2368</v>
      </c>
      <c r="B232" s="9">
        <f t="shared" si="7"/>
        <v>18.899999999999999</v>
      </c>
      <c r="C232" s="7" t="s">
        <v>5776</v>
      </c>
      <c r="D232" s="187">
        <f>10</f>
        <v>10</v>
      </c>
      <c r="E232" s="7">
        <v>0.49</v>
      </c>
    </row>
    <row r="233" spans="1:19" ht="14.25" customHeight="1">
      <c r="A233" s="137" t="s">
        <v>2369</v>
      </c>
      <c r="B233" s="9">
        <f t="shared" si="7"/>
        <v>18.899999999999999</v>
      </c>
      <c r="C233" s="7" t="s">
        <v>5777</v>
      </c>
      <c r="D233" s="187">
        <f>10</f>
        <v>10</v>
      </c>
      <c r="E233" s="7">
        <v>0.49</v>
      </c>
    </row>
    <row r="234" spans="1:19" ht="14.25" customHeight="1">
      <c r="A234" s="137" t="s">
        <v>2370</v>
      </c>
      <c r="B234" s="9">
        <f t="shared" si="7"/>
        <v>18.899999999999999</v>
      </c>
      <c r="C234" s="7" t="s">
        <v>1986</v>
      </c>
      <c r="D234" s="187">
        <f>10</f>
        <v>10</v>
      </c>
      <c r="E234" s="7">
        <v>0.49</v>
      </c>
    </row>
    <row r="235" spans="1:19" ht="14.25" customHeight="1">
      <c r="A235" s="137" t="s">
        <v>2371</v>
      </c>
      <c r="B235" s="9">
        <f t="shared" si="7"/>
        <v>18.899999999999999</v>
      </c>
      <c r="C235" s="135" t="s">
        <v>3333</v>
      </c>
      <c r="D235" s="187">
        <f>10</f>
        <v>10</v>
      </c>
      <c r="E235" s="7">
        <v>0.49</v>
      </c>
    </row>
    <row r="236" spans="1:19" ht="14.25" customHeight="1">
      <c r="A236" s="137" t="s">
        <v>2372</v>
      </c>
      <c r="B236" s="124">
        <f t="shared" ref="B236:B246" si="8">343.2/20</f>
        <v>17.16</v>
      </c>
      <c r="C236" s="7" t="s">
        <v>1987</v>
      </c>
      <c r="D236" s="187">
        <f>10</f>
        <v>10</v>
      </c>
      <c r="E236" s="7">
        <v>0.57999999999999996</v>
      </c>
    </row>
    <row r="237" spans="1:19" ht="14.25" customHeight="1">
      <c r="A237" s="137" t="s">
        <v>2373</v>
      </c>
      <c r="B237" s="124">
        <f t="shared" si="8"/>
        <v>17.16</v>
      </c>
      <c r="C237" s="7" t="s">
        <v>1988</v>
      </c>
      <c r="D237" s="187">
        <f>10</f>
        <v>10</v>
      </c>
      <c r="E237" s="7">
        <v>0.57999999999999996</v>
      </c>
    </row>
    <row r="238" spans="1:19" ht="14.25" customHeight="1">
      <c r="A238" s="137" t="s">
        <v>2374</v>
      </c>
      <c r="B238" s="124">
        <f t="shared" si="8"/>
        <v>17.16</v>
      </c>
      <c r="C238" s="7" t="s">
        <v>5778</v>
      </c>
      <c r="D238" s="187">
        <f>10</f>
        <v>10</v>
      </c>
      <c r="E238" s="7">
        <v>0.57999999999999996</v>
      </c>
    </row>
    <row r="239" spans="1:19" ht="14.25" customHeight="1">
      <c r="A239" s="137" t="s">
        <v>2375</v>
      </c>
      <c r="B239" s="124">
        <f t="shared" si="8"/>
        <v>17.16</v>
      </c>
      <c r="C239" s="7" t="s">
        <v>1990</v>
      </c>
      <c r="D239" s="187">
        <f>10</f>
        <v>10</v>
      </c>
      <c r="E239" s="7">
        <v>0.57999999999999996</v>
      </c>
    </row>
    <row r="240" spans="1:19" ht="14.25" customHeight="1">
      <c r="A240" s="137" t="s">
        <v>2376</v>
      </c>
      <c r="B240" s="124">
        <f t="shared" si="8"/>
        <v>17.16</v>
      </c>
      <c r="C240" s="135" t="s">
        <v>3328</v>
      </c>
      <c r="D240" s="187">
        <f>10</f>
        <v>10</v>
      </c>
      <c r="E240" s="7">
        <v>0.57999999999999996</v>
      </c>
    </row>
    <row r="241" spans="1:19" ht="14.25" customHeight="1">
      <c r="A241" s="137" t="s">
        <v>2377</v>
      </c>
      <c r="B241" s="124">
        <f t="shared" si="8"/>
        <v>17.16</v>
      </c>
      <c r="C241" s="7" t="s">
        <v>5779</v>
      </c>
      <c r="D241" s="187">
        <f>10</f>
        <v>10</v>
      </c>
      <c r="E241" s="7">
        <v>0.57999999999999996</v>
      </c>
    </row>
    <row r="242" spans="1:19" ht="14.25" customHeight="1">
      <c r="A242" s="137" t="s">
        <v>2378</v>
      </c>
      <c r="B242" s="124">
        <f t="shared" si="8"/>
        <v>17.16</v>
      </c>
      <c r="C242" s="7" t="s">
        <v>5780</v>
      </c>
      <c r="D242" s="187">
        <f>10</f>
        <v>10</v>
      </c>
      <c r="E242" s="7">
        <v>0.57999999999999996</v>
      </c>
    </row>
    <row r="243" spans="1:19" ht="14.25" customHeight="1">
      <c r="A243" s="137" t="s">
        <v>2379</v>
      </c>
      <c r="B243" s="124">
        <f t="shared" si="8"/>
        <v>17.16</v>
      </c>
      <c r="C243" s="7" t="s">
        <v>6000</v>
      </c>
      <c r="D243" s="187">
        <f>10</f>
        <v>10</v>
      </c>
      <c r="E243" s="7">
        <v>0.57999999999999996</v>
      </c>
    </row>
    <row r="244" spans="1:19" s="4" customFormat="1" ht="14.25" customHeight="1">
      <c r="A244" s="137" t="s">
        <v>2380</v>
      </c>
      <c r="B244" s="124">
        <f t="shared" si="8"/>
        <v>17.16</v>
      </c>
      <c r="C244" s="7" t="s">
        <v>5781</v>
      </c>
      <c r="D244" s="187">
        <f>10</f>
        <v>10</v>
      </c>
      <c r="E244" s="7">
        <v>0.57999999999999996</v>
      </c>
      <c r="F244" s="7"/>
      <c r="G244" s="7"/>
      <c r="H244" s="7"/>
      <c r="I244" s="7"/>
      <c r="J244" s="7"/>
      <c r="K244" s="7"/>
      <c r="L244" s="7"/>
      <c r="M244" s="7"/>
      <c r="N244" s="7"/>
      <c r="O244" s="7"/>
      <c r="P244" s="7"/>
      <c r="Q244" s="7"/>
      <c r="R244" s="7"/>
      <c r="S244" s="7"/>
    </row>
    <row r="245" spans="1:19" ht="14.25" customHeight="1">
      <c r="A245" s="137" t="s">
        <v>2381</v>
      </c>
      <c r="B245" s="124">
        <f t="shared" si="8"/>
        <v>17.16</v>
      </c>
      <c r="C245" s="7" t="s">
        <v>1995</v>
      </c>
      <c r="D245" s="187">
        <f>10</f>
        <v>10</v>
      </c>
      <c r="E245" s="7">
        <v>0.57999999999999996</v>
      </c>
    </row>
    <row r="246" spans="1:19" ht="14.25" customHeight="1">
      <c r="A246" s="137" t="s">
        <v>2382</v>
      </c>
      <c r="B246" s="124">
        <f t="shared" si="8"/>
        <v>17.16</v>
      </c>
      <c r="C246" s="135" t="s">
        <v>3334</v>
      </c>
      <c r="D246" s="187">
        <f>10</f>
        <v>10</v>
      </c>
      <c r="E246" s="7">
        <v>0.57999999999999996</v>
      </c>
    </row>
    <row r="247" spans="1:19" s="4" customFormat="1" ht="14.25" customHeight="1">
      <c r="A247" s="137" t="s">
        <v>2383</v>
      </c>
      <c r="B247" s="124">
        <f t="shared" ref="B247:B257" si="9">298.9/10</f>
        <v>29.889999999999997</v>
      </c>
      <c r="C247" s="7" t="s">
        <v>1996</v>
      </c>
      <c r="D247" s="187">
        <f>10</f>
        <v>10</v>
      </c>
      <c r="E247" s="7">
        <v>0.96</v>
      </c>
      <c r="F247" s="7"/>
      <c r="G247" s="7"/>
      <c r="H247" s="7"/>
      <c r="I247" s="7"/>
      <c r="J247" s="7"/>
      <c r="K247" s="7"/>
      <c r="L247" s="7"/>
      <c r="M247" s="7"/>
      <c r="N247" s="7"/>
      <c r="O247" s="7"/>
      <c r="P247" s="7"/>
      <c r="Q247" s="7"/>
      <c r="R247" s="7"/>
      <c r="S247" s="7"/>
    </row>
    <row r="248" spans="1:19" ht="14.25" customHeight="1">
      <c r="A248" s="137" t="s">
        <v>2384</v>
      </c>
      <c r="B248" s="124">
        <f t="shared" si="9"/>
        <v>29.889999999999997</v>
      </c>
      <c r="C248" s="7" t="s">
        <v>1997</v>
      </c>
      <c r="D248" s="187">
        <f>10</f>
        <v>10</v>
      </c>
      <c r="E248" s="7">
        <v>0.96</v>
      </c>
    </row>
    <row r="249" spans="1:19" ht="14.25" customHeight="1">
      <c r="A249" s="137" t="s">
        <v>2385</v>
      </c>
      <c r="B249" s="124">
        <f t="shared" si="9"/>
        <v>29.889999999999997</v>
      </c>
      <c r="C249" s="7" t="s">
        <v>5782</v>
      </c>
      <c r="D249" s="187">
        <f>10</f>
        <v>10</v>
      </c>
      <c r="E249" s="7">
        <v>0.96</v>
      </c>
    </row>
    <row r="250" spans="1:19" s="4" customFormat="1" ht="14.25" customHeight="1">
      <c r="A250" s="137" t="s">
        <v>2386</v>
      </c>
      <c r="B250" s="124">
        <f t="shared" si="9"/>
        <v>29.889999999999997</v>
      </c>
      <c r="C250" s="7" t="s">
        <v>1999</v>
      </c>
      <c r="D250" s="187">
        <f>10</f>
        <v>10</v>
      </c>
      <c r="E250" s="7">
        <v>0.96</v>
      </c>
      <c r="F250" s="7"/>
      <c r="G250" s="7"/>
      <c r="H250" s="7"/>
      <c r="I250" s="7"/>
      <c r="J250" s="7"/>
      <c r="K250" s="7"/>
      <c r="L250" s="7"/>
      <c r="M250" s="7"/>
      <c r="N250" s="7"/>
      <c r="O250" s="7"/>
      <c r="P250" s="7"/>
      <c r="Q250" s="7"/>
      <c r="R250" s="7"/>
      <c r="S250" s="7"/>
    </row>
    <row r="251" spans="1:19" ht="14.25" customHeight="1">
      <c r="A251" s="137" t="s">
        <v>2387</v>
      </c>
      <c r="B251" s="124">
        <f t="shared" si="9"/>
        <v>29.889999999999997</v>
      </c>
      <c r="C251" s="135" t="s">
        <v>3329</v>
      </c>
      <c r="D251" s="187">
        <f>10</f>
        <v>10</v>
      </c>
      <c r="E251" s="7">
        <v>0.96</v>
      </c>
    </row>
    <row r="252" spans="1:19" ht="14.25" customHeight="1">
      <c r="A252" s="137" t="s">
        <v>2388</v>
      </c>
      <c r="B252" s="124">
        <f t="shared" si="9"/>
        <v>29.889999999999997</v>
      </c>
      <c r="C252" s="7" t="s">
        <v>5783</v>
      </c>
      <c r="D252" s="187">
        <f>10</f>
        <v>10</v>
      </c>
      <c r="E252" s="7">
        <v>0.96</v>
      </c>
    </row>
    <row r="253" spans="1:19" ht="14.25" customHeight="1">
      <c r="A253" s="137" t="s">
        <v>2389</v>
      </c>
      <c r="B253" s="124">
        <f t="shared" si="9"/>
        <v>29.889999999999997</v>
      </c>
      <c r="C253" s="7" t="s">
        <v>5784</v>
      </c>
      <c r="D253" s="187">
        <f>10</f>
        <v>10</v>
      </c>
      <c r="E253" s="7">
        <v>0.96</v>
      </c>
    </row>
    <row r="254" spans="1:19" ht="14.25" customHeight="1">
      <c r="A254" s="137" t="s">
        <v>2390</v>
      </c>
      <c r="B254" s="124">
        <f t="shared" si="9"/>
        <v>29.889999999999997</v>
      </c>
      <c r="C254" s="7" t="s">
        <v>5785</v>
      </c>
      <c r="D254" s="187">
        <f>10</f>
        <v>10</v>
      </c>
      <c r="E254" s="7">
        <v>0.96</v>
      </c>
    </row>
    <row r="255" spans="1:19" ht="14.25" customHeight="1">
      <c r="A255" s="137" t="s">
        <v>2391</v>
      </c>
      <c r="B255" s="124">
        <f t="shared" si="9"/>
        <v>29.889999999999997</v>
      </c>
      <c r="C255" s="7" t="s">
        <v>5786</v>
      </c>
      <c r="D255" s="187">
        <f>10</f>
        <v>10</v>
      </c>
      <c r="E255" s="7">
        <v>0.96</v>
      </c>
    </row>
    <row r="256" spans="1:19" ht="14.25" customHeight="1">
      <c r="A256" s="137" t="s">
        <v>2392</v>
      </c>
      <c r="B256" s="124">
        <f t="shared" si="9"/>
        <v>29.889999999999997</v>
      </c>
      <c r="C256" s="7" t="s">
        <v>2004</v>
      </c>
      <c r="D256" s="187">
        <f>10</f>
        <v>10</v>
      </c>
      <c r="E256" s="7">
        <v>0.96</v>
      </c>
    </row>
    <row r="257" spans="1:5" ht="14.25" customHeight="1">
      <c r="A257" s="137" t="s">
        <v>2393</v>
      </c>
      <c r="B257" s="124">
        <f t="shared" si="9"/>
        <v>29.889999999999997</v>
      </c>
      <c r="C257" s="135" t="s">
        <v>3335</v>
      </c>
      <c r="D257" s="187">
        <f>10</f>
        <v>10</v>
      </c>
      <c r="E257" s="7">
        <v>0.96</v>
      </c>
    </row>
    <row r="258" spans="1:5" ht="14.25" customHeight="1">
      <c r="A258" s="137" t="s">
        <v>2394</v>
      </c>
      <c r="B258" s="124">
        <f t="shared" ref="B258:B268" si="10">332.7/10</f>
        <v>33.269999999999996</v>
      </c>
      <c r="C258" s="7" t="s">
        <v>2005</v>
      </c>
      <c r="D258" s="187">
        <f>10</f>
        <v>10</v>
      </c>
      <c r="E258" s="7">
        <v>1.2</v>
      </c>
    </row>
    <row r="259" spans="1:5" ht="14.25" customHeight="1">
      <c r="A259" s="137" t="s">
        <v>2395</v>
      </c>
      <c r="B259" s="124">
        <f t="shared" si="10"/>
        <v>33.269999999999996</v>
      </c>
      <c r="C259" s="7" t="s">
        <v>2006</v>
      </c>
      <c r="D259" s="187">
        <f>10</f>
        <v>10</v>
      </c>
      <c r="E259" s="7">
        <v>1.2</v>
      </c>
    </row>
    <row r="260" spans="1:5" ht="14.25" customHeight="1">
      <c r="A260" s="137" t="s">
        <v>2396</v>
      </c>
      <c r="B260" s="124">
        <f t="shared" si="10"/>
        <v>33.269999999999996</v>
      </c>
      <c r="C260" s="7" t="s">
        <v>5787</v>
      </c>
      <c r="D260" s="187">
        <f>10</f>
        <v>10</v>
      </c>
      <c r="E260" s="7">
        <v>1.2</v>
      </c>
    </row>
    <row r="261" spans="1:5" ht="14.25" customHeight="1">
      <c r="A261" s="137" t="s">
        <v>2397</v>
      </c>
      <c r="B261" s="124">
        <f t="shared" si="10"/>
        <v>33.269999999999996</v>
      </c>
      <c r="C261" s="7" t="s">
        <v>2008</v>
      </c>
      <c r="D261" s="187">
        <f>10</f>
        <v>10</v>
      </c>
      <c r="E261" s="7">
        <v>1.2</v>
      </c>
    </row>
    <row r="262" spans="1:5" ht="14.25" customHeight="1">
      <c r="A262" s="137" t="s">
        <v>2398</v>
      </c>
      <c r="B262" s="124">
        <f t="shared" si="10"/>
        <v>33.269999999999996</v>
      </c>
      <c r="C262" s="135" t="s">
        <v>3330</v>
      </c>
      <c r="D262" s="187">
        <f>10</f>
        <v>10</v>
      </c>
      <c r="E262" s="7">
        <v>1.2</v>
      </c>
    </row>
    <row r="263" spans="1:5" ht="14.25" customHeight="1">
      <c r="A263" s="137" t="s">
        <v>2399</v>
      </c>
      <c r="B263" s="124">
        <f t="shared" si="10"/>
        <v>33.269999999999996</v>
      </c>
      <c r="C263" s="7" t="s">
        <v>5788</v>
      </c>
      <c r="D263" s="187">
        <f>10</f>
        <v>10</v>
      </c>
      <c r="E263" s="7">
        <v>1.2</v>
      </c>
    </row>
    <row r="264" spans="1:5" ht="14.25" customHeight="1">
      <c r="A264" s="137" t="s">
        <v>2400</v>
      </c>
      <c r="B264" s="124">
        <f t="shared" si="10"/>
        <v>33.269999999999996</v>
      </c>
      <c r="C264" s="7" t="s">
        <v>5789</v>
      </c>
      <c r="D264" s="187">
        <f>10</f>
        <v>10</v>
      </c>
      <c r="E264" s="7">
        <v>1.2</v>
      </c>
    </row>
    <row r="265" spans="1:5" ht="14.25" customHeight="1">
      <c r="A265" s="137" t="s">
        <v>2401</v>
      </c>
      <c r="B265" s="124">
        <f t="shared" si="10"/>
        <v>33.269999999999996</v>
      </c>
      <c r="C265" s="7" t="s">
        <v>5790</v>
      </c>
      <c r="D265" s="187">
        <f>10</f>
        <v>10</v>
      </c>
      <c r="E265" s="7">
        <v>1.2</v>
      </c>
    </row>
    <row r="266" spans="1:5" ht="14.25" customHeight="1">
      <c r="A266" s="137" t="s">
        <v>2402</v>
      </c>
      <c r="B266" s="124">
        <f t="shared" si="10"/>
        <v>33.269999999999996</v>
      </c>
      <c r="C266" s="7" t="s">
        <v>5791</v>
      </c>
      <c r="D266" s="187">
        <f>10</f>
        <v>10</v>
      </c>
      <c r="E266" s="7">
        <v>1.2</v>
      </c>
    </row>
    <row r="267" spans="1:5" ht="14.25" customHeight="1">
      <c r="A267" s="137" t="s">
        <v>2403</v>
      </c>
      <c r="B267" s="124">
        <f t="shared" si="10"/>
        <v>33.269999999999996</v>
      </c>
      <c r="C267" s="7" t="s">
        <v>2013</v>
      </c>
      <c r="D267" s="187">
        <f>10</f>
        <v>10</v>
      </c>
      <c r="E267" s="7">
        <v>1.2</v>
      </c>
    </row>
    <row r="268" spans="1:5" ht="14.25" customHeight="1">
      <c r="A268" s="137" t="s">
        <v>2404</v>
      </c>
      <c r="B268" s="124">
        <f t="shared" si="10"/>
        <v>33.269999999999996</v>
      </c>
      <c r="C268" s="135" t="s">
        <v>3336</v>
      </c>
      <c r="D268" s="187">
        <f>10</f>
        <v>10</v>
      </c>
      <c r="E268" s="7">
        <v>1.2</v>
      </c>
    </row>
    <row r="269" spans="1:5" ht="14.25" customHeight="1">
      <c r="A269" s="137" t="s">
        <v>2405</v>
      </c>
      <c r="B269" s="124">
        <f t="shared" ref="B269:B279" si="11">363.3/5</f>
        <v>72.66</v>
      </c>
      <c r="C269" s="7" t="s">
        <v>2014</v>
      </c>
      <c r="D269" s="187">
        <f>5</f>
        <v>5</v>
      </c>
      <c r="E269" s="7">
        <v>2.4</v>
      </c>
    </row>
    <row r="270" spans="1:5" ht="14.25" customHeight="1">
      <c r="A270" s="137" t="s">
        <v>2406</v>
      </c>
      <c r="B270" s="124">
        <f t="shared" si="11"/>
        <v>72.66</v>
      </c>
      <c r="C270" s="7" t="s">
        <v>2015</v>
      </c>
      <c r="D270" s="187">
        <f>5</f>
        <v>5</v>
      </c>
      <c r="E270" s="7">
        <v>2.4</v>
      </c>
    </row>
    <row r="271" spans="1:5" ht="14.25" customHeight="1">
      <c r="A271" s="137" t="s">
        <v>2407</v>
      </c>
      <c r="B271" s="124">
        <f t="shared" si="11"/>
        <v>72.66</v>
      </c>
      <c r="C271" s="7" t="s">
        <v>5792</v>
      </c>
      <c r="D271" s="187">
        <f>5</f>
        <v>5</v>
      </c>
      <c r="E271" s="7">
        <v>2.4</v>
      </c>
    </row>
    <row r="272" spans="1:5" ht="14.25" customHeight="1">
      <c r="A272" s="137" t="s">
        <v>2408</v>
      </c>
      <c r="B272" s="124">
        <f t="shared" si="11"/>
        <v>72.66</v>
      </c>
      <c r="C272" s="7" t="s">
        <v>2017</v>
      </c>
      <c r="D272" s="187">
        <f>5</f>
        <v>5</v>
      </c>
      <c r="E272" s="7">
        <v>2.4</v>
      </c>
    </row>
    <row r="273" spans="1:19" ht="14.25" customHeight="1">
      <c r="A273" s="137" t="s">
        <v>2409</v>
      </c>
      <c r="B273" s="124">
        <f t="shared" si="11"/>
        <v>72.66</v>
      </c>
      <c r="C273" s="135" t="s">
        <v>3331</v>
      </c>
      <c r="D273" s="187">
        <f>5</f>
        <v>5</v>
      </c>
      <c r="E273" s="7">
        <v>2.4</v>
      </c>
    </row>
    <row r="274" spans="1:19" ht="14.25" customHeight="1">
      <c r="A274" s="137" t="s">
        <v>2410</v>
      </c>
      <c r="B274" s="124">
        <f t="shared" si="11"/>
        <v>72.66</v>
      </c>
      <c r="C274" s="7" t="s">
        <v>5793</v>
      </c>
      <c r="D274" s="187">
        <f>5</f>
        <v>5</v>
      </c>
      <c r="E274" s="7">
        <v>2.4</v>
      </c>
      <c r="S274" s="4"/>
    </row>
    <row r="275" spans="1:19" ht="14.25" customHeight="1">
      <c r="A275" s="137" t="s">
        <v>2411</v>
      </c>
      <c r="B275" s="124">
        <f t="shared" si="11"/>
        <v>72.66</v>
      </c>
      <c r="C275" s="7" t="s">
        <v>5794</v>
      </c>
      <c r="D275" s="187">
        <f>5</f>
        <v>5</v>
      </c>
      <c r="E275" s="7">
        <v>2.4</v>
      </c>
    </row>
    <row r="276" spans="1:19" ht="14.25" customHeight="1">
      <c r="A276" s="137" t="s">
        <v>2412</v>
      </c>
      <c r="B276" s="124">
        <f t="shared" si="11"/>
        <v>72.66</v>
      </c>
      <c r="C276" s="7" t="s">
        <v>5795</v>
      </c>
      <c r="D276" s="187">
        <f>5</f>
        <v>5</v>
      </c>
      <c r="E276" s="7">
        <v>2.4</v>
      </c>
    </row>
    <row r="277" spans="1:19" ht="14.25" customHeight="1">
      <c r="A277" s="137" t="s">
        <v>2413</v>
      </c>
      <c r="B277" s="124">
        <f t="shared" si="11"/>
        <v>72.66</v>
      </c>
      <c r="C277" s="7" t="s">
        <v>5796</v>
      </c>
      <c r="D277" s="187">
        <f>5</f>
        <v>5</v>
      </c>
      <c r="E277" s="7">
        <v>2.4</v>
      </c>
    </row>
    <row r="278" spans="1:19" ht="14.25" customHeight="1">
      <c r="A278" s="137" t="s">
        <v>2414</v>
      </c>
      <c r="B278" s="124">
        <f t="shared" si="11"/>
        <v>72.66</v>
      </c>
      <c r="C278" s="7" t="s">
        <v>2022</v>
      </c>
      <c r="D278" s="187">
        <f>5</f>
        <v>5</v>
      </c>
      <c r="E278" s="7">
        <v>2.4</v>
      </c>
    </row>
    <row r="279" spans="1:19" ht="14.25" customHeight="1">
      <c r="A279" s="137" t="s">
        <v>2415</v>
      </c>
      <c r="B279" s="124">
        <f t="shared" si="11"/>
        <v>72.66</v>
      </c>
      <c r="C279" s="135" t="s">
        <v>3337</v>
      </c>
      <c r="D279" s="187">
        <f>5</f>
        <v>5</v>
      </c>
      <c r="E279" s="7">
        <v>2.4</v>
      </c>
    </row>
    <row r="280" spans="1:19" ht="14.25" customHeight="1">
      <c r="A280" s="128" t="s">
        <v>3017</v>
      </c>
      <c r="B280" s="9">
        <v>13</v>
      </c>
      <c r="C280" s="1" t="s">
        <v>5797</v>
      </c>
      <c r="D280" s="188">
        <v>3</v>
      </c>
      <c r="E280" s="6">
        <v>2.2000000000000002</v>
      </c>
      <c r="S280" s="4"/>
    </row>
    <row r="281" spans="1:19" ht="14.25" customHeight="1">
      <c r="A281" s="128" t="s">
        <v>3018</v>
      </c>
      <c r="B281" s="9">
        <v>13</v>
      </c>
      <c r="C281" s="1" t="s">
        <v>5798</v>
      </c>
      <c r="D281" s="188">
        <v>3</v>
      </c>
      <c r="E281" s="6">
        <v>2.2000000000000002</v>
      </c>
    </row>
    <row r="282" spans="1:19" ht="14.25" customHeight="1">
      <c r="A282" s="128" t="s">
        <v>3019</v>
      </c>
      <c r="B282" s="9">
        <v>13</v>
      </c>
      <c r="C282" s="1" t="s">
        <v>5799</v>
      </c>
      <c r="D282" s="188">
        <v>3</v>
      </c>
      <c r="E282" s="6">
        <v>2.2000000000000002</v>
      </c>
    </row>
    <row r="283" spans="1:19" ht="14.25" customHeight="1">
      <c r="A283" s="128" t="s">
        <v>3020</v>
      </c>
      <c r="B283" s="9">
        <v>13</v>
      </c>
      <c r="C283" s="1" t="s">
        <v>5800</v>
      </c>
      <c r="D283" s="188">
        <v>3</v>
      </c>
      <c r="E283" s="6">
        <v>2.2000000000000002</v>
      </c>
    </row>
    <row r="284" spans="1:19" ht="14.25" customHeight="1">
      <c r="A284" s="128" t="s">
        <v>3021</v>
      </c>
      <c r="B284" s="9">
        <v>13</v>
      </c>
      <c r="C284" s="1" t="s">
        <v>5801</v>
      </c>
      <c r="D284" s="188">
        <v>3</v>
      </c>
      <c r="E284" s="6">
        <v>2.2000000000000002</v>
      </c>
    </row>
    <row r="285" spans="1:19" ht="14.25" customHeight="1">
      <c r="A285" s="128" t="s">
        <v>3022</v>
      </c>
      <c r="B285" s="9">
        <v>13</v>
      </c>
      <c r="C285" s="1" t="s">
        <v>5802</v>
      </c>
      <c r="D285" s="188">
        <v>3</v>
      </c>
      <c r="E285" s="6">
        <v>2.2000000000000002</v>
      </c>
    </row>
    <row r="286" spans="1:19" ht="14.25" customHeight="1">
      <c r="A286" s="128" t="s">
        <v>3023</v>
      </c>
      <c r="B286" s="9">
        <v>13</v>
      </c>
      <c r="C286" s="1" t="s">
        <v>5803</v>
      </c>
      <c r="D286" s="188">
        <v>3</v>
      </c>
      <c r="E286" s="6">
        <v>2.2000000000000002</v>
      </c>
    </row>
    <row r="287" spans="1:19" ht="14.25" customHeight="1">
      <c r="A287" s="128" t="s">
        <v>3024</v>
      </c>
      <c r="B287" s="9">
        <v>13</v>
      </c>
      <c r="C287" s="1" t="s">
        <v>5804</v>
      </c>
      <c r="D287" s="188">
        <v>3</v>
      </c>
      <c r="E287" s="6">
        <v>2.2000000000000002</v>
      </c>
    </row>
    <row r="288" spans="1:19" ht="14.25" customHeight="1">
      <c r="A288" s="128" t="s">
        <v>3025</v>
      </c>
      <c r="B288" s="9">
        <v>13</v>
      </c>
      <c r="C288" s="1" t="s">
        <v>5805</v>
      </c>
      <c r="D288" s="188">
        <v>3</v>
      </c>
      <c r="E288" s="6">
        <v>2.2000000000000002</v>
      </c>
    </row>
    <row r="289" spans="1:19" ht="14.25" customHeight="1">
      <c r="A289" s="128" t="s">
        <v>3026</v>
      </c>
      <c r="B289" s="9">
        <v>13</v>
      </c>
      <c r="C289" s="1" t="s">
        <v>5806</v>
      </c>
      <c r="D289" s="188">
        <v>3</v>
      </c>
      <c r="E289" s="6">
        <v>2.2000000000000002</v>
      </c>
    </row>
    <row r="290" spans="1:19" ht="14.25" customHeight="1">
      <c r="A290" s="128" t="s">
        <v>3027</v>
      </c>
      <c r="B290" s="9">
        <v>13</v>
      </c>
      <c r="C290" s="138" t="s">
        <v>5807</v>
      </c>
      <c r="D290" s="188">
        <v>3</v>
      </c>
      <c r="E290" s="6">
        <v>2.2000000000000002</v>
      </c>
    </row>
    <row r="291" spans="1:19" ht="14.25" customHeight="1">
      <c r="A291" s="128" t="s">
        <v>3028</v>
      </c>
      <c r="B291" s="9">
        <v>13</v>
      </c>
      <c r="C291" s="1" t="s">
        <v>5808</v>
      </c>
      <c r="D291" s="188">
        <v>3</v>
      </c>
      <c r="E291" s="6">
        <v>2.2000000000000002</v>
      </c>
    </row>
    <row r="292" spans="1:19" ht="14.25" customHeight="1">
      <c r="A292" s="128" t="s">
        <v>3029</v>
      </c>
      <c r="B292" s="9">
        <v>13</v>
      </c>
      <c r="C292" s="1" t="s">
        <v>5809</v>
      </c>
      <c r="D292" s="188">
        <v>3</v>
      </c>
      <c r="E292" s="6">
        <v>2.2000000000000002</v>
      </c>
    </row>
    <row r="293" spans="1:19" ht="14.25" customHeight="1">
      <c r="A293" s="128" t="s">
        <v>3030</v>
      </c>
      <c r="B293" s="9">
        <v>13</v>
      </c>
      <c r="C293" s="1" t="s">
        <v>5810</v>
      </c>
      <c r="D293" s="188">
        <v>3</v>
      </c>
      <c r="E293" s="6">
        <v>2.2000000000000002</v>
      </c>
    </row>
    <row r="294" spans="1:19" ht="14.25" customHeight="1">
      <c r="A294" s="128" t="s">
        <v>3031</v>
      </c>
      <c r="B294" s="9">
        <v>13</v>
      </c>
      <c r="C294" s="1" t="s">
        <v>5811</v>
      </c>
      <c r="D294" s="188">
        <v>3</v>
      </c>
      <c r="E294" s="6">
        <v>2.2000000000000002</v>
      </c>
    </row>
    <row r="295" spans="1:19" ht="14.25" customHeight="1">
      <c r="A295" s="128" t="s">
        <v>3032</v>
      </c>
      <c r="B295" s="9">
        <v>13</v>
      </c>
      <c r="C295" s="1" t="s">
        <v>5812</v>
      </c>
      <c r="D295" s="188">
        <v>3</v>
      </c>
      <c r="E295" s="6">
        <v>2.2000000000000002</v>
      </c>
    </row>
    <row r="296" spans="1:19" ht="14.25" customHeight="1">
      <c r="A296" s="128" t="s">
        <v>3033</v>
      </c>
      <c r="B296" s="9">
        <v>13</v>
      </c>
      <c r="C296" s="1" t="s">
        <v>5813</v>
      </c>
      <c r="D296" s="188">
        <v>3</v>
      </c>
      <c r="E296" s="6">
        <v>2.2000000000000002</v>
      </c>
      <c r="S296" s="4"/>
    </row>
    <row r="297" spans="1:19" ht="14.25" customHeight="1">
      <c r="A297" s="128" t="s">
        <v>3034</v>
      </c>
      <c r="B297" s="9">
        <v>13</v>
      </c>
      <c r="C297" s="1" t="s">
        <v>5814</v>
      </c>
      <c r="D297" s="188">
        <v>3</v>
      </c>
      <c r="E297" s="6">
        <v>2.2000000000000002</v>
      </c>
    </row>
    <row r="298" spans="1:19" ht="14.25" customHeight="1">
      <c r="A298" s="128" t="s">
        <v>3035</v>
      </c>
      <c r="B298" s="9">
        <v>13</v>
      </c>
      <c r="C298" s="1" t="s">
        <v>5815</v>
      </c>
      <c r="D298" s="188">
        <v>3</v>
      </c>
      <c r="E298" s="6">
        <v>2.2000000000000002</v>
      </c>
    </row>
    <row r="299" spans="1:19" s="4" customFormat="1" ht="14.25" customHeight="1">
      <c r="A299" s="128" t="s">
        <v>3036</v>
      </c>
      <c r="B299" s="9">
        <v>13</v>
      </c>
      <c r="C299" s="1" t="s">
        <v>5816</v>
      </c>
      <c r="D299" s="188">
        <v>3</v>
      </c>
      <c r="E299" s="6">
        <v>2.2000000000000002</v>
      </c>
      <c r="F299" s="7"/>
      <c r="G299" s="7"/>
      <c r="H299" s="7"/>
      <c r="I299" s="7"/>
      <c r="J299" s="7"/>
      <c r="K299" s="7"/>
      <c r="L299" s="7"/>
      <c r="M299" s="7"/>
      <c r="N299" s="7"/>
      <c r="O299" s="7"/>
      <c r="P299" s="7"/>
      <c r="Q299" s="7"/>
      <c r="R299" s="7"/>
      <c r="S299" s="7"/>
    </row>
    <row r="300" spans="1:19" ht="14.25" customHeight="1">
      <c r="A300" s="128" t="s">
        <v>3037</v>
      </c>
      <c r="B300" s="9">
        <v>13</v>
      </c>
      <c r="C300" s="1" t="s">
        <v>5817</v>
      </c>
      <c r="D300" s="188">
        <v>3</v>
      </c>
      <c r="E300" s="6">
        <v>2.2000000000000002</v>
      </c>
    </row>
    <row r="301" spans="1:19" ht="14.25" customHeight="1">
      <c r="A301" s="128" t="s">
        <v>3038</v>
      </c>
      <c r="B301" s="9">
        <v>13</v>
      </c>
      <c r="C301" s="1" t="s">
        <v>5818</v>
      </c>
      <c r="D301" s="188">
        <v>3</v>
      </c>
      <c r="E301" s="6">
        <v>2.2000000000000002</v>
      </c>
      <c r="S301" s="4"/>
    </row>
    <row r="302" spans="1:19" ht="14.25" customHeight="1">
      <c r="A302" s="120" t="s">
        <v>2416</v>
      </c>
      <c r="B302" s="124">
        <f t="shared" ref="B302:B320" si="12">305.7/10</f>
        <v>30.57</v>
      </c>
      <c r="C302" s="7" t="s">
        <v>1240</v>
      </c>
      <c r="D302" s="187">
        <v>10</v>
      </c>
      <c r="E302" s="7">
        <v>0.72</v>
      </c>
    </row>
    <row r="303" spans="1:19" ht="14.25" customHeight="1">
      <c r="A303" s="120" t="s">
        <v>2417</v>
      </c>
      <c r="B303" s="124">
        <f t="shared" si="12"/>
        <v>30.57</v>
      </c>
      <c r="C303" s="7" t="s">
        <v>1241</v>
      </c>
      <c r="D303" s="187">
        <v>10</v>
      </c>
      <c r="E303" s="7">
        <v>0.72</v>
      </c>
    </row>
    <row r="304" spans="1:19" ht="14.25" customHeight="1">
      <c r="A304" s="120" t="s">
        <v>2418</v>
      </c>
      <c r="B304" s="124">
        <f t="shared" si="12"/>
        <v>30.57</v>
      </c>
      <c r="C304" s="7" t="s">
        <v>1253</v>
      </c>
      <c r="D304" s="187">
        <v>10</v>
      </c>
      <c r="E304" s="7">
        <v>0.72</v>
      </c>
    </row>
    <row r="305" spans="1:19" s="4" customFormat="1" ht="14.25" customHeight="1">
      <c r="A305" s="120" t="s">
        <v>2419</v>
      </c>
      <c r="B305" s="124">
        <f t="shared" si="12"/>
        <v>30.57</v>
      </c>
      <c r="C305" s="7" t="s">
        <v>1245</v>
      </c>
      <c r="D305" s="187">
        <v>10</v>
      </c>
      <c r="E305" s="7">
        <v>0.72</v>
      </c>
      <c r="F305" s="7"/>
      <c r="G305" s="7"/>
      <c r="H305" s="7"/>
      <c r="I305" s="7"/>
      <c r="J305" s="7"/>
      <c r="K305" s="7"/>
      <c r="L305" s="7"/>
      <c r="M305" s="7"/>
      <c r="N305" s="7"/>
      <c r="O305" s="7"/>
      <c r="P305" s="7"/>
      <c r="Q305" s="7"/>
      <c r="R305" s="7"/>
      <c r="S305" s="7"/>
    </row>
    <row r="306" spans="1:19" ht="14.25" customHeight="1">
      <c r="A306" s="120" t="s">
        <v>2420</v>
      </c>
      <c r="B306" s="124">
        <f t="shared" si="12"/>
        <v>30.57</v>
      </c>
      <c r="C306" s="7" t="s">
        <v>1249</v>
      </c>
      <c r="D306" s="187">
        <v>10</v>
      </c>
      <c r="E306" s="7">
        <v>0.72</v>
      </c>
    </row>
    <row r="307" spans="1:19" ht="14.25" customHeight="1">
      <c r="A307" s="120" t="s">
        <v>2421</v>
      </c>
      <c r="B307" s="124">
        <f t="shared" si="12"/>
        <v>30.57</v>
      </c>
      <c r="C307" s="7" t="s">
        <v>1251</v>
      </c>
      <c r="D307" s="187">
        <v>5</v>
      </c>
      <c r="E307" s="7">
        <v>0.72</v>
      </c>
    </row>
    <row r="308" spans="1:19" ht="14.25" customHeight="1">
      <c r="A308" s="120" t="s">
        <v>2422</v>
      </c>
      <c r="B308" s="124">
        <f t="shared" si="12"/>
        <v>30.57</v>
      </c>
      <c r="C308" s="7" t="s">
        <v>1248</v>
      </c>
      <c r="D308" s="187">
        <v>10</v>
      </c>
      <c r="E308" s="7">
        <v>0.72</v>
      </c>
      <c r="S308" s="4"/>
    </row>
    <row r="309" spans="1:19" ht="14.25" customHeight="1">
      <c r="A309" s="120" t="s">
        <v>2423</v>
      </c>
      <c r="B309" s="124">
        <f t="shared" si="12"/>
        <v>30.57</v>
      </c>
      <c r="C309" s="7" t="s">
        <v>1255</v>
      </c>
      <c r="D309" s="187">
        <v>10</v>
      </c>
      <c r="E309" s="7">
        <v>0.72</v>
      </c>
    </row>
    <row r="310" spans="1:19" ht="14.25" customHeight="1">
      <c r="A310" s="120" t="s">
        <v>2424</v>
      </c>
      <c r="B310" s="124">
        <f t="shared" si="12"/>
        <v>30.57</v>
      </c>
      <c r="C310" s="7" t="s">
        <v>1250</v>
      </c>
      <c r="D310" s="187">
        <v>10</v>
      </c>
      <c r="E310" s="7">
        <v>0.72</v>
      </c>
    </row>
    <row r="311" spans="1:19" ht="14.25" customHeight="1">
      <c r="A311" s="120" t="s">
        <v>2425</v>
      </c>
      <c r="B311" s="124">
        <f t="shared" si="12"/>
        <v>30.57</v>
      </c>
      <c r="C311" s="7" t="s">
        <v>1257</v>
      </c>
      <c r="D311" s="187">
        <v>5</v>
      </c>
      <c r="E311" s="7">
        <v>0.72</v>
      </c>
    </row>
    <row r="312" spans="1:19" ht="14.25" customHeight="1">
      <c r="A312" s="120" t="s">
        <v>2426</v>
      </c>
      <c r="B312" s="124">
        <f t="shared" si="12"/>
        <v>30.57</v>
      </c>
      <c r="C312" s="7" t="s">
        <v>1368</v>
      </c>
      <c r="D312" s="187">
        <v>5</v>
      </c>
      <c r="E312" s="7">
        <v>0.72</v>
      </c>
    </row>
    <row r="313" spans="1:19" ht="14.25" customHeight="1">
      <c r="A313" s="120" t="s">
        <v>2427</v>
      </c>
      <c r="B313" s="124">
        <f t="shared" si="12"/>
        <v>30.57</v>
      </c>
      <c r="C313" s="7" t="s">
        <v>1252</v>
      </c>
      <c r="D313" s="187">
        <v>3</v>
      </c>
      <c r="E313" s="7">
        <v>0.72</v>
      </c>
    </row>
    <row r="314" spans="1:19" ht="14.25" customHeight="1">
      <c r="A314" s="120" t="s">
        <v>2428</v>
      </c>
      <c r="B314" s="124">
        <f t="shared" si="12"/>
        <v>30.57</v>
      </c>
      <c r="C314" s="7" t="s">
        <v>1256</v>
      </c>
      <c r="D314" s="187">
        <v>3</v>
      </c>
      <c r="E314" s="7">
        <v>0.72</v>
      </c>
    </row>
    <row r="315" spans="1:19" ht="14.25" customHeight="1">
      <c r="A315" s="120" t="s">
        <v>2429</v>
      </c>
      <c r="B315" s="124">
        <f t="shared" si="12"/>
        <v>30.57</v>
      </c>
      <c r="C315" s="7" t="s">
        <v>1244</v>
      </c>
      <c r="D315" s="187">
        <v>3</v>
      </c>
      <c r="E315" s="7">
        <v>0.72</v>
      </c>
    </row>
    <row r="316" spans="1:19" ht="14.25" customHeight="1">
      <c r="A316" s="120" t="s">
        <v>2430</v>
      </c>
      <c r="B316" s="124">
        <f t="shared" si="12"/>
        <v>30.57</v>
      </c>
      <c r="C316" s="7" t="s">
        <v>1254</v>
      </c>
      <c r="D316" s="187">
        <v>3</v>
      </c>
      <c r="E316" s="7">
        <v>0.72</v>
      </c>
    </row>
    <row r="317" spans="1:19" ht="14.25" customHeight="1">
      <c r="A317" s="120" t="s">
        <v>2431</v>
      </c>
      <c r="B317" s="124">
        <f t="shared" si="12"/>
        <v>30.57</v>
      </c>
      <c r="C317" s="7" t="s">
        <v>1247</v>
      </c>
      <c r="D317" s="187">
        <v>5</v>
      </c>
      <c r="E317" s="7">
        <v>0.72</v>
      </c>
    </row>
    <row r="318" spans="1:19" ht="14.25" customHeight="1">
      <c r="A318" s="120" t="s">
        <v>2432</v>
      </c>
      <c r="B318" s="124">
        <f t="shared" si="12"/>
        <v>30.57</v>
      </c>
      <c r="C318" s="7" t="s">
        <v>1242</v>
      </c>
      <c r="D318" s="187">
        <v>5</v>
      </c>
      <c r="E318" s="7">
        <v>0.72</v>
      </c>
    </row>
    <row r="319" spans="1:19" ht="14.25" customHeight="1">
      <c r="A319" s="120" t="s">
        <v>2433</v>
      </c>
      <c r="B319" s="124">
        <f t="shared" si="12"/>
        <v>30.57</v>
      </c>
      <c r="C319" s="7" t="s">
        <v>1243</v>
      </c>
      <c r="D319" s="187">
        <v>5</v>
      </c>
      <c r="E319" s="7">
        <v>0.72</v>
      </c>
    </row>
    <row r="320" spans="1:19" ht="14.25" customHeight="1">
      <c r="A320" s="120" t="s">
        <v>2434</v>
      </c>
      <c r="B320" s="124">
        <f t="shared" si="12"/>
        <v>30.57</v>
      </c>
      <c r="C320" s="105" t="s">
        <v>3148</v>
      </c>
      <c r="D320" s="187">
        <v>5</v>
      </c>
      <c r="E320" s="7">
        <v>0.72</v>
      </c>
    </row>
    <row r="321" spans="1:19" s="4" customFormat="1" ht="14.25" customHeight="1">
      <c r="A321" s="128" t="s">
        <v>2506</v>
      </c>
      <c r="B321" s="9">
        <v>10</v>
      </c>
      <c r="C321" s="7" t="s">
        <v>1310</v>
      </c>
      <c r="D321" s="187">
        <v>3</v>
      </c>
      <c r="E321" s="7">
        <v>1</v>
      </c>
      <c r="F321" s="7"/>
      <c r="G321" s="7"/>
      <c r="H321" s="7"/>
      <c r="I321" s="7"/>
      <c r="J321" s="7"/>
      <c r="K321" s="7"/>
      <c r="L321" s="7"/>
      <c r="M321" s="7"/>
      <c r="N321" s="7"/>
      <c r="O321" s="7"/>
      <c r="P321" s="7"/>
      <c r="Q321" s="7"/>
      <c r="R321" s="7"/>
      <c r="S321" s="7"/>
    </row>
    <row r="322" spans="1:19" ht="14.25" customHeight="1">
      <c r="A322" s="128" t="s">
        <v>2507</v>
      </c>
      <c r="B322" s="9">
        <v>10</v>
      </c>
      <c r="C322" s="7" t="s">
        <v>1314</v>
      </c>
      <c r="D322" s="187">
        <v>3</v>
      </c>
      <c r="E322" s="7">
        <v>1.2</v>
      </c>
    </row>
    <row r="323" spans="1:19" ht="14.25" customHeight="1">
      <c r="A323" s="128" t="s">
        <v>2508</v>
      </c>
      <c r="B323" s="9">
        <v>10</v>
      </c>
      <c r="C323" s="7" t="s">
        <v>1313</v>
      </c>
      <c r="D323" s="187">
        <v>3</v>
      </c>
      <c r="E323" s="7">
        <v>1.2</v>
      </c>
    </row>
    <row r="324" spans="1:19" ht="14.25" customHeight="1">
      <c r="A324" s="128" t="s">
        <v>2509</v>
      </c>
      <c r="B324" s="9">
        <v>10</v>
      </c>
      <c r="C324" s="7" t="s">
        <v>1312</v>
      </c>
      <c r="D324" s="187">
        <v>3</v>
      </c>
      <c r="E324" s="7">
        <v>1.2</v>
      </c>
    </row>
    <row r="325" spans="1:19" ht="14.25" customHeight="1">
      <c r="A325" s="128" t="s">
        <v>2510</v>
      </c>
      <c r="B325" s="9">
        <v>10</v>
      </c>
      <c r="C325" s="7" t="s">
        <v>5819</v>
      </c>
      <c r="D325" s="187">
        <v>3</v>
      </c>
      <c r="E325" s="7">
        <v>1.2</v>
      </c>
    </row>
    <row r="326" spans="1:19" s="4" customFormat="1" ht="14.25" customHeight="1">
      <c r="A326" s="128" t="s">
        <v>2511</v>
      </c>
      <c r="B326" s="9">
        <v>10</v>
      </c>
      <c r="C326" s="135" t="s">
        <v>3323</v>
      </c>
      <c r="D326" s="187">
        <v>3</v>
      </c>
      <c r="E326" s="7">
        <v>1.2</v>
      </c>
      <c r="F326" s="7"/>
      <c r="G326" s="7"/>
      <c r="H326" s="7"/>
      <c r="I326" s="7"/>
      <c r="J326" s="7"/>
      <c r="K326" s="7"/>
      <c r="L326" s="7"/>
      <c r="M326" s="7"/>
      <c r="N326" s="7"/>
      <c r="O326" s="7"/>
      <c r="P326" s="7"/>
      <c r="Q326" s="7"/>
      <c r="R326" s="7"/>
      <c r="S326" s="7"/>
    </row>
    <row r="327" spans="1:19" ht="14.25" customHeight="1">
      <c r="A327" s="128" t="s">
        <v>2512</v>
      </c>
      <c r="B327" s="9">
        <v>10</v>
      </c>
      <c r="C327" s="135" t="s">
        <v>3321</v>
      </c>
      <c r="D327" s="187">
        <v>3</v>
      </c>
      <c r="E327" s="7">
        <v>1.2</v>
      </c>
    </row>
    <row r="328" spans="1:19" ht="14.25" customHeight="1">
      <c r="A328" s="128" t="s">
        <v>2513</v>
      </c>
      <c r="B328" s="9">
        <v>10</v>
      </c>
      <c r="C328" s="135" t="s">
        <v>3319</v>
      </c>
      <c r="D328" s="187">
        <v>3</v>
      </c>
      <c r="E328" s="7">
        <v>1.2</v>
      </c>
    </row>
    <row r="329" spans="1:19" ht="14.25" customHeight="1">
      <c r="A329" s="128" t="s">
        <v>2514</v>
      </c>
      <c r="B329" s="9">
        <v>22</v>
      </c>
      <c r="C329" s="7" t="s">
        <v>1315</v>
      </c>
      <c r="D329" s="187">
        <v>3</v>
      </c>
      <c r="E329" s="7">
        <v>2</v>
      </c>
      <c r="S329" s="4"/>
    </row>
    <row r="330" spans="1:19" ht="14.25" customHeight="1">
      <c r="A330" s="128" t="s">
        <v>2515</v>
      </c>
      <c r="B330" s="9">
        <v>22</v>
      </c>
      <c r="C330" s="7" t="s">
        <v>1316</v>
      </c>
      <c r="D330" s="187">
        <v>3</v>
      </c>
      <c r="E330" s="7">
        <v>2</v>
      </c>
    </row>
    <row r="331" spans="1:19" ht="14.25" customHeight="1">
      <c r="A331" s="128" t="s">
        <v>2516</v>
      </c>
      <c r="B331" s="9">
        <v>22</v>
      </c>
      <c r="C331" s="136" t="s">
        <v>3324</v>
      </c>
      <c r="D331" s="187">
        <v>3</v>
      </c>
      <c r="E331" s="7">
        <v>2</v>
      </c>
    </row>
    <row r="332" spans="1:19" ht="14.25" customHeight="1">
      <c r="A332" s="128" t="s">
        <v>2517</v>
      </c>
      <c r="B332" s="9">
        <v>22</v>
      </c>
      <c r="C332" s="7" t="s">
        <v>1317</v>
      </c>
      <c r="D332" s="187">
        <v>3</v>
      </c>
      <c r="E332" s="7">
        <v>2</v>
      </c>
    </row>
    <row r="333" spans="1:19" s="4" customFormat="1" ht="14.25" customHeight="1">
      <c r="A333" s="128" t="s">
        <v>2518</v>
      </c>
      <c r="B333" s="9">
        <v>22</v>
      </c>
      <c r="C333" s="7" t="s">
        <v>5820</v>
      </c>
      <c r="D333" s="187">
        <v>3</v>
      </c>
      <c r="E333" s="7">
        <v>2</v>
      </c>
      <c r="F333" s="7"/>
      <c r="G333" s="7"/>
      <c r="H333" s="7"/>
      <c r="I333" s="7"/>
      <c r="J333" s="7"/>
      <c r="K333" s="7"/>
      <c r="L333" s="7"/>
      <c r="M333" s="7"/>
      <c r="N333" s="7"/>
      <c r="O333" s="7"/>
      <c r="P333" s="7"/>
      <c r="Q333" s="7"/>
      <c r="R333" s="7"/>
      <c r="S333" s="7"/>
    </row>
    <row r="334" spans="1:19" ht="14.25" customHeight="1">
      <c r="A334" s="128" t="s">
        <v>2519</v>
      </c>
      <c r="B334" s="9">
        <v>22</v>
      </c>
      <c r="C334" s="135" t="s">
        <v>3320</v>
      </c>
      <c r="D334" s="187">
        <v>3</v>
      </c>
      <c r="E334" s="7">
        <v>2</v>
      </c>
    </row>
    <row r="335" spans="1:19" ht="14.25" customHeight="1">
      <c r="A335" s="128" t="s">
        <v>2520</v>
      </c>
      <c r="B335" s="9">
        <v>22</v>
      </c>
      <c r="C335" s="135" t="s">
        <v>3322</v>
      </c>
      <c r="D335" s="187">
        <v>3</v>
      </c>
      <c r="E335" s="7">
        <v>2</v>
      </c>
    </row>
    <row r="336" spans="1:19" ht="14.25" customHeight="1">
      <c r="A336" s="128" t="s">
        <v>2556</v>
      </c>
      <c r="B336" s="124">
        <f>11.6/3</f>
        <v>3.8666666666666667</v>
      </c>
      <c r="C336" s="7" t="s">
        <v>1538</v>
      </c>
      <c r="D336" s="187">
        <v>3</v>
      </c>
      <c r="E336" s="7">
        <v>0.15</v>
      </c>
    </row>
    <row r="337" spans="1:19" ht="14.25" customHeight="1">
      <c r="A337" s="128" t="s">
        <v>2557</v>
      </c>
      <c r="B337" s="124">
        <f>34.4/3</f>
        <v>11.466666666666667</v>
      </c>
      <c r="C337" s="7" t="s">
        <v>1539</v>
      </c>
      <c r="D337" s="187">
        <v>3</v>
      </c>
      <c r="E337" s="7">
        <v>0.45</v>
      </c>
    </row>
    <row r="338" spans="1:19" ht="14.25" customHeight="1">
      <c r="A338" s="128" t="s">
        <v>2558</v>
      </c>
      <c r="B338" s="124">
        <f>99.7/3</f>
        <v>33.233333333333334</v>
      </c>
      <c r="C338" s="7" t="s">
        <v>1540</v>
      </c>
      <c r="D338" s="187">
        <v>3</v>
      </c>
      <c r="E338" s="7">
        <v>0.9</v>
      </c>
    </row>
    <row r="339" spans="1:19" ht="14.25" customHeight="1">
      <c r="A339" s="128" t="s">
        <v>2559</v>
      </c>
      <c r="B339" s="124">
        <f>162.1/3</f>
        <v>54.033333333333331</v>
      </c>
      <c r="C339" s="7" t="s">
        <v>1541</v>
      </c>
      <c r="D339" s="187">
        <v>3</v>
      </c>
      <c r="E339" s="7">
        <v>1.5</v>
      </c>
      <c r="S339" s="4"/>
    </row>
    <row r="340" spans="1:19" ht="14.25" customHeight="1">
      <c r="A340" s="128" t="s">
        <v>2560</v>
      </c>
      <c r="B340" s="124">
        <f>201.8/3</f>
        <v>67.266666666666666</v>
      </c>
      <c r="C340" s="7" t="s">
        <v>1542</v>
      </c>
      <c r="D340" s="187">
        <v>3</v>
      </c>
      <c r="E340" s="7">
        <v>1.88</v>
      </c>
    </row>
    <row r="341" spans="1:19" ht="14.25" customHeight="1">
      <c r="A341" s="128" t="s">
        <v>2561</v>
      </c>
      <c r="B341" s="124">
        <f>322/3</f>
        <v>107.33333333333333</v>
      </c>
      <c r="C341" s="7" t="s">
        <v>1543</v>
      </c>
      <c r="D341" s="187">
        <v>3</v>
      </c>
      <c r="E341" s="7">
        <v>3</v>
      </c>
    </row>
    <row r="342" spans="1:19" ht="14.25" customHeight="1">
      <c r="A342" s="128" t="s">
        <v>2562</v>
      </c>
      <c r="B342" s="124">
        <f>405.5/3</f>
        <v>135.16666666666666</v>
      </c>
      <c r="C342" s="7" t="s">
        <v>1537</v>
      </c>
      <c r="D342" s="187">
        <v>3</v>
      </c>
      <c r="E342" s="7">
        <v>3.75</v>
      </c>
    </row>
    <row r="343" spans="1:19" ht="14.25" customHeight="1">
      <c r="A343" s="128" t="s">
        <v>2563</v>
      </c>
      <c r="B343" s="124">
        <f>19.4/3</f>
        <v>6.4666666666666659</v>
      </c>
      <c r="C343" s="7" t="s">
        <v>1343</v>
      </c>
      <c r="D343" s="187">
        <v>3</v>
      </c>
      <c r="E343" s="7">
        <v>0.21</v>
      </c>
    </row>
    <row r="344" spans="1:19" ht="14.25" customHeight="1">
      <c r="A344" s="128" t="s">
        <v>2564</v>
      </c>
      <c r="B344" s="124">
        <f>62/3</f>
        <v>20.666666666666668</v>
      </c>
      <c r="C344" s="7" t="s">
        <v>1344</v>
      </c>
      <c r="D344" s="187">
        <v>3</v>
      </c>
      <c r="E344" s="7">
        <v>0.56999999999999995</v>
      </c>
    </row>
    <row r="345" spans="1:19" ht="14.25" customHeight="1">
      <c r="A345" s="128" t="s">
        <v>2565</v>
      </c>
      <c r="B345" s="124">
        <f>123.1/3</f>
        <v>41.033333333333331</v>
      </c>
      <c r="C345" s="7" t="s">
        <v>1345</v>
      </c>
      <c r="D345" s="187">
        <v>3</v>
      </c>
      <c r="E345" s="7">
        <v>1.1200000000000001</v>
      </c>
    </row>
    <row r="346" spans="1:19" ht="14.25" customHeight="1">
      <c r="A346" s="128" t="s">
        <v>2566</v>
      </c>
      <c r="B346" s="124">
        <f>205.4/3</f>
        <v>68.466666666666669</v>
      </c>
      <c r="C346" s="7" t="s">
        <v>1346</v>
      </c>
      <c r="D346" s="187">
        <v>3</v>
      </c>
      <c r="E346" s="7">
        <v>1.84</v>
      </c>
    </row>
    <row r="347" spans="1:19" ht="14.25" customHeight="1">
      <c r="A347" s="128" t="s">
        <v>2567</v>
      </c>
      <c r="B347" s="124">
        <f>323.4/3</f>
        <v>107.8</v>
      </c>
      <c r="C347" s="7" t="s">
        <v>1347</v>
      </c>
      <c r="D347" s="187">
        <v>3</v>
      </c>
      <c r="E347" s="7">
        <v>2.29</v>
      </c>
    </row>
    <row r="348" spans="1:19" ht="14.25" customHeight="1">
      <c r="A348" s="128" t="s">
        <v>2568</v>
      </c>
      <c r="B348" s="9">
        <v>49.6</v>
      </c>
      <c r="C348" s="7" t="s">
        <v>1544</v>
      </c>
      <c r="D348" s="187">
        <v>5</v>
      </c>
      <c r="E348" s="7">
        <v>2</v>
      </c>
    </row>
    <row r="349" spans="1:19" ht="14.25" customHeight="1">
      <c r="A349" s="128" t="s">
        <v>2569</v>
      </c>
      <c r="B349" s="9">
        <v>114.9</v>
      </c>
      <c r="C349" s="7" t="s">
        <v>1545</v>
      </c>
      <c r="D349" s="187">
        <v>3</v>
      </c>
      <c r="E349" s="7">
        <v>3.7</v>
      </c>
    </row>
    <row r="350" spans="1:19" ht="14.25" customHeight="1">
      <c r="A350" s="128" t="s">
        <v>2570</v>
      </c>
      <c r="B350" s="9">
        <v>86.2</v>
      </c>
      <c r="C350" s="7" t="s">
        <v>1546</v>
      </c>
      <c r="D350" s="187">
        <v>3</v>
      </c>
      <c r="E350" s="7">
        <v>2.5</v>
      </c>
    </row>
    <row r="351" spans="1:19" ht="14.25" customHeight="1">
      <c r="A351" s="128" t="s">
        <v>2571</v>
      </c>
      <c r="B351" s="9">
        <v>121.4</v>
      </c>
      <c r="C351" s="7" t="s">
        <v>1547</v>
      </c>
      <c r="D351" s="187">
        <v>3</v>
      </c>
      <c r="E351" s="7">
        <v>3.7</v>
      </c>
    </row>
    <row r="352" spans="1:19" ht="14.25" customHeight="1">
      <c r="A352" s="128" t="s">
        <v>2572</v>
      </c>
      <c r="B352" s="9">
        <v>169.4</v>
      </c>
      <c r="C352" s="7" t="s">
        <v>1548</v>
      </c>
      <c r="D352" s="187">
        <v>3</v>
      </c>
      <c r="E352" s="7">
        <v>3.18</v>
      </c>
      <c r="S352" s="4"/>
    </row>
    <row r="353" spans="1:19" ht="14.25" customHeight="1">
      <c r="A353" s="128" t="s">
        <v>2573</v>
      </c>
      <c r="B353" s="9">
        <v>169.4</v>
      </c>
      <c r="C353" s="7" t="s">
        <v>1549</v>
      </c>
      <c r="D353" s="187">
        <v>3</v>
      </c>
      <c r="E353" s="7">
        <v>3.18</v>
      </c>
    </row>
    <row r="354" spans="1:19" s="4" customFormat="1" ht="14.25" customHeight="1">
      <c r="A354" s="128" t="s">
        <v>2574</v>
      </c>
      <c r="B354" s="9">
        <v>162.19999999999999</v>
      </c>
      <c r="C354" s="7" t="s">
        <v>1550</v>
      </c>
      <c r="D354" s="187">
        <v>3</v>
      </c>
      <c r="E354" s="7">
        <v>3.18</v>
      </c>
      <c r="F354" s="7"/>
      <c r="G354" s="7"/>
      <c r="H354" s="7"/>
      <c r="I354" s="7"/>
      <c r="J354" s="7"/>
      <c r="K354" s="7"/>
      <c r="L354" s="7"/>
      <c r="M354" s="7"/>
      <c r="N354" s="7"/>
      <c r="O354" s="7"/>
      <c r="P354" s="7"/>
      <c r="Q354" s="7"/>
      <c r="R354" s="7"/>
      <c r="S354" s="7"/>
    </row>
    <row r="355" spans="1:19" ht="14.25" customHeight="1">
      <c r="A355" s="128" t="s">
        <v>2575</v>
      </c>
      <c r="B355" s="9">
        <v>70</v>
      </c>
      <c r="C355" s="7" t="s">
        <v>1384</v>
      </c>
      <c r="D355" s="187">
        <v>5</v>
      </c>
      <c r="E355" s="7">
        <v>0.57999999999999996</v>
      </c>
    </row>
    <row r="356" spans="1:19" ht="14.25" customHeight="1">
      <c r="A356" s="128" t="s">
        <v>2576</v>
      </c>
      <c r="B356" s="9">
        <v>70</v>
      </c>
      <c r="C356" s="7" t="s">
        <v>1385</v>
      </c>
      <c r="D356" s="187">
        <v>5</v>
      </c>
      <c r="E356" s="7">
        <v>0.57999999999999996</v>
      </c>
    </row>
    <row r="357" spans="1:19" ht="14.25" customHeight="1">
      <c r="A357" s="128" t="s">
        <v>2577</v>
      </c>
      <c r="B357" s="9">
        <v>70</v>
      </c>
      <c r="C357" s="7" t="s">
        <v>1386</v>
      </c>
      <c r="D357" s="187">
        <v>5</v>
      </c>
      <c r="E357" s="7">
        <v>0.57999999999999996</v>
      </c>
      <c r="S357" s="4"/>
    </row>
    <row r="358" spans="1:19" ht="14.25" customHeight="1">
      <c r="A358" s="128" t="s">
        <v>2578</v>
      </c>
      <c r="B358" s="9">
        <v>8.6999999999999993</v>
      </c>
      <c r="C358" s="7" t="s">
        <v>1551</v>
      </c>
      <c r="D358" s="187">
        <v>10</v>
      </c>
      <c r="E358" s="7">
        <v>0.5</v>
      </c>
    </row>
    <row r="359" spans="1:19" ht="14.25" customHeight="1">
      <c r="A359" s="119" t="s">
        <v>3010</v>
      </c>
      <c r="B359" s="9">
        <v>6.7</v>
      </c>
      <c r="C359" s="1" t="s">
        <v>1898</v>
      </c>
      <c r="D359" s="188">
        <f>3*8</f>
        <v>24</v>
      </c>
      <c r="E359" s="6">
        <f>4.5/8</f>
        <v>0.5625</v>
      </c>
    </row>
    <row r="360" spans="1:19" ht="14.25" customHeight="1">
      <c r="A360" s="119" t="s">
        <v>3011</v>
      </c>
      <c r="B360" s="9">
        <v>6.8</v>
      </c>
      <c r="C360" s="1" t="s">
        <v>1899</v>
      </c>
      <c r="D360" s="188">
        <f>3*8</f>
        <v>24</v>
      </c>
      <c r="E360" s="6">
        <f>4.5/8</f>
        <v>0.5625</v>
      </c>
    </row>
    <row r="361" spans="1:19" ht="14.25" customHeight="1">
      <c r="A361" s="119" t="s">
        <v>3012</v>
      </c>
      <c r="B361" s="9">
        <v>11.8</v>
      </c>
      <c r="C361" s="1" t="s">
        <v>1900</v>
      </c>
      <c r="D361" s="188">
        <f>3*8</f>
        <v>24</v>
      </c>
      <c r="E361" s="6">
        <f>8/8</f>
        <v>1</v>
      </c>
    </row>
    <row r="362" spans="1:19" ht="14.25" customHeight="1">
      <c r="A362" s="119" t="s">
        <v>3013</v>
      </c>
      <c r="B362" s="9">
        <v>11.2</v>
      </c>
      <c r="C362" s="1" t="s">
        <v>1901</v>
      </c>
      <c r="D362" s="188">
        <f>3*8</f>
        <v>24</v>
      </c>
      <c r="E362" s="6">
        <f>8/8</f>
        <v>1</v>
      </c>
    </row>
    <row r="363" spans="1:19" s="4" customFormat="1" ht="14.25" customHeight="1">
      <c r="A363" s="119" t="s">
        <v>3154</v>
      </c>
      <c r="B363" s="9">
        <v>13.3</v>
      </c>
      <c r="C363" s="105" t="s">
        <v>3155</v>
      </c>
      <c r="D363" s="188">
        <v>4</v>
      </c>
      <c r="E363" s="127">
        <v>0</v>
      </c>
      <c r="F363" s="7"/>
      <c r="G363" s="7"/>
      <c r="H363" s="7"/>
      <c r="I363" s="7"/>
      <c r="J363" s="7"/>
      <c r="K363" s="7"/>
      <c r="L363" s="7"/>
      <c r="M363" s="7"/>
      <c r="N363" s="7"/>
      <c r="O363" s="7"/>
      <c r="P363" s="7"/>
      <c r="Q363" s="7"/>
      <c r="R363" s="7"/>
      <c r="S363" s="7"/>
    </row>
    <row r="364" spans="1:19" ht="14.25" customHeight="1">
      <c r="A364" s="119" t="s">
        <v>2661</v>
      </c>
      <c r="B364" s="124">
        <f>503/25</f>
        <v>20.12</v>
      </c>
      <c r="C364" s="7" t="s">
        <v>1466</v>
      </c>
      <c r="D364" s="187">
        <v>25</v>
      </c>
      <c r="E364" s="56">
        <f>0.29*2</f>
        <v>0.57999999999999996</v>
      </c>
    </row>
    <row r="365" spans="1:19" ht="14.25" customHeight="1">
      <c r="A365" s="119" t="s">
        <v>2662</v>
      </c>
      <c r="B365" s="124">
        <f>593/25</f>
        <v>23.72</v>
      </c>
      <c r="C365" s="7" t="s">
        <v>1468</v>
      </c>
      <c r="D365" s="187">
        <v>25</v>
      </c>
      <c r="E365" s="56">
        <f>0.36*2</f>
        <v>0.72</v>
      </c>
    </row>
    <row r="366" spans="1:19" ht="14.25" customHeight="1">
      <c r="A366" s="119" t="s">
        <v>2663</v>
      </c>
      <c r="B366" s="124">
        <f>732/25</f>
        <v>29.28</v>
      </c>
      <c r="C366" s="7" t="s">
        <v>1470</v>
      </c>
      <c r="D366" s="187">
        <v>25</v>
      </c>
      <c r="E366" s="56">
        <f>0.45*2</f>
        <v>0.9</v>
      </c>
    </row>
    <row r="367" spans="1:19" ht="14.25" customHeight="1">
      <c r="A367" s="119" t="s">
        <v>2664</v>
      </c>
      <c r="B367" s="124">
        <f>503/25</f>
        <v>20.12</v>
      </c>
      <c r="C367" s="7" t="s">
        <v>1467</v>
      </c>
      <c r="D367" s="187">
        <v>25</v>
      </c>
      <c r="E367" s="56">
        <f>0.29*2</f>
        <v>0.57999999999999996</v>
      </c>
    </row>
    <row r="368" spans="1:19" ht="14.25" customHeight="1">
      <c r="A368" s="119" t="s">
        <v>2665</v>
      </c>
      <c r="B368" s="124">
        <f>593/25</f>
        <v>23.72</v>
      </c>
      <c r="C368" s="7" t="s">
        <v>1469</v>
      </c>
      <c r="D368" s="187">
        <v>25</v>
      </c>
      <c r="E368" s="56">
        <f>0.36*2</f>
        <v>0.72</v>
      </c>
    </row>
    <row r="369" spans="1:19" ht="14.25" customHeight="1">
      <c r="A369" s="119" t="s">
        <v>2666</v>
      </c>
      <c r="B369" s="124">
        <f>732/25</f>
        <v>29.28</v>
      </c>
      <c r="C369" s="7" t="s">
        <v>1471</v>
      </c>
      <c r="D369" s="187">
        <v>25</v>
      </c>
      <c r="E369" s="56">
        <f>0.45*2</f>
        <v>0.9</v>
      </c>
    </row>
    <row r="370" spans="1:19" ht="14.25" customHeight="1">
      <c r="A370" s="119" t="s">
        <v>2682</v>
      </c>
      <c r="B370" s="124">
        <f>9/30</f>
        <v>0.3</v>
      </c>
      <c r="C370" s="7" t="s">
        <v>1569</v>
      </c>
      <c r="D370" s="187">
        <v>3</v>
      </c>
      <c r="E370" s="56">
        <v>0.98</v>
      </c>
    </row>
    <row r="371" spans="1:19" ht="14.25" customHeight="1">
      <c r="A371" s="119" t="s">
        <v>2683</v>
      </c>
      <c r="B371" s="124">
        <f>9/30</f>
        <v>0.3</v>
      </c>
      <c r="C371" s="7" t="s">
        <v>1570</v>
      </c>
      <c r="D371" s="187">
        <v>3</v>
      </c>
      <c r="E371" s="56">
        <v>0.98</v>
      </c>
    </row>
    <row r="372" spans="1:19" ht="14.25" customHeight="1">
      <c r="A372" s="119" t="s">
        <v>2684</v>
      </c>
      <c r="B372" s="124">
        <f>10.9/20</f>
        <v>0.54500000000000004</v>
      </c>
      <c r="C372" s="7" t="s">
        <v>1572</v>
      </c>
      <c r="D372" s="187">
        <v>3</v>
      </c>
      <c r="E372" s="56">
        <v>1.08</v>
      </c>
    </row>
    <row r="373" spans="1:19" ht="14.25" customHeight="1">
      <c r="A373" s="119" t="s">
        <v>2685</v>
      </c>
      <c r="B373" s="124">
        <f>10.9/9</f>
        <v>1.2111111111111112</v>
      </c>
      <c r="C373" s="7" t="s">
        <v>1574</v>
      </c>
      <c r="D373" s="187">
        <v>3</v>
      </c>
      <c r="E373" s="56">
        <v>1.08</v>
      </c>
    </row>
    <row r="374" spans="1:19" ht="14.25" customHeight="1">
      <c r="A374" s="119" t="s">
        <v>2686</v>
      </c>
      <c r="B374" s="124">
        <f>12.6/4</f>
        <v>3.15</v>
      </c>
      <c r="C374" s="7" t="s">
        <v>1576</v>
      </c>
      <c r="D374" s="187">
        <v>3</v>
      </c>
      <c r="E374" s="56">
        <v>0.98</v>
      </c>
    </row>
    <row r="375" spans="1:19" ht="14.25" customHeight="1">
      <c r="A375" s="119" t="s">
        <v>2687</v>
      </c>
      <c r="B375" s="124">
        <f>10.9/20</f>
        <v>0.54500000000000004</v>
      </c>
      <c r="C375" s="7" t="s">
        <v>1571</v>
      </c>
      <c r="D375" s="187">
        <v>3</v>
      </c>
      <c r="E375" s="56">
        <v>0.98</v>
      </c>
    </row>
    <row r="376" spans="1:19" s="4" customFormat="1" ht="14.25" customHeight="1">
      <c r="A376" s="119" t="s">
        <v>2688</v>
      </c>
      <c r="B376" s="124">
        <f>10.9/9</f>
        <v>1.2111111111111112</v>
      </c>
      <c r="C376" s="7" t="s">
        <v>1573</v>
      </c>
      <c r="D376" s="187">
        <v>3</v>
      </c>
      <c r="E376" s="56">
        <v>0.98</v>
      </c>
      <c r="F376" s="7"/>
      <c r="G376" s="7"/>
      <c r="H376" s="7"/>
      <c r="I376" s="7"/>
      <c r="J376" s="7"/>
      <c r="K376" s="7"/>
      <c r="L376" s="7"/>
      <c r="M376" s="7"/>
      <c r="N376" s="7"/>
      <c r="O376" s="7"/>
      <c r="P376" s="7"/>
      <c r="Q376" s="7"/>
      <c r="R376" s="7"/>
      <c r="S376" s="7"/>
    </row>
    <row r="377" spans="1:19" ht="14.25" customHeight="1">
      <c r="A377" s="119" t="s">
        <v>2689</v>
      </c>
      <c r="B377" s="124">
        <f>12.6/4</f>
        <v>3.15</v>
      </c>
      <c r="C377" s="7" t="s">
        <v>1575</v>
      </c>
      <c r="D377" s="187">
        <v>3</v>
      </c>
      <c r="E377" s="56">
        <v>0.98</v>
      </c>
    </row>
    <row r="378" spans="1:19" ht="14.25" customHeight="1">
      <c r="A378" s="119" t="s">
        <v>2690</v>
      </c>
      <c r="B378" s="124">
        <f>214/25</f>
        <v>8.56</v>
      </c>
      <c r="C378" s="7" t="s">
        <v>1472</v>
      </c>
      <c r="D378" s="187">
        <v>25</v>
      </c>
      <c r="E378" s="7">
        <f>0.14*2</f>
        <v>0.28000000000000003</v>
      </c>
    </row>
    <row r="379" spans="1:19" ht="14.25" customHeight="1">
      <c r="A379" s="119" t="s">
        <v>2691</v>
      </c>
      <c r="B379" s="124">
        <f>136.2+145</f>
        <v>281.2</v>
      </c>
      <c r="C379" s="7" t="s">
        <v>1473</v>
      </c>
      <c r="D379" s="187">
        <v>25</v>
      </c>
      <c r="E379" s="7">
        <f>0.16*2</f>
        <v>0.32</v>
      </c>
    </row>
    <row r="380" spans="1:19" ht="14.25" customHeight="1">
      <c r="A380" s="119" t="s">
        <v>2692</v>
      </c>
      <c r="B380" s="9">
        <f>185+157</f>
        <v>342</v>
      </c>
      <c r="C380" s="7" t="s">
        <v>1474</v>
      </c>
      <c r="D380" s="187">
        <v>25</v>
      </c>
      <c r="E380" s="7">
        <f>0.2*2</f>
        <v>0.4</v>
      </c>
    </row>
    <row r="381" spans="1:19" s="4" customFormat="1" ht="14.25" customHeight="1">
      <c r="A381" s="119" t="s">
        <v>2667</v>
      </c>
      <c r="B381" s="9">
        <v>10</v>
      </c>
      <c r="C381" s="7" t="s">
        <v>1586</v>
      </c>
      <c r="D381" s="187">
        <v>3</v>
      </c>
      <c r="E381" s="7">
        <f>5.58/5</f>
        <v>1.1160000000000001</v>
      </c>
      <c r="F381" s="7"/>
      <c r="G381" s="7"/>
      <c r="H381" s="7"/>
      <c r="I381" s="7"/>
      <c r="J381" s="7"/>
      <c r="K381" s="7"/>
      <c r="L381" s="7"/>
      <c r="M381" s="7"/>
      <c r="N381" s="7"/>
      <c r="O381" s="7"/>
      <c r="P381" s="7"/>
      <c r="Q381" s="7"/>
      <c r="R381" s="7"/>
    </row>
    <row r="382" spans="1:19" ht="14.25" customHeight="1">
      <c r="A382" s="119" t="s">
        <v>2668</v>
      </c>
      <c r="B382" s="9">
        <v>10</v>
      </c>
      <c r="C382" s="7" t="s">
        <v>1577</v>
      </c>
      <c r="D382" s="187">
        <v>3</v>
      </c>
      <c r="E382" s="7">
        <f>5.58/5</f>
        <v>1.1160000000000001</v>
      </c>
    </row>
    <row r="383" spans="1:19" ht="14.25" customHeight="1">
      <c r="A383" s="119" t="s">
        <v>2669</v>
      </c>
      <c r="B383" s="9">
        <v>10</v>
      </c>
      <c r="C383" s="7" t="s">
        <v>1578</v>
      </c>
      <c r="D383" s="187">
        <v>3</v>
      </c>
      <c r="E383" s="7">
        <f>5.58/5</f>
        <v>1.1160000000000001</v>
      </c>
    </row>
    <row r="384" spans="1:19" ht="14.25" customHeight="1">
      <c r="A384" s="119" t="s">
        <v>2693</v>
      </c>
      <c r="B384" s="9">
        <v>10</v>
      </c>
      <c r="C384" s="7" t="s">
        <v>1579</v>
      </c>
      <c r="D384" s="187">
        <v>3</v>
      </c>
      <c r="E384" s="7">
        <f>5.58/5</f>
        <v>1.1160000000000001</v>
      </c>
    </row>
    <row r="385" spans="1:19" ht="14.25" customHeight="1">
      <c r="A385" s="119" t="s">
        <v>2694</v>
      </c>
      <c r="B385" s="9">
        <v>10</v>
      </c>
      <c r="C385" s="7" t="s">
        <v>1580</v>
      </c>
      <c r="D385" s="187">
        <v>3</v>
      </c>
      <c r="E385" s="7">
        <f>5.58/5</f>
        <v>1.1160000000000001</v>
      </c>
    </row>
    <row r="386" spans="1:19" ht="14.25" customHeight="1">
      <c r="A386" s="119" t="s">
        <v>2695</v>
      </c>
      <c r="B386" s="9">
        <v>20</v>
      </c>
      <c r="C386" s="7" t="s">
        <v>1581</v>
      </c>
      <c r="D386" s="187">
        <v>3</v>
      </c>
      <c r="E386" s="7">
        <f>9.58/5</f>
        <v>1.9159999999999999</v>
      </c>
    </row>
    <row r="387" spans="1:19" ht="14.25" customHeight="1">
      <c r="A387" s="119" t="s">
        <v>2696</v>
      </c>
      <c r="B387" s="9">
        <v>20</v>
      </c>
      <c r="C387" s="7" t="s">
        <v>1582</v>
      </c>
      <c r="D387" s="187">
        <v>3</v>
      </c>
      <c r="E387" s="7">
        <f>9.58/5</f>
        <v>1.9159999999999999</v>
      </c>
    </row>
    <row r="388" spans="1:19" ht="14.25" customHeight="1">
      <c r="A388" s="119" t="s">
        <v>2697</v>
      </c>
      <c r="B388" s="9">
        <v>20</v>
      </c>
      <c r="C388" s="7" t="s">
        <v>1583</v>
      </c>
      <c r="D388" s="187">
        <v>3</v>
      </c>
      <c r="E388" s="7">
        <f>9.58/5</f>
        <v>1.9159999999999999</v>
      </c>
      <c r="S388" s="4"/>
    </row>
    <row r="389" spans="1:19" ht="14.25" customHeight="1">
      <c r="A389" s="119" t="s">
        <v>2698</v>
      </c>
      <c r="B389" s="9">
        <v>20</v>
      </c>
      <c r="C389" s="7" t="s">
        <v>1584</v>
      </c>
      <c r="D389" s="187">
        <v>3</v>
      </c>
      <c r="E389" s="7">
        <f>9.58/5</f>
        <v>1.9159999999999999</v>
      </c>
    </row>
    <row r="390" spans="1:19" ht="14.25" customHeight="1">
      <c r="A390" s="119" t="s">
        <v>2699</v>
      </c>
      <c r="B390" s="9">
        <v>20</v>
      </c>
      <c r="C390" s="7" t="s">
        <v>1585</v>
      </c>
      <c r="D390" s="187">
        <v>3</v>
      </c>
      <c r="E390" s="7">
        <f>9.58/5</f>
        <v>1.9159999999999999</v>
      </c>
    </row>
    <row r="391" spans="1:19" ht="14.25" customHeight="1">
      <c r="A391" s="119" t="s">
        <v>2670</v>
      </c>
      <c r="B391" s="9">
        <v>0.5</v>
      </c>
      <c r="C391" s="7" t="s">
        <v>1752</v>
      </c>
      <c r="D391" s="187">
        <f t="shared" ref="D391:D415" si="13">10*2</f>
        <v>20</v>
      </c>
      <c r="E391" s="7">
        <f>1.88/10</f>
        <v>0.188</v>
      </c>
    </row>
    <row r="392" spans="1:19" ht="14.25" customHeight="1">
      <c r="A392" s="119" t="s">
        <v>2671</v>
      </c>
      <c r="B392" s="9">
        <v>0.5</v>
      </c>
      <c r="C392" s="7" t="s">
        <v>1753</v>
      </c>
      <c r="D392" s="187">
        <f t="shared" si="13"/>
        <v>20</v>
      </c>
      <c r="E392" s="7">
        <f>1.88/10</f>
        <v>0.188</v>
      </c>
    </row>
    <row r="393" spans="1:19" ht="14.25" customHeight="1">
      <c r="A393" s="119" t="s">
        <v>2672</v>
      </c>
      <c r="B393" s="9">
        <v>0.5</v>
      </c>
      <c r="C393" s="7" t="s">
        <v>1754</v>
      </c>
      <c r="D393" s="187">
        <f t="shared" si="13"/>
        <v>20</v>
      </c>
      <c r="E393" s="7">
        <f>1.88/10</f>
        <v>0.188</v>
      </c>
    </row>
    <row r="394" spans="1:19" ht="14.25" customHeight="1">
      <c r="A394" s="119" t="s">
        <v>2673</v>
      </c>
      <c r="B394" s="9">
        <v>0.5</v>
      </c>
      <c r="C394" s="7" t="s">
        <v>1755</v>
      </c>
      <c r="D394" s="187">
        <f t="shared" si="13"/>
        <v>20</v>
      </c>
      <c r="E394" s="7">
        <f>1.88/10</f>
        <v>0.188</v>
      </c>
    </row>
    <row r="395" spans="1:19" ht="14.25" customHeight="1">
      <c r="A395" s="119" t="s">
        <v>2674</v>
      </c>
      <c r="B395" s="9">
        <v>0.5</v>
      </c>
      <c r="C395" s="7" t="s">
        <v>1756</v>
      </c>
      <c r="D395" s="187">
        <f t="shared" si="13"/>
        <v>20</v>
      </c>
      <c r="E395" s="7">
        <f>1.88/10</f>
        <v>0.188</v>
      </c>
    </row>
    <row r="396" spans="1:19" ht="14.25" customHeight="1">
      <c r="A396" s="119" t="s">
        <v>2675</v>
      </c>
      <c r="B396" s="9">
        <v>0.8</v>
      </c>
      <c r="C396" s="7" t="s">
        <v>1587</v>
      </c>
      <c r="D396" s="187">
        <f t="shared" si="13"/>
        <v>20</v>
      </c>
      <c r="E396" s="7">
        <f>2.18/10</f>
        <v>0.21800000000000003</v>
      </c>
    </row>
    <row r="397" spans="1:19" ht="14.25" customHeight="1">
      <c r="A397" s="119" t="s">
        <v>2676</v>
      </c>
      <c r="B397" s="9">
        <v>0.8</v>
      </c>
      <c r="C397" s="7" t="s">
        <v>1588</v>
      </c>
      <c r="D397" s="187">
        <f t="shared" si="13"/>
        <v>20</v>
      </c>
      <c r="E397" s="7">
        <f>2.18/10</f>
        <v>0.21800000000000003</v>
      </c>
    </row>
    <row r="398" spans="1:19" ht="14.25" customHeight="1">
      <c r="A398" s="119" t="s">
        <v>2677</v>
      </c>
      <c r="B398" s="9">
        <v>0.8</v>
      </c>
      <c r="C398" s="7" t="s">
        <v>1589</v>
      </c>
      <c r="D398" s="187">
        <f t="shared" si="13"/>
        <v>20</v>
      </c>
      <c r="E398" s="7">
        <f>2.18/10</f>
        <v>0.21800000000000003</v>
      </c>
    </row>
    <row r="399" spans="1:19" ht="14.25" customHeight="1">
      <c r="A399" s="119" t="s">
        <v>2678</v>
      </c>
      <c r="B399" s="9">
        <v>0.8</v>
      </c>
      <c r="C399" s="7" t="s">
        <v>1590</v>
      </c>
      <c r="D399" s="187">
        <f t="shared" si="13"/>
        <v>20</v>
      </c>
      <c r="E399" s="7">
        <f>2.18/10</f>
        <v>0.21800000000000003</v>
      </c>
    </row>
    <row r="400" spans="1:19" ht="14.25" customHeight="1">
      <c r="A400" s="119" t="s">
        <v>2679</v>
      </c>
      <c r="B400" s="9">
        <v>0.8</v>
      </c>
      <c r="C400" s="7" t="s">
        <v>1591</v>
      </c>
      <c r="D400" s="187">
        <f t="shared" si="13"/>
        <v>20</v>
      </c>
      <c r="E400" s="7">
        <f>2.18/10</f>
        <v>0.21800000000000003</v>
      </c>
    </row>
    <row r="401" spans="1:19" ht="14.25" customHeight="1">
      <c r="A401" s="119" t="s">
        <v>2700</v>
      </c>
      <c r="B401" s="9">
        <v>1</v>
      </c>
      <c r="C401" s="7" t="s">
        <v>1592</v>
      </c>
      <c r="D401" s="187">
        <f t="shared" si="13"/>
        <v>20</v>
      </c>
      <c r="E401" s="7">
        <f>2.58/10</f>
        <v>0.25800000000000001</v>
      </c>
    </row>
    <row r="402" spans="1:19" ht="14.25" customHeight="1">
      <c r="A402" s="119" t="s">
        <v>2701</v>
      </c>
      <c r="B402" s="9">
        <v>1</v>
      </c>
      <c r="C402" s="7" t="s">
        <v>1593</v>
      </c>
      <c r="D402" s="187">
        <f t="shared" si="13"/>
        <v>20</v>
      </c>
      <c r="E402" s="7">
        <f>2.58/10</f>
        <v>0.25800000000000001</v>
      </c>
    </row>
    <row r="403" spans="1:19" ht="14.25" customHeight="1">
      <c r="A403" s="119" t="s">
        <v>2702</v>
      </c>
      <c r="B403" s="9">
        <v>1</v>
      </c>
      <c r="C403" s="7" t="s">
        <v>1594</v>
      </c>
      <c r="D403" s="187">
        <f t="shared" si="13"/>
        <v>20</v>
      </c>
      <c r="E403" s="7">
        <f>2.58/10</f>
        <v>0.25800000000000001</v>
      </c>
    </row>
    <row r="404" spans="1:19" ht="14.25" customHeight="1">
      <c r="A404" s="119" t="s">
        <v>2703</v>
      </c>
      <c r="B404" s="9">
        <v>1</v>
      </c>
      <c r="C404" s="7" t="s">
        <v>1595</v>
      </c>
      <c r="D404" s="187">
        <f t="shared" si="13"/>
        <v>20</v>
      </c>
      <c r="E404" s="7">
        <f>2.58/10</f>
        <v>0.25800000000000001</v>
      </c>
    </row>
    <row r="405" spans="1:19" ht="14.25" customHeight="1">
      <c r="A405" s="119" t="s">
        <v>2704</v>
      </c>
      <c r="B405" s="9">
        <v>1</v>
      </c>
      <c r="C405" s="7" t="s">
        <v>1596</v>
      </c>
      <c r="D405" s="187">
        <f t="shared" si="13"/>
        <v>20</v>
      </c>
      <c r="E405" s="7">
        <f>2.58/10</f>
        <v>0.25800000000000001</v>
      </c>
    </row>
    <row r="406" spans="1:19" s="4" customFormat="1" ht="14.25" customHeight="1">
      <c r="A406" s="119" t="s">
        <v>2705</v>
      </c>
      <c r="B406" s="9">
        <v>0.7</v>
      </c>
      <c r="C406" s="7" t="s">
        <v>1742</v>
      </c>
      <c r="D406" s="187">
        <f t="shared" si="13"/>
        <v>20</v>
      </c>
      <c r="E406" s="7">
        <f>2.18/10</f>
        <v>0.21800000000000003</v>
      </c>
      <c r="F406" s="7"/>
      <c r="G406" s="7"/>
      <c r="H406" s="7"/>
      <c r="I406" s="7"/>
      <c r="J406" s="7"/>
      <c r="K406" s="7"/>
      <c r="L406" s="7"/>
      <c r="M406" s="7"/>
      <c r="N406" s="7"/>
      <c r="O406" s="7"/>
      <c r="P406" s="7"/>
      <c r="Q406" s="7"/>
      <c r="R406" s="7"/>
      <c r="S406" s="7"/>
    </row>
    <row r="407" spans="1:19" ht="14.25" customHeight="1">
      <c r="A407" s="119" t="s">
        <v>2706</v>
      </c>
      <c r="B407" s="9">
        <v>0.7</v>
      </c>
      <c r="C407" s="7" t="s">
        <v>1743</v>
      </c>
      <c r="D407" s="187">
        <f t="shared" si="13"/>
        <v>20</v>
      </c>
      <c r="E407" s="7">
        <f>2.18/10</f>
        <v>0.21800000000000003</v>
      </c>
    </row>
    <row r="408" spans="1:19" ht="14.25" customHeight="1">
      <c r="A408" s="119" t="s">
        <v>2707</v>
      </c>
      <c r="B408" s="9">
        <v>0.7</v>
      </c>
      <c r="C408" s="7" t="s">
        <v>1744</v>
      </c>
      <c r="D408" s="187">
        <f t="shared" si="13"/>
        <v>20</v>
      </c>
      <c r="E408" s="7">
        <f>2.18/10</f>
        <v>0.21800000000000003</v>
      </c>
    </row>
    <row r="409" spans="1:19" ht="14.25" customHeight="1">
      <c r="A409" s="119" t="s">
        <v>2708</v>
      </c>
      <c r="B409" s="9">
        <v>0.7</v>
      </c>
      <c r="C409" s="7" t="s">
        <v>1745</v>
      </c>
      <c r="D409" s="187">
        <f t="shared" si="13"/>
        <v>20</v>
      </c>
      <c r="E409" s="7">
        <f>2.18/10</f>
        <v>0.21800000000000003</v>
      </c>
    </row>
    <row r="410" spans="1:19" ht="14.25" customHeight="1">
      <c r="A410" s="119" t="s">
        <v>2709</v>
      </c>
      <c r="B410" s="9">
        <v>0.7</v>
      </c>
      <c r="C410" s="7" t="s">
        <v>1746</v>
      </c>
      <c r="D410" s="187">
        <f t="shared" si="13"/>
        <v>20</v>
      </c>
      <c r="E410" s="7">
        <f>2.18/10</f>
        <v>0.21800000000000003</v>
      </c>
    </row>
    <row r="411" spans="1:19" ht="14.25" customHeight="1">
      <c r="A411" s="119" t="s">
        <v>2710</v>
      </c>
      <c r="B411" s="9">
        <v>1.5</v>
      </c>
      <c r="C411" s="7" t="s">
        <v>1747</v>
      </c>
      <c r="D411" s="187">
        <f t="shared" si="13"/>
        <v>20</v>
      </c>
      <c r="E411" s="7">
        <f>2.58/10</f>
        <v>0.25800000000000001</v>
      </c>
    </row>
    <row r="412" spans="1:19" ht="14.25" customHeight="1">
      <c r="A412" s="119" t="s">
        <v>2711</v>
      </c>
      <c r="B412" s="9">
        <v>1.5</v>
      </c>
      <c r="C412" s="7" t="s">
        <v>1748</v>
      </c>
      <c r="D412" s="187">
        <f t="shared" si="13"/>
        <v>20</v>
      </c>
      <c r="E412" s="7">
        <f>2.58/10</f>
        <v>0.25800000000000001</v>
      </c>
    </row>
    <row r="413" spans="1:19" s="4" customFormat="1" ht="14.25" customHeight="1">
      <c r="A413" s="119" t="s">
        <v>2712</v>
      </c>
      <c r="B413" s="9">
        <v>1.5</v>
      </c>
      <c r="C413" s="7" t="s">
        <v>1749</v>
      </c>
      <c r="D413" s="187">
        <f t="shared" si="13"/>
        <v>20</v>
      </c>
      <c r="E413" s="7">
        <f>2.58/10</f>
        <v>0.25800000000000001</v>
      </c>
      <c r="F413" s="7"/>
      <c r="G413" s="7"/>
      <c r="H413" s="7"/>
      <c r="I413" s="7"/>
      <c r="J413" s="7"/>
      <c r="K413" s="7"/>
      <c r="L413" s="7"/>
      <c r="M413" s="7"/>
      <c r="N413" s="7"/>
      <c r="O413" s="7"/>
      <c r="P413" s="7"/>
      <c r="Q413" s="7"/>
      <c r="R413" s="7"/>
      <c r="S413" s="7"/>
    </row>
    <row r="414" spans="1:19" ht="14.25" customHeight="1">
      <c r="A414" s="119" t="s">
        <v>2713</v>
      </c>
      <c r="B414" s="9">
        <v>1.5</v>
      </c>
      <c r="C414" s="7" t="s">
        <v>1750</v>
      </c>
      <c r="D414" s="187">
        <f t="shared" si="13"/>
        <v>20</v>
      </c>
      <c r="E414" s="7">
        <f>2.58/10</f>
        <v>0.25800000000000001</v>
      </c>
    </row>
    <row r="415" spans="1:19" ht="14.25" customHeight="1">
      <c r="A415" s="119" t="s">
        <v>2714</v>
      </c>
      <c r="B415" s="9">
        <v>1.5</v>
      </c>
      <c r="C415" s="7" t="s">
        <v>1751</v>
      </c>
      <c r="D415" s="187">
        <f t="shared" si="13"/>
        <v>20</v>
      </c>
      <c r="E415" s="7">
        <f>2.58/10</f>
        <v>0.25800000000000001</v>
      </c>
    </row>
    <row r="416" spans="1:19" ht="14.25" customHeight="1">
      <c r="A416" s="115">
        <v>253.01</v>
      </c>
      <c r="B416" s="9">
        <f>650/100</f>
        <v>6.5</v>
      </c>
      <c r="C416" s="1" t="s">
        <v>1850</v>
      </c>
      <c r="D416" s="189">
        <v>100</v>
      </c>
      <c r="E416" s="6">
        <f>0.27*50/100</f>
        <v>0.13500000000000001</v>
      </c>
    </row>
    <row r="417" spans="1:19" ht="14.25" customHeight="1">
      <c r="A417" s="115">
        <v>253.02</v>
      </c>
      <c r="B417" s="9">
        <f>600/100</f>
        <v>6</v>
      </c>
      <c r="C417" s="1" t="s">
        <v>1851</v>
      </c>
      <c r="D417" s="189">
        <v>100</v>
      </c>
      <c r="E417" s="6">
        <f>0.25*50/100</f>
        <v>0.125</v>
      </c>
    </row>
    <row r="418" spans="1:19" ht="14.25" customHeight="1">
      <c r="A418" s="115">
        <v>253.03</v>
      </c>
      <c r="B418" s="9">
        <f>600/100</f>
        <v>6</v>
      </c>
      <c r="C418" s="1" t="s">
        <v>1852</v>
      </c>
      <c r="D418" s="189">
        <v>100</v>
      </c>
      <c r="E418" s="6">
        <f>0.25*50/100</f>
        <v>0.125</v>
      </c>
    </row>
    <row r="419" spans="1:19" ht="14.25" customHeight="1">
      <c r="A419" s="115">
        <v>253.04</v>
      </c>
      <c r="B419" s="9">
        <f>1150/100</f>
        <v>11.5</v>
      </c>
      <c r="C419" s="1" t="s">
        <v>1853</v>
      </c>
      <c r="D419" s="188">
        <v>100</v>
      </c>
      <c r="E419" s="6">
        <v>0.36</v>
      </c>
    </row>
    <row r="420" spans="1:19" ht="14.25" customHeight="1">
      <c r="A420" s="115">
        <v>253.05</v>
      </c>
      <c r="B420" s="9">
        <f>1200/100</f>
        <v>12</v>
      </c>
      <c r="C420" s="1" t="s">
        <v>1854</v>
      </c>
      <c r="D420" s="188">
        <v>100</v>
      </c>
      <c r="E420" s="6">
        <v>0.35</v>
      </c>
    </row>
    <row r="421" spans="1:19" ht="14.25" customHeight="1">
      <c r="A421" s="115">
        <v>253.06</v>
      </c>
      <c r="B421" s="9">
        <f>1150/100</f>
        <v>11.5</v>
      </c>
      <c r="C421" s="1" t="s">
        <v>1855</v>
      </c>
      <c r="D421" s="188">
        <v>100</v>
      </c>
      <c r="E421" s="6">
        <v>0.35</v>
      </c>
      <c r="S421" s="4"/>
    </row>
    <row r="422" spans="1:19" ht="14.25" customHeight="1">
      <c r="A422" s="119" t="s">
        <v>2715</v>
      </c>
      <c r="B422" s="124">
        <f>350/200</f>
        <v>1.75</v>
      </c>
      <c r="C422" s="7" t="s">
        <v>1615</v>
      </c>
      <c r="D422" s="187">
        <v>200</v>
      </c>
      <c r="E422" s="56">
        <f>17/D422</f>
        <v>8.5000000000000006E-2</v>
      </c>
      <c r="S422" s="4"/>
    </row>
    <row r="423" spans="1:19" ht="14.25" customHeight="1">
      <c r="A423" s="119" t="s">
        <v>2716</v>
      </c>
      <c r="B423" s="124">
        <f>400/200</f>
        <v>2</v>
      </c>
      <c r="C423" s="7" t="s">
        <v>1625</v>
      </c>
      <c r="D423" s="187">
        <v>200</v>
      </c>
      <c r="E423" s="56">
        <f>19/D423</f>
        <v>9.5000000000000001E-2</v>
      </c>
    </row>
    <row r="424" spans="1:19" ht="14.25" customHeight="1">
      <c r="A424" s="119" t="s">
        <v>2717</v>
      </c>
      <c r="B424" s="124">
        <f>500/200</f>
        <v>2.5</v>
      </c>
      <c r="C424" s="7" t="s">
        <v>1617</v>
      </c>
      <c r="D424" s="187">
        <v>200</v>
      </c>
      <c r="E424" s="56">
        <f>21/D424</f>
        <v>0.105</v>
      </c>
      <c r="S424" s="4"/>
    </row>
    <row r="425" spans="1:19" ht="14.25" customHeight="1">
      <c r="A425" s="119" t="s">
        <v>2718</v>
      </c>
      <c r="B425" s="124">
        <f>650/200</f>
        <v>3.25</v>
      </c>
      <c r="C425" s="7" t="s">
        <v>1616</v>
      </c>
      <c r="D425" s="187">
        <v>200</v>
      </c>
      <c r="E425" s="56">
        <f>28/D425</f>
        <v>0.14000000000000001</v>
      </c>
    </row>
    <row r="426" spans="1:19" ht="14.25" customHeight="1">
      <c r="A426" s="119" t="s">
        <v>2719</v>
      </c>
      <c r="B426" s="9">
        <f>700/200</f>
        <v>3.5</v>
      </c>
      <c r="C426" s="7" t="s">
        <v>1613</v>
      </c>
      <c r="D426" s="187">
        <v>200</v>
      </c>
      <c r="E426" s="56">
        <f>30/D426</f>
        <v>0.15</v>
      </c>
    </row>
    <row r="427" spans="1:19" ht="14.25" customHeight="1">
      <c r="A427" s="119" t="s">
        <v>2720</v>
      </c>
      <c r="B427" s="9">
        <f>700/200</f>
        <v>3.5</v>
      </c>
      <c r="C427" s="7" t="s">
        <v>1618</v>
      </c>
      <c r="D427" s="187">
        <v>200</v>
      </c>
      <c r="E427" s="56">
        <f>30/D427</f>
        <v>0.15</v>
      </c>
    </row>
    <row r="428" spans="1:19" ht="14.25" customHeight="1">
      <c r="A428" s="119" t="s">
        <v>2721</v>
      </c>
      <c r="B428" s="9">
        <f>550/100</f>
        <v>5.5</v>
      </c>
      <c r="C428" s="7" t="s">
        <v>1624</v>
      </c>
      <c r="D428" s="187">
        <v>100</v>
      </c>
      <c r="E428" s="56">
        <f>20/D428</f>
        <v>0.2</v>
      </c>
    </row>
    <row r="429" spans="1:19" ht="14.25" customHeight="1">
      <c r="A429" s="119" t="s">
        <v>2722</v>
      </c>
      <c r="B429" s="9">
        <f>550/100</f>
        <v>5.5</v>
      </c>
      <c r="C429" s="7" t="s">
        <v>1622</v>
      </c>
      <c r="D429" s="187">
        <v>100</v>
      </c>
      <c r="E429" s="56">
        <f>20/D429</f>
        <v>0.2</v>
      </c>
    </row>
    <row r="430" spans="1:19" ht="14.25" customHeight="1">
      <c r="A430" s="119" t="s">
        <v>2723</v>
      </c>
      <c r="B430" s="9">
        <f>600/100</f>
        <v>6</v>
      </c>
      <c r="C430" s="7" t="s">
        <v>1623</v>
      </c>
      <c r="D430" s="187">
        <v>100</v>
      </c>
      <c r="E430" s="56">
        <f>22/D430</f>
        <v>0.22</v>
      </c>
    </row>
    <row r="431" spans="1:19" ht="14.25" customHeight="1">
      <c r="A431" s="119" t="s">
        <v>2724</v>
      </c>
      <c r="B431" s="9">
        <f>750/100</f>
        <v>7.5</v>
      </c>
      <c r="C431" s="7" t="s">
        <v>1620</v>
      </c>
      <c r="D431" s="187">
        <v>100</v>
      </c>
      <c r="E431" s="56">
        <f>22/D431</f>
        <v>0.22</v>
      </c>
    </row>
    <row r="432" spans="1:19" ht="14.25" customHeight="1">
      <c r="A432" s="119" t="s">
        <v>2725</v>
      </c>
      <c r="B432" s="9">
        <f>950/100</f>
        <v>9.5</v>
      </c>
      <c r="C432" s="7" t="s">
        <v>1626</v>
      </c>
      <c r="D432" s="187">
        <v>100</v>
      </c>
      <c r="E432" s="56">
        <f>27/D432</f>
        <v>0.27</v>
      </c>
    </row>
    <row r="433" spans="1:19" ht="14.25" customHeight="1">
      <c r="A433" s="119" t="s">
        <v>2726</v>
      </c>
      <c r="B433" s="9">
        <f>900/100</f>
        <v>9</v>
      </c>
      <c r="C433" s="7" t="s">
        <v>1621</v>
      </c>
      <c r="D433" s="187">
        <v>100</v>
      </c>
      <c r="E433" s="56">
        <f>27/D433</f>
        <v>0.27</v>
      </c>
    </row>
    <row r="434" spans="1:19" ht="14.25" customHeight="1">
      <c r="A434" s="119" t="s">
        <v>2727</v>
      </c>
      <c r="B434" s="9">
        <f>1350/100</f>
        <v>13.5</v>
      </c>
      <c r="C434" s="7" t="s">
        <v>1614</v>
      </c>
      <c r="D434" s="187">
        <v>100</v>
      </c>
      <c r="E434" s="56">
        <f>38/D434</f>
        <v>0.38</v>
      </c>
    </row>
    <row r="435" spans="1:19" ht="14.25" customHeight="1">
      <c r="A435" s="119" t="s">
        <v>2728</v>
      </c>
      <c r="B435" s="9">
        <f>1350/100</f>
        <v>13.5</v>
      </c>
      <c r="C435" s="7" t="s">
        <v>1619</v>
      </c>
      <c r="D435" s="187">
        <v>100</v>
      </c>
      <c r="E435" s="56">
        <f>38/D435</f>
        <v>0.38</v>
      </c>
    </row>
    <row r="436" spans="1:19" ht="14.25" customHeight="1">
      <c r="A436" s="128" t="s">
        <v>2631</v>
      </c>
      <c r="B436" s="9">
        <v>25.5</v>
      </c>
      <c r="C436" s="7" t="s">
        <v>6006</v>
      </c>
      <c r="D436" s="187">
        <v>2</v>
      </c>
      <c r="E436" s="7">
        <v>0.8</v>
      </c>
    </row>
    <row r="437" spans="1:19" ht="14.25" customHeight="1">
      <c r="A437" s="128" t="s">
        <v>2632</v>
      </c>
      <c r="B437" s="9">
        <v>25.5</v>
      </c>
      <c r="C437" s="7" t="s">
        <v>5821</v>
      </c>
      <c r="D437" s="187">
        <v>2</v>
      </c>
      <c r="E437" s="7">
        <v>0.8</v>
      </c>
    </row>
    <row r="438" spans="1:19" ht="14.25" customHeight="1">
      <c r="A438" s="128" t="s">
        <v>2633</v>
      </c>
      <c r="B438" s="9">
        <v>25.5</v>
      </c>
      <c r="C438" s="7" t="s">
        <v>5822</v>
      </c>
      <c r="D438" s="187">
        <v>1</v>
      </c>
      <c r="E438" s="7">
        <v>0.8</v>
      </c>
    </row>
    <row r="439" spans="1:19" ht="14.25" customHeight="1">
      <c r="A439" s="128" t="s">
        <v>2634</v>
      </c>
      <c r="B439" s="9">
        <v>25.5</v>
      </c>
      <c r="C439" s="7" t="s">
        <v>5823</v>
      </c>
      <c r="D439" s="187">
        <v>1</v>
      </c>
      <c r="E439" s="7">
        <v>0.8</v>
      </c>
    </row>
    <row r="440" spans="1:19" ht="14.25" customHeight="1">
      <c r="A440" s="128" t="s">
        <v>2635</v>
      </c>
      <c r="B440" s="9">
        <v>25.5</v>
      </c>
      <c r="C440" s="7" t="s">
        <v>5824</v>
      </c>
      <c r="D440" s="187">
        <v>1</v>
      </c>
      <c r="E440" s="7">
        <v>0.8</v>
      </c>
    </row>
    <row r="441" spans="1:19" s="4" customFormat="1" ht="14.25" customHeight="1">
      <c r="A441" s="128" t="s">
        <v>2636</v>
      </c>
      <c r="B441" s="9">
        <v>25.5</v>
      </c>
      <c r="C441" s="7" t="s">
        <v>5825</v>
      </c>
      <c r="D441" s="187">
        <v>1</v>
      </c>
      <c r="E441" s="7">
        <v>0.8</v>
      </c>
      <c r="F441" s="7"/>
      <c r="G441" s="7"/>
      <c r="H441" s="7"/>
      <c r="I441" s="7"/>
      <c r="J441" s="7"/>
      <c r="K441" s="7"/>
      <c r="L441" s="7"/>
      <c r="M441" s="7"/>
      <c r="N441" s="7"/>
      <c r="O441" s="7"/>
      <c r="P441" s="7"/>
      <c r="Q441" s="7"/>
      <c r="R441" s="7"/>
      <c r="S441" s="7"/>
    </row>
    <row r="442" spans="1:19" ht="14.25" customHeight="1">
      <c r="A442" s="128" t="s">
        <v>2637</v>
      </c>
      <c r="B442" s="9">
        <v>40.9</v>
      </c>
      <c r="C442" s="7" t="s">
        <v>5826</v>
      </c>
      <c r="D442" s="187">
        <v>2</v>
      </c>
      <c r="E442" s="7">
        <v>1.2</v>
      </c>
    </row>
    <row r="443" spans="1:19" s="4" customFormat="1" ht="14.25" customHeight="1">
      <c r="A443" s="128" t="s">
        <v>2638</v>
      </c>
      <c r="B443" s="9">
        <v>40.9</v>
      </c>
      <c r="C443" s="7" t="s">
        <v>5827</v>
      </c>
      <c r="D443" s="187">
        <v>2</v>
      </c>
      <c r="E443" s="7">
        <v>1.2</v>
      </c>
      <c r="F443" s="7"/>
      <c r="G443" s="7"/>
      <c r="H443" s="7"/>
      <c r="I443" s="7"/>
      <c r="J443" s="7"/>
      <c r="K443" s="7"/>
      <c r="L443" s="7"/>
      <c r="M443" s="7"/>
      <c r="N443" s="7"/>
      <c r="O443" s="7"/>
      <c r="P443" s="7"/>
      <c r="Q443" s="7"/>
      <c r="R443" s="7"/>
      <c r="S443" s="7"/>
    </row>
    <row r="444" spans="1:19" ht="14.25" customHeight="1">
      <c r="A444" s="128" t="s">
        <v>2639</v>
      </c>
      <c r="B444" s="9">
        <v>40.9</v>
      </c>
      <c r="C444" s="7" t="s">
        <v>5828</v>
      </c>
      <c r="D444" s="187">
        <v>1</v>
      </c>
      <c r="E444" s="7">
        <v>1.2</v>
      </c>
    </row>
    <row r="445" spans="1:19" ht="14.25" customHeight="1">
      <c r="A445" s="128" t="s">
        <v>2640</v>
      </c>
      <c r="B445" s="9">
        <v>40.9</v>
      </c>
      <c r="C445" s="7" t="s">
        <v>5829</v>
      </c>
      <c r="D445" s="187">
        <v>1</v>
      </c>
      <c r="E445" s="7">
        <v>1.2</v>
      </c>
    </row>
    <row r="446" spans="1:19" ht="14.25" customHeight="1">
      <c r="A446" s="128" t="s">
        <v>2641</v>
      </c>
      <c r="B446" s="9">
        <v>40.9</v>
      </c>
      <c r="C446" s="7" t="s">
        <v>5830</v>
      </c>
      <c r="D446" s="187">
        <v>1</v>
      </c>
      <c r="E446" s="7">
        <v>1.2</v>
      </c>
    </row>
    <row r="447" spans="1:19" ht="14.25" customHeight="1">
      <c r="A447" s="128" t="s">
        <v>2642</v>
      </c>
      <c r="B447" s="9">
        <v>40.9</v>
      </c>
      <c r="C447" s="7" t="s">
        <v>5831</v>
      </c>
      <c r="D447" s="187">
        <v>1</v>
      </c>
      <c r="E447" s="7">
        <v>1.2</v>
      </c>
    </row>
    <row r="448" spans="1:19" ht="14.25" customHeight="1">
      <c r="A448" s="128" t="s">
        <v>2643</v>
      </c>
      <c r="B448" s="9">
        <v>40.9</v>
      </c>
      <c r="C448" s="7" t="s">
        <v>5832</v>
      </c>
      <c r="D448" s="187">
        <v>1</v>
      </c>
      <c r="E448" s="7">
        <v>1.5</v>
      </c>
    </row>
    <row r="449" spans="1:19" ht="14.25" customHeight="1">
      <c r="A449" s="128" t="s">
        <v>2644</v>
      </c>
      <c r="B449" s="9">
        <v>40.9</v>
      </c>
      <c r="C449" s="7" t="s">
        <v>5833</v>
      </c>
      <c r="D449" s="187">
        <v>1</v>
      </c>
      <c r="E449" s="7">
        <v>1.5</v>
      </c>
    </row>
    <row r="450" spans="1:19" ht="14.25" customHeight="1">
      <c r="A450" s="128" t="s">
        <v>2645</v>
      </c>
      <c r="B450" s="9">
        <v>54.4</v>
      </c>
      <c r="C450" s="7" t="s">
        <v>5834</v>
      </c>
      <c r="D450" s="187">
        <v>3</v>
      </c>
      <c r="E450" s="7">
        <v>2.1</v>
      </c>
    </row>
    <row r="451" spans="1:19" ht="14.25" customHeight="1">
      <c r="A451" s="128" t="s">
        <v>2646</v>
      </c>
      <c r="B451" s="9">
        <v>54.4</v>
      </c>
      <c r="C451" s="7" t="s">
        <v>5835</v>
      </c>
      <c r="D451" s="187">
        <v>4</v>
      </c>
      <c r="E451" s="7">
        <v>2.1</v>
      </c>
      <c r="S451" s="4"/>
    </row>
    <row r="452" spans="1:19" ht="14.25" customHeight="1">
      <c r="A452" s="128" t="s">
        <v>2647</v>
      </c>
      <c r="B452" s="9">
        <v>54.4</v>
      </c>
      <c r="C452" s="7" t="s">
        <v>5836</v>
      </c>
      <c r="D452" s="187">
        <v>2</v>
      </c>
      <c r="E452" s="7">
        <v>2.1</v>
      </c>
    </row>
    <row r="453" spans="1:19" ht="14.25" customHeight="1">
      <c r="A453" s="128" t="s">
        <v>2648</v>
      </c>
      <c r="B453" s="9">
        <v>54.4</v>
      </c>
      <c r="C453" s="7" t="s">
        <v>5837</v>
      </c>
      <c r="D453" s="187">
        <v>2</v>
      </c>
      <c r="E453" s="7">
        <v>2.1</v>
      </c>
    </row>
    <row r="454" spans="1:19" ht="14.25" customHeight="1">
      <c r="A454" s="128" t="s">
        <v>2649</v>
      </c>
      <c r="B454" s="9">
        <v>54.4</v>
      </c>
      <c r="C454" s="7" t="s">
        <v>5838</v>
      </c>
      <c r="D454" s="187">
        <v>2</v>
      </c>
      <c r="E454" s="7">
        <v>2.1</v>
      </c>
    </row>
    <row r="455" spans="1:19" ht="14.25" customHeight="1">
      <c r="A455" s="128" t="s">
        <v>2650</v>
      </c>
      <c r="B455" s="9">
        <v>54.4</v>
      </c>
      <c r="C455" s="7" t="s">
        <v>5839</v>
      </c>
      <c r="D455" s="187">
        <v>2</v>
      </c>
      <c r="E455" s="7">
        <v>2.1</v>
      </c>
    </row>
    <row r="456" spans="1:19" ht="14.25" customHeight="1">
      <c r="A456" s="128" t="s">
        <v>2651</v>
      </c>
      <c r="B456" s="110">
        <f>222.2/1000</f>
        <v>0.22219999999999998</v>
      </c>
      <c r="C456" s="7" t="s">
        <v>6007</v>
      </c>
      <c r="D456" s="187">
        <v>1000</v>
      </c>
      <c r="E456" s="56">
        <f>8.8/1000</f>
        <v>8.8000000000000005E-3</v>
      </c>
    </row>
    <row r="457" spans="1:19" ht="14.25" customHeight="1">
      <c r="A457" s="128" t="s">
        <v>2652</v>
      </c>
      <c r="B457" s="110">
        <f>269.3/500</f>
        <v>0.53859999999999997</v>
      </c>
      <c r="C457" s="7" t="s">
        <v>6008</v>
      </c>
      <c r="D457" s="187">
        <v>500</v>
      </c>
      <c r="E457" s="80">
        <f>9.2/500</f>
        <v>1.84E-2</v>
      </c>
    </row>
    <row r="458" spans="1:19" ht="14.25" customHeight="1">
      <c r="A458" s="128" t="s">
        <v>2653</v>
      </c>
      <c r="B458" s="110">
        <f>260/250</f>
        <v>1.04</v>
      </c>
      <c r="C458" s="51" t="s">
        <v>6009</v>
      </c>
      <c r="D458" s="187">
        <f>1*10</f>
        <v>10</v>
      </c>
      <c r="E458" s="7">
        <f>10.6/250</f>
        <v>4.24E-2</v>
      </c>
    </row>
    <row r="459" spans="1:19" ht="14.25" customHeight="1">
      <c r="A459" s="115">
        <v>262.41000000000003</v>
      </c>
      <c r="B459" s="9">
        <f>330/10</f>
        <v>33</v>
      </c>
      <c r="C459" s="1" t="s">
        <v>5840</v>
      </c>
      <c r="D459" s="188">
        <v>20</v>
      </c>
      <c r="E459" s="6">
        <v>1.28</v>
      </c>
    </row>
    <row r="460" spans="1:19" ht="14.25" customHeight="1">
      <c r="A460" s="128" t="s">
        <v>2654</v>
      </c>
      <c r="B460" s="110">
        <f>68.6/30</f>
        <v>2.2866666666666666</v>
      </c>
      <c r="C460" s="7" t="s">
        <v>5841</v>
      </c>
      <c r="D460" s="187">
        <v>30</v>
      </c>
      <c r="E460" s="7">
        <v>0.16</v>
      </c>
    </row>
    <row r="461" spans="1:19" ht="14.25" customHeight="1">
      <c r="A461" s="128" t="s">
        <v>2655</v>
      </c>
      <c r="B461" s="110">
        <f>81.6/30</f>
        <v>2.7199999999999998</v>
      </c>
      <c r="C461" s="7" t="s">
        <v>5842</v>
      </c>
      <c r="D461" s="187">
        <v>30</v>
      </c>
      <c r="E461" s="7">
        <v>0.17</v>
      </c>
    </row>
    <row r="462" spans="1:19" ht="14.25" customHeight="1">
      <c r="A462" s="128" t="s">
        <v>2656</v>
      </c>
      <c r="B462" s="110">
        <f>118.3/30</f>
        <v>3.9433333333333334</v>
      </c>
      <c r="C462" s="7" t="s">
        <v>5843</v>
      </c>
      <c r="D462" s="187">
        <v>30</v>
      </c>
      <c r="E462" s="7">
        <v>0.19</v>
      </c>
    </row>
    <row r="463" spans="1:19" ht="14.25" customHeight="1">
      <c r="A463" s="128" t="s">
        <v>2657</v>
      </c>
      <c r="B463" s="110">
        <f>97.5/20</f>
        <v>4.875</v>
      </c>
      <c r="C463" s="7" t="s">
        <v>5844</v>
      </c>
      <c r="D463" s="187">
        <v>20</v>
      </c>
      <c r="E463" s="7">
        <v>0.24</v>
      </c>
    </row>
    <row r="464" spans="1:19" ht="14.25" customHeight="1">
      <c r="A464" s="128" t="s">
        <v>2658</v>
      </c>
      <c r="B464" s="110">
        <f>117/25</f>
        <v>4.68</v>
      </c>
      <c r="C464" s="7" t="s">
        <v>5845</v>
      </c>
      <c r="D464" s="190">
        <v>25</v>
      </c>
      <c r="E464" s="7">
        <f>0.26*20/25</f>
        <v>0.20800000000000002</v>
      </c>
    </row>
    <row r="465" spans="1:19" ht="14.25" customHeight="1">
      <c r="A465" s="128" t="s">
        <v>2659</v>
      </c>
      <c r="B465" s="110">
        <f>119/23</f>
        <v>5.1739130434782608</v>
      </c>
      <c r="C465" s="7" t="s">
        <v>5846</v>
      </c>
      <c r="D465" s="190">
        <v>23</v>
      </c>
      <c r="E465" s="80">
        <f>0.28*20/23</f>
        <v>0.24347826086956523</v>
      </c>
    </row>
    <row r="466" spans="1:19" ht="14.25" customHeight="1">
      <c r="A466" s="128" t="s">
        <v>2660</v>
      </c>
      <c r="B466" s="110">
        <f>181/22</f>
        <v>8.2272727272727266</v>
      </c>
      <c r="C466" s="7" t="s">
        <v>5847</v>
      </c>
      <c r="D466" s="190">
        <v>22</v>
      </c>
      <c r="E466" s="80">
        <f>0.38*15/22</f>
        <v>0.25909090909090909</v>
      </c>
    </row>
    <row r="467" spans="1:19" ht="14.25" customHeight="1">
      <c r="A467" s="128" t="s">
        <v>2605</v>
      </c>
      <c r="B467" s="9">
        <f>53.6/2</f>
        <v>26.8</v>
      </c>
      <c r="C467" s="53" t="s">
        <v>6003</v>
      </c>
      <c r="D467" s="187">
        <f t="shared" ref="D467:D474" si="14">2*2</f>
        <v>4</v>
      </c>
      <c r="E467" s="7">
        <f t="shared" ref="E467:E474" si="15">1.85/2</f>
        <v>0.92500000000000004</v>
      </c>
    </row>
    <row r="468" spans="1:19" ht="14.25" customHeight="1">
      <c r="A468" s="128" t="s">
        <v>2606</v>
      </c>
      <c r="B468" s="9">
        <f>53.6/2</f>
        <v>26.8</v>
      </c>
      <c r="C468" s="53" t="s">
        <v>5848</v>
      </c>
      <c r="D468" s="187">
        <f t="shared" si="14"/>
        <v>4</v>
      </c>
      <c r="E468" s="7">
        <f t="shared" si="15"/>
        <v>0.92500000000000004</v>
      </c>
    </row>
    <row r="469" spans="1:19" ht="14.25" customHeight="1">
      <c r="A469" s="128" t="s">
        <v>2607</v>
      </c>
      <c r="B469" s="9">
        <f>53.3/2</f>
        <v>26.65</v>
      </c>
      <c r="C469" s="53" t="s">
        <v>5849</v>
      </c>
      <c r="D469" s="187">
        <f t="shared" si="14"/>
        <v>4</v>
      </c>
      <c r="E469" s="7">
        <f t="shared" si="15"/>
        <v>0.92500000000000004</v>
      </c>
    </row>
    <row r="470" spans="1:19" s="4" customFormat="1" ht="14.25" customHeight="1">
      <c r="A470" s="128" t="s">
        <v>2608</v>
      </c>
      <c r="B470" s="133">
        <f>55.6/2</f>
        <v>27.8</v>
      </c>
      <c r="C470" s="53" t="s">
        <v>5850</v>
      </c>
      <c r="D470" s="187">
        <f t="shared" si="14"/>
        <v>4</v>
      </c>
      <c r="E470" s="7">
        <f t="shared" si="15"/>
        <v>0.92500000000000004</v>
      </c>
      <c r="F470" s="7"/>
      <c r="G470" s="7"/>
      <c r="H470" s="7"/>
      <c r="I470" s="7"/>
      <c r="J470" s="7"/>
      <c r="K470" s="7"/>
      <c r="L470" s="7"/>
      <c r="M470" s="7"/>
      <c r="N470" s="7"/>
      <c r="O470" s="7"/>
      <c r="P470" s="7"/>
      <c r="Q470" s="7"/>
      <c r="R470" s="7"/>
      <c r="S470" s="7"/>
    </row>
    <row r="471" spans="1:19" ht="14.25" customHeight="1">
      <c r="A471" s="128" t="s">
        <v>2609</v>
      </c>
      <c r="B471" s="9">
        <f>55.1/2</f>
        <v>27.55</v>
      </c>
      <c r="C471" s="53" t="s">
        <v>5851</v>
      </c>
      <c r="D471" s="187">
        <f t="shared" si="14"/>
        <v>4</v>
      </c>
      <c r="E471" s="7">
        <f t="shared" si="15"/>
        <v>0.92500000000000004</v>
      </c>
    </row>
    <row r="472" spans="1:19" ht="14.25" customHeight="1">
      <c r="A472" s="128" t="s">
        <v>2610</v>
      </c>
      <c r="B472" s="9">
        <f>52.6/2</f>
        <v>26.3</v>
      </c>
      <c r="C472" s="53" t="s">
        <v>5852</v>
      </c>
      <c r="D472" s="187">
        <f t="shared" si="14"/>
        <v>4</v>
      </c>
      <c r="E472" s="7">
        <f t="shared" si="15"/>
        <v>0.92500000000000004</v>
      </c>
    </row>
    <row r="473" spans="1:19" ht="14.25" customHeight="1">
      <c r="A473" s="128" t="s">
        <v>2611</v>
      </c>
      <c r="B473" s="9">
        <f>54/2</f>
        <v>27</v>
      </c>
      <c r="C473" s="53" t="s">
        <v>5853</v>
      </c>
      <c r="D473" s="187">
        <f t="shared" si="14"/>
        <v>4</v>
      </c>
      <c r="E473" s="7">
        <f t="shared" si="15"/>
        <v>0.92500000000000004</v>
      </c>
      <c r="S473" s="4"/>
    </row>
    <row r="474" spans="1:19" ht="14.25" customHeight="1">
      <c r="A474" s="128" t="s">
        <v>2612</v>
      </c>
      <c r="B474" s="9">
        <f>52.5/2</f>
        <v>26.25</v>
      </c>
      <c r="C474" s="53" t="s">
        <v>5854</v>
      </c>
      <c r="D474" s="187">
        <f t="shared" si="14"/>
        <v>4</v>
      </c>
      <c r="E474" s="7">
        <f t="shared" si="15"/>
        <v>0.92500000000000004</v>
      </c>
    </row>
    <row r="475" spans="1:19" ht="14.25" customHeight="1">
      <c r="A475" s="128" t="s">
        <v>2613</v>
      </c>
      <c r="B475" s="9">
        <v>14</v>
      </c>
      <c r="C475" s="7" t="s">
        <v>6004</v>
      </c>
      <c r="D475" s="187">
        <v>3</v>
      </c>
      <c r="E475" s="7">
        <v>1.5</v>
      </c>
    </row>
    <row r="476" spans="1:19" ht="14.25" customHeight="1">
      <c r="A476" s="128" t="s">
        <v>2614</v>
      </c>
      <c r="B476" s="9">
        <v>14</v>
      </c>
      <c r="C476" s="7" t="s">
        <v>5855</v>
      </c>
      <c r="D476" s="187">
        <v>3</v>
      </c>
      <c r="E476" s="7">
        <v>1.5</v>
      </c>
    </row>
    <row r="477" spans="1:19" ht="14.25" customHeight="1">
      <c r="A477" s="128" t="s">
        <v>2615</v>
      </c>
      <c r="B477" s="9">
        <v>14</v>
      </c>
      <c r="C477" s="7" t="s">
        <v>5856</v>
      </c>
      <c r="D477" s="187">
        <v>3</v>
      </c>
      <c r="E477" s="7">
        <v>1.5</v>
      </c>
    </row>
    <row r="478" spans="1:19" ht="14.25" customHeight="1">
      <c r="A478" s="128" t="s">
        <v>2616</v>
      </c>
      <c r="B478" s="9">
        <v>14</v>
      </c>
      <c r="C478" s="7" t="s">
        <v>5857</v>
      </c>
      <c r="D478" s="187">
        <v>3</v>
      </c>
      <c r="E478" s="7">
        <v>1.5</v>
      </c>
    </row>
    <row r="479" spans="1:19" ht="14.25" customHeight="1">
      <c r="A479" s="128" t="s">
        <v>2617</v>
      </c>
      <c r="B479" s="9">
        <v>14</v>
      </c>
      <c r="C479" s="7" t="s">
        <v>5858</v>
      </c>
      <c r="D479" s="187">
        <v>3</v>
      </c>
      <c r="E479" s="7">
        <v>1.5</v>
      </c>
    </row>
    <row r="480" spans="1:19" ht="14.25" customHeight="1">
      <c r="A480" s="128" t="s">
        <v>2618</v>
      </c>
      <c r="B480" s="9">
        <v>14</v>
      </c>
      <c r="C480" s="7" t="s">
        <v>5859</v>
      </c>
      <c r="D480" s="187">
        <v>3</v>
      </c>
      <c r="E480" s="7">
        <v>1.5</v>
      </c>
    </row>
    <row r="481" spans="1:19" ht="14.25" customHeight="1">
      <c r="A481" s="128" t="s">
        <v>2619</v>
      </c>
      <c r="B481" s="9">
        <v>14</v>
      </c>
      <c r="C481" s="7" t="s">
        <v>5860</v>
      </c>
      <c r="D481" s="187">
        <v>3</v>
      </c>
      <c r="E481" s="7">
        <v>1.5</v>
      </c>
    </row>
    <row r="482" spans="1:19" ht="14.25" customHeight="1">
      <c r="A482" s="128" t="s">
        <v>2620</v>
      </c>
      <c r="B482" s="9">
        <v>13</v>
      </c>
      <c r="C482" s="7" t="s">
        <v>5861</v>
      </c>
      <c r="D482" s="187">
        <v>3</v>
      </c>
      <c r="E482" s="7">
        <v>0.9</v>
      </c>
    </row>
    <row r="483" spans="1:19" ht="14.25" customHeight="1">
      <c r="A483" s="128" t="s">
        <v>2621</v>
      </c>
      <c r="B483" s="9">
        <v>13</v>
      </c>
      <c r="C483" s="7" t="s">
        <v>5862</v>
      </c>
      <c r="D483" s="187">
        <v>3</v>
      </c>
      <c r="E483" s="7">
        <v>0.9</v>
      </c>
    </row>
    <row r="484" spans="1:19" ht="14.25" customHeight="1">
      <c r="A484" s="128" t="s">
        <v>2622</v>
      </c>
      <c r="B484" s="9">
        <v>13</v>
      </c>
      <c r="C484" s="7" t="s">
        <v>5863</v>
      </c>
      <c r="D484" s="187">
        <v>3</v>
      </c>
      <c r="E484" s="7">
        <v>0.9</v>
      </c>
      <c r="S484" s="4"/>
    </row>
    <row r="485" spans="1:19" ht="14.25" customHeight="1">
      <c r="A485" s="128" t="s">
        <v>2623</v>
      </c>
      <c r="B485" s="9">
        <v>13</v>
      </c>
      <c r="C485" s="7" t="s">
        <v>5864</v>
      </c>
      <c r="D485" s="187">
        <v>3</v>
      </c>
      <c r="E485" s="7">
        <v>0.9</v>
      </c>
    </row>
    <row r="486" spans="1:19" ht="14.25" customHeight="1">
      <c r="A486" s="128" t="s">
        <v>2624</v>
      </c>
      <c r="B486" s="9">
        <v>13</v>
      </c>
      <c r="C486" s="7" t="s">
        <v>5865</v>
      </c>
      <c r="D486" s="187">
        <v>3</v>
      </c>
      <c r="E486" s="7">
        <v>0.9</v>
      </c>
    </row>
    <row r="487" spans="1:19" ht="14.25" customHeight="1">
      <c r="A487" s="128" t="s">
        <v>2625</v>
      </c>
      <c r="B487" s="9">
        <v>13</v>
      </c>
      <c r="C487" s="7" t="s">
        <v>5866</v>
      </c>
      <c r="D487" s="187">
        <v>3</v>
      </c>
      <c r="E487" s="7">
        <v>0.9</v>
      </c>
    </row>
    <row r="488" spans="1:19" ht="14.25" customHeight="1">
      <c r="A488" s="128" t="s">
        <v>2626</v>
      </c>
      <c r="B488" s="9">
        <v>6</v>
      </c>
      <c r="C488" s="7" t="s">
        <v>6005</v>
      </c>
      <c r="D488" s="187">
        <v>3</v>
      </c>
      <c r="E488" s="7">
        <v>1.6</v>
      </c>
    </row>
    <row r="489" spans="1:19" ht="14.25" customHeight="1">
      <c r="A489" s="128" t="s">
        <v>2627</v>
      </c>
      <c r="B489" s="9">
        <v>6</v>
      </c>
      <c r="C489" s="7" t="s">
        <v>5867</v>
      </c>
      <c r="D489" s="187">
        <v>3</v>
      </c>
      <c r="E489" s="7">
        <v>1.6</v>
      </c>
    </row>
    <row r="490" spans="1:19" ht="14.25" customHeight="1">
      <c r="A490" s="128" t="s">
        <v>2628</v>
      </c>
      <c r="B490" s="9">
        <v>6</v>
      </c>
      <c r="C490" s="7" t="s">
        <v>5868</v>
      </c>
      <c r="D490" s="187">
        <v>3</v>
      </c>
      <c r="E490" s="7">
        <v>1.6</v>
      </c>
    </row>
    <row r="491" spans="1:19" s="4" customFormat="1" ht="14.25" customHeight="1">
      <c r="A491" s="128" t="s">
        <v>2629</v>
      </c>
      <c r="B491" s="9">
        <v>6</v>
      </c>
      <c r="C491" s="7" t="s">
        <v>5869</v>
      </c>
      <c r="D491" s="187">
        <v>3</v>
      </c>
      <c r="E491" s="7">
        <v>1.6</v>
      </c>
      <c r="F491" s="7"/>
      <c r="G491" s="7"/>
      <c r="H491" s="7"/>
      <c r="I491" s="7"/>
      <c r="J491" s="7"/>
      <c r="K491" s="7"/>
      <c r="L491" s="7"/>
      <c r="M491" s="7"/>
      <c r="N491" s="7"/>
      <c r="O491" s="7"/>
      <c r="P491" s="7"/>
      <c r="Q491" s="7"/>
      <c r="R491" s="7"/>
      <c r="S491" s="7"/>
    </row>
    <row r="492" spans="1:19" ht="14.25" customHeight="1">
      <c r="A492" s="128" t="s">
        <v>2630</v>
      </c>
      <c r="B492" s="9">
        <v>6</v>
      </c>
      <c r="C492" s="7" t="s">
        <v>5870</v>
      </c>
      <c r="D492" s="187">
        <v>3</v>
      </c>
      <c r="E492" s="7">
        <v>1.6</v>
      </c>
    </row>
    <row r="493" spans="1:19" ht="14.25" customHeight="1">
      <c r="A493" s="137" t="s">
        <v>2435</v>
      </c>
      <c r="B493" s="9">
        <v>57.6</v>
      </c>
      <c r="C493" s="7" t="s">
        <v>1262</v>
      </c>
      <c r="D493" s="187">
        <v>20</v>
      </c>
      <c r="E493" s="7">
        <v>1.2</v>
      </c>
    </row>
    <row r="494" spans="1:19" ht="14.25" customHeight="1">
      <c r="A494" s="137" t="s">
        <v>2436</v>
      </c>
      <c r="B494" s="9">
        <v>61.9</v>
      </c>
      <c r="C494" s="7" t="s">
        <v>1263</v>
      </c>
      <c r="D494" s="187">
        <v>20</v>
      </c>
      <c r="E494" s="7">
        <v>1.2</v>
      </c>
    </row>
    <row r="495" spans="1:19" ht="14.25" customHeight="1">
      <c r="A495" s="137" t="s">
        <v>2437</v>
      </c>
      <c r="B495" s="9">
        <v>80.900000000000006</v>
      </c>
      <c r="C495" s="7" t="s">
        <v>1264</v>
      </c>
      <c r="D495" s="187">
        <v>20</v>
      </c>
      <c r="E495" s="7">
        <v>1.4</v>
      </c>
    </row>
    <row r="496" spans="1:19" ht="14.25" customHeight="1">
      <c r="A496" s="137" t="s">
        <v>2438</v>
      </c>
      <c r="B496" s="9">
        <v>81.8</v>
      </c>
      <c r="C496" s="7" t="s">
        <v>1265</v>
      </c>
      <c r="D496" s="187">
        <v>20</v>
      </c>
      <c r="E496" s="7">
        <v>1.4</v>
      </c>
    </row>
    <row r="497" spans="1:19" ht="14.25" customHeight="1">
      <c r="A497" s="128">
        <v>266.01</v>
      </c>
      <c r="B497" s="9">
        <v>10</v>
      </c>
      <c r="C497" s="7" t="s">
        <v>1259</v>
      </c>
      <c r="D497" s="187">
        <v>30</v>
      </c>
      <c r="E497" s="7">
        <v>0.57999999999999996</v>
      </c>
      <c r="S497" s="4"/>
    </row>
    <row r="498" spans="1:19" ht="14.25" customHeight="1">
      <c r="A498" s="128">
        <v>266.02</v>
      </c>
      <c r="B498" s="9">
        <v>4</v>
      </c>
      <c r="C498" s="7" t="s">
        <v>1260</v>
      </c>
      <c r="D498" s="187">
        <v>50</v>
      </c>
      <c r="E498" s="7">
        <v>0.25</v>
      </c>
    </row>
    <row r="499" spans="1:19" ht="14.25" customHeight="1">
      <c r="A499" s="128" t="s">
        <v>2579</v>
      </c>
      <c r="B499" s="9">
        <v>13.5</v>
      </c>
      <c r="C499" s="7" t="s">
        <v>1552</v>
      </c>
      <c r="D499" s="187">
        <v>6</v>
      </c>
      <c r="E499" s="7">
        <v>0.5</v>
      </c>
    </row>
    <row r="500" spans="1:19" ht="14.25" customHeight="1">
      <c r="A500" s="128" t="s">
        <v>2580</v>
      </c>
      <c r="B500" s="9">
        <v>14.5</v>
      </c>
      <c r="C500" s="7" t="s">
        <v>1553</v>
      </c>
      <c r="D500" s="187">
        <v>6</v>
      </c>
      <c r="E500" s="7">
        <v>0.5</v>
      </c>
    </row>
    <row r="501" spans="1:19" ht="14.25" customHeight="1">
      <c r="A501" s="128" t="s">
        <v>2581</v>
      </c>
      <c r="B501" s="9">
        <v>20.399999999999999</v>
      </c>
      <c r="C501" s="7" t="s">
        <v>1554</v>
      </c>
      <c r="D501" s="187">
        <v>3</v>
      </c>
      <c r="E501" s="7">
        <v>0.52</v>
      </c>
    </row>
    <row r="502" spans="1:19" s="4" customFormat="1" ht="14.25" customHeight="1">
      <c r="A502" s="128" t="s">
        <v>2582</v>
      </c>
      <c r="B502" s="9">
        <v>20.399999999999999</v>
      </c>
      <c r="C502" s="7" t="s">
        <v>1555</v>
      </c>
      <c r="D502" s="187">
        <v>3</v>
      </c>
      <c r="E502" s="7">
        <v>0.52</v>
      </c>
      <c r="F502" s="7"/>
      <c r="G502" s="7"/>
      <c r="H502" s="7"/>
      <c r="I502" s="7"/>
      <c r="J502" s="7"/>
      <c r="K502" s="7"/>
      <c r="L502" s="7"/>
      <c r="M502" s="7"/>
      <c r="N502" s="7"/>
      <c r="O502" s="7"/>
      <c r="P502" s="7"/>
      <c r="Q502" s="7"/>
      <c r="R502" s="7"/>
      <c r="S502" s="7"/>
    </row>
    <row r="503" spans="1:19" ht="14.25" customHeight="1">
      <c r="A503" s="128" t="s">
        <v>2583</v>
      </c>
      <c r="B503" s="9">
        <v>20.399999999999999</v>
      </c>
      <c r="C503" s="7" t="s">
        <v>1556</v>
      </c>
      <c r="D503" s="187">
        <v>3</v>
      </c>
      <c r="E503" s="7">
        <v>0.52</v>
      </c>
    </row>
    <row r="504" spans="1:19" ht="14.25" customHeight="1">
      <c r="A504" s="128" t="s">
        <v>2584</v>
      </c>
      <c r="B504" s="9">
        <v>41.5</v>
      </c>
      <c r="C504" s="7" t="s">
        <v>1558</v>
      </c>
      <c r="D504" s="187">
        <v>3</v>
      </c>
      <c r="E504" s="7">
        <v>2.4</v>
      </c>
    </row>
    <row r="505" spans="1:19" ht="14.25" customHeight="1">
      <c r="A505" s="128" t="s">
        <v>2585</v>
      </c>
      <c r="B505" s="9">
        <v>42.9</v>
      </c>
      <c r="C505" s="7" t="s">
        <v>1559</v>
      </c>
      <c r="D505" s="187">
        <v>3</v>
      </c>
      <c r="E505" s="7">
        <v>2.4</v>
      </c>
    </row>
    <row r="506" spans="1:19" ht="14.25" customHeight="1">
      <c r="A506" s="128" t="s">
        <v>2586</v>
      </c>
      <c r="B506" s="9">
        <v>65.400000000000006</v>
      </c>
      <c r="C506" s="7" t="s">
        <v>1557</v>
      </c>
      <c r="D506" s="187">
        <v>3</v>
      </c>
      <c r="E506" s="7">
        <v>3.2</v>
      </c>
    </row>
    <row r="507" spans="1:19" ht="14.25" customHeight="1">
      <c r="A507" s="128" t="s">
        <v>2587</v>
      </c>
      <c r="B507" s="9">
        <v>43</v>
      </c>
      <c r="C507" s="7" t="s">
        <v>1560</v>
      </c>
      <c r="D507" s="187">
        <v>3</v>
      </c>
      <c r="E507" s="7">
        <v>0.9</v>
      </c>
    </row>
    <row r="508" spans="1:19" ht="14.25" customHeight="1">
      <c r="A508" s="128" t="s">
        <v>2588</v>
      </c>
      <c r="B508" s="9">
        <v>43</v>
      </c>
      <c r="C508" s="7" t="s">
        <v>1561</v>
      </c>
      <c r="D508" s="187">
        <v>3</v>
      </c>
      <c r="E508" s="7">
        <v>0.9</v>
      </c>
    </row>
    <row r="509" spans="1:19" ht="14.25" customHeight="1">
      <c r="A509" s="128" t="s">
        <v>2589</v>
      </c>
      <c r="B509" s="9">
        <v>43</v>
      </c>
      <c r="C509" s="7" t="s">
        <v>1562</v>
      </c>
      <c r="D509" s="187">
        <v>3</v>
      </c>
      <c r="E509" s="7">
        <v>0.9</v>
      </c>
    </row>
    <row r="510" spans="1:19" ht="14.25" customHeight="1">
      <c r="A510" s="128" t="s">
        <v>2590</v>
      </c>
      <c r="B510" s="9">
        <v>43</v>
      </c>
      <c r="C510" s="7" t="s">
        <v>1563</v>
      </c>
      <c r="D510" s="187">
        <v>3</v>
      </c>
      <c r="E510" s="7">
        <v>0.9</v>
      </c>
    </row>
    <row r="511" spans="1:19" ht="14.25" customHeight="1">
      <c r="A511" s="128" t="s">
        <v>2591</v>
      </c>
      <c r="B511" s="9">
        <v>43</v>
      </c>
      <c r="C511" s="7" t="s">
        <v>1564</v>
      </c>
      <c r="D511" s="187">
        <v>3</v>
      </c>
      <c r="E511" s="7">
        <v>0.9</v>
      </c>
    </row>
    <row r="512" spans="1:19" ht="14.25" customHeight="1">
      <c r="A512" s="128" t="s">
        <v>2592</v>
      </c>
      <c r="B512" s="9">
        <v>43</v>
      </c>
      <c r="C512" s="7" t="s">
        <v>1565</v>
      </c>
      <c r="D512" s="187">
        <v>3</v>
      </c>
      <c r="E512" s="7">
        <v>0.9</v>
      </c>
    </row>
    <row r="513" spans="1:5" ht="14.25" customHeight="1">
      <c r="A513" s="128" t="s">
        <v>2593</v>
      </c>
      <c r="B513" s="9">
        <v>43</v>
      </c>
      <c r="C513" s="7" t="s">
        <v>1566</v>
      </c>
      <c r="D513" s="187">
        <v>3</v>
      </c>
      <c r="E513" s="7">
        <v>0.9</v>
      </c>
    </row>
    <row r="514" spans="1:5" ht="14.25" customHeight="1">
      <c r="A514" s="128" t="s">
        <v>2594</v>
      </c>
      <c r="B514" s="9">
        <v>43</v>
      </c>
      <c r="C514" s="7" t="s">
        <v>1567</v>
      </c>
      <c r="D514" s="187">
        <v>3</v>
      </c>
      <c r="E514" s="7">
        <v>0.9</v>
      </c>
    </row>
    <row r="515" spans="1:5" ht="14.25" customHeight="1">
      <c r="A515" s="119" t="s">
        <v>2595</v>
      </c>
      <c r="B515" s="9">
        <v>20</v>
      </c>
      <c r="C515" s="7" t="s">
        <v>1392</v>
      </c>
      <c r="D515" s="187">
        <v>3</v>
      </c>
      <c r="E515" s="7">
        <v>0.9</v>
      </c>
    </row>
    <row r="516" spans="1:5" ht="14.25" customHeight="1">
      <c r="A516" s="119" t="s">
        <v>2596</v>
      </c>
      <c r="B516" s="9">
        <v>20</v>
      </c>
      <c r="C516" s="7" t="s">
        <v>1393</v>
      </c>
      <c r="D516" s="187">
        <v>3</v>
      </c>
      <c r="E516" s="7">
        <v>0.9</v>
      </c>
    </row>
    <row r="517" spans="1:5" ht="14.25" customHeight="1">
      <c r="A517" s="119" t="s">
        <v>2597</v>
      </c>
      <c r="B517" s="9">
        <v>20</v>
      </c>
      <c r="C517" s="7" t="s">
        <v>1399</v>
      </c>
      <c r="D517" s="187">
        <v>3</v>
      </c>
      <c r="E517" s="7">
        <v>0.9</v>
      </c>
    </row>
    <row r="518" spans="1:5" ht="14.25" customHeight="1">
      <c r="A518" s="119" t="s">
        <v>2598</v>
      </c>
      <c r="B518" s="9">
        <v>20</v>
      </c>
      <c r="C518" s="7" t="s">
        <v>1394</v>
      </c>
      <c r="D518" s="187">
        <v>3</v>
      </c>
      <c r="E518" s="7">
        <v>0.9</v>
      </c>
    </row>
    <row r="519" spans="1:5" ht="14.25" customHeight="1">
      <c r="A519" s="119" t="s">
        <v>2599</v>
      </c>
      <c r="B519" s="9">
        <v>20</v>
      </c>
      <c r="C519" s="7" t="s">
        <v>1395</v>
      </c>
      <c r="D519" s="187">
        <v>3</v>
      </c>
      <c r="E519" s="7">
        <v>0.9</v>
      </c>
    </row>
    <row r="520" spans="1:5" ht="14.25" customHeight="1">
      <c r="A520" s="119" t="s">
        <v>2600</v>
      </c>
      <c r="B520" s="9">
        <v>20</v>
      </c>
      <c r="C520" s="7" t="s">
        <v>1396</v>
      </c>
      <c r="D520" s="187">
        <v>3</v>
      </c>
      <c r="E520" s="7">
        <v>0.9</v>
      </c>
    </row>
    <row r="521" spans="1:5" ht="14.25" customHeight="1">
      <c r="A521" s="119" t="s">
        <v>2601</v>
      </c>
      <c r="B521" s="9">
        <v>20</v>
      </c>
      <c r="C521" s="7" t="s">
        <v>1397</v>
      </c>
      <c r="D521" s="187">
        <v>3</v>
      </c>
      <c r="E521" s="7">
        <v>0.9</v>
      </c>
    </row>
    <row r="522" spans="1:5" ht="14.25" customHeight="1">
      <c r="A522" s="119" t="s">
        <v>2602</v>
      </c>
      <c r="B522" s="9">
        <v>20</v>
      </c>
      <c r="C522" s="7" t="s">
        <v>1398</v>
      </c>
      <c r="D522" s="187">
        <v>3</v>
      </c>
      <c r="E522" s="7">
        <v>0.9</v>
      </c>
    </row>
    <row r="523" spans="1:5" ht="14.25" customHeight="1">
      <c r="A523" s="119" t="s">
        <v>2603</v>
      </c>
      <c r="B523" s="9">
        <v>20</v>
      </c>
      <c r="C523" s="7" t="s">
        <v>1400</v>
      </c>
      <c r="D523" s="187">
        <v>3</v>
      </c>
      <c r="E523" s="7">
        <v>0.9</v>
      </c>
    </row>
    <row r="524" spans="1:5" ht="14.25" customHeight="1">
      <c r="A524" s="119" t="s">
        <v>2604</v>
      </c>
      <c r="B524" s="9">
        <v>20</v>
      </c>
      <c r="C524" s="7" t="s">
        <v>1401</v>
      </c>
      <c r="D524" s="187">
        <v>3</v>
      </c>
      <c r="E524" s="7">
        <v>0.9</v>
      </c>
    </row>
    <row r="525" spans="1:5" ht="14.25" customHeight="1">
      <c r="A525" s="115">
        <v>268.01</v>
      </c>
      <c r="B525" s="9">
        <f>87.6/20</f>
        <v>4.38</v>
      </c>
      <c r="C525" s="1" t="s">
        <v>1825</v>
      </c>
      <c r="D525" s="188">
        <v>20</v>
      </c>
      <c r="E525" s="6">
        <v>0.44</v>
      </c>
    </row>
    <row r="526" spans="1:5" ht="14.25" customHeight="1">
      <c r="A526" s="115">
        <v>268.02</v>
      </c>
      <c r="B526" s="110">
        <f>92.7/20</f>
        <v>4.6349999999999998</v>
      </c>
      <c r="C526" s="1" t="s">
        <v>1828</v>
      </c>
      <c r="D526" s="188">
        <v>20</v>
      </c>
      <c r="E526" s="6">
        <v>0.44</v>
      </c>
    </row>
    <row r="527" spans="1:5" ht="14.25" customHeight="1">
      <c r="A527" s="115">
        <v>268.02999999999997</v>
      </c>
      <c r="B527" s="9">
        <f>94.6/20</f>
        <v>4.7299999999999995</v>
      </c>
      <c r="C527" s="1" t="s">
        <v>1826</v>
      </c>
      <c r="D527" s="188">
        <v>20</v>
      </c>
      <c r="E527" s="6">
        <v>0.44</v>
      </c>
    </row>
    <row r="528" spans="1:5" ht="14.25" customHeight="1">
      <c r="A528" s="115">
        <v>268.04000000000002</v>
      </c>
      <c r="B528" s="110">
        <f>99.3/20</f>
        <v>4.9649999999999999</v>
      </c>
      <c r="C528" s="1" t="s">
        <v>1827</v>
      </c>
      <c r="D528" s="188">
        <v>20</v>
      </c>
      <c r="E528" s="6">
        <v>0.44</v>
      </c>
    </row>
    <row r="529" spans="1:19" ht="14.25" customHeight="1">
      <c r="A529" s="115">
        <v>268.05</v>
      </c>
      <c r="B529" s="9">
        <v>8.6</v>
      </c>
      <c r="C529" s="1" t="s">
        <v>1811</v>
      </c>
      <c r="D529" s="188">
        <v>3</v>
      </c>
      <c r="E529" s="6">
        <v>0.6</v>
      </c>
      <c r="S529" s="4"/>
    </row>
    <row r="530" spans="1:19" ht="14.25" customHeight="1">
      <c r="A530" s="115">
        <v>268.06</v>
      </c>
      <c r="B530" s="9">
        <v>8.6</v>
      </c>
      <c r="C530" s="1" t="s">
        <v>1812</v>
      </c>
      <c r="D530" s="188">
        <v>3</v>
      </c>
      <c r="E530" s="6">
        <v>0.6</v>
      </c>
    </row>
    <row r="531" spans="1:19" ht="14.25" customHeight="1">
      <c r="A531" s="115">
        <v>268.07</v>
      </c>
      <c r="B531" s="9">
        <v>8.6</v>
      </c>
      <c r="C531" s="1" t="s">
        <v>1813</v>
      </c>
      <c r="D531" s="188">
        <v>3</v>
      </c>
      <c r="E531" s="6">
        <v>0.6</v>
      </c>
    </row>
    <row r="532" spans="1:19" ht="14.25" customHeight="1">
      <c r="A532" s="115">
        <v>268.08</v>
      </c>
      <c r="B532" s="9">
        <v>8.6</v>
      </c>
      <c r="C532" s="1" t="s">
        <v>1814</v>
      </c>
      <c r="D532" s="188">
        <v>3</v>
      </c>
      <c r="E532" s="6">
        <v>0.6</v>
      </c>
    </row>
    <row r="533" spans="1:19" ht="14.25" customHeight="1">
      <c r="A533" s="115">
        <v>268.08999999999997</v>
      </c>
      <c r="B533" s="9">
        <v>8.6</v>
      </c>
      <c r="C533" s="1" t="s">
        <v>1815</v>
      </c>
      <c r="D533" s="188">
        <v>3</v>
      </c>
      <c r="E533" s="6">
        <v>0.6</v>
      </c>
    </row>
    <row r="534" spans="1:19" ht="14.25" customHeight="1">
      <c r="A534" s="117" t="s">
        <v>2325</v>
      </c>
      <c r="B534" s="9">
        <v>8.6</v>
      </c>
      <c r="C534" s="1" t="s">
        <v>1816</v>
      </c>
      <c r="D534" s="188">
        <v>3</v>
      </c>
      <c r="E534" s="6">
        <v>0.6</v>
      </c>
    </row>
    <row r="535" spans="1:19" ht="14.25" customHeight="1">
      <c r="A535" s="117" t="s">
        <v>2326</v>
      </c>
      <c r="B535" s="9">
        <v>8.6</v>
      </c>
      <c r="C535" s="1" t="s">
        <v>1817</v>
      </c>
      <c r="D535" s="188">
        <v>3</v>
      </c>
      <c r="E535" s="6">
        <v>0.6</v>
      </c>
    </row>
    <row r="536" spans="1:19" ht="14.25" customHeight="1">
      <c r="A536" s="117" t="s">
        <v>2327</v>
      </c>
      <c r="B536" s="9">
        <v>8.6</v>
      </c>
      <c r="C536" s="1" t="s">
        <v>1818</v>
      </c>
      <c r="D536" s="188">
        <v>3</v>
      </c>
      <c r="E536" s="6">
        <v>0.6</v>
      </c>
    </row>
    <row r="537" spans="1:19" ht="14.25" customHeight="1">
      <c r="A537" s="117" t="s">
        <v>2328</v>
      </c>
      <c r="B537" s="9">
        <v>8.6</v>
      </c>
      <c r="C537" s="1" t="s">
        <v>1819</v>
      </c>
      <c r="D537" s="188">
        <v>3</v>
      </c>
      <c r="E537" s="6">
        <v>0.6</v>
      </c>
    </row>
    <row r="538" spans="1:19" ht="14.25" customHeight="1">
      <c r="A538" s="117" t="s">
        <v>2329</v>
      </c>
      <c r="B538" s="9">
        <v>8.6</v>
      </c>
      <c r="C538" s="1" t="s">
        <v>1820</v>
      </c>
      <c r="D538" s="188">
        <v>3</v>
      </c>
      <c r="E538" s="6">
        <v>0.6</v>
      </c>
    </row>
    <row r="539" spans="1:19" ht="14.25" customHeight="1">
      <c r="A539" s="117" t="s">
        <v>2330</v>
      </c>
      <c r="B539" s="9">
        <v>8.6</v>
      </c>
      <c r="C539" s="1" t="s">
        <v>1821</v>
      </c>
      <c r="D539" s="188">
        <v>3</v>
      </c>
      <c r="E539" s="6">
        <v>0.6</v>
      </c>
    </row>
    <row r="540" spans="1:19" ht="14.25" customHeight="1">
      <c r="A540" s="117" t="s">
        <v>2331</v>
      </c>
      <c r="B540" s="9">
        <v>8.6</v>
      </c>
      <c r="C540" s="1" t="s">
        <v>1822</v>
      </c>
      <c r="D540" s="188">
        <v>3</v>
      </c>
      <c r="E540" s="6">
        <v>0.6</v>
      </c>
    </row>
    <row r="541" spans="1:19" ht="14.25" customHeight="1">
      <c r="A541" s="117" t="s">
        <v>2332</v>
      </c>
      <c r="B541" s="9">
        <v>8.6</v>
      </c>
      <c r="C541" s="1" t="s">
        <v>1823</v>
      </c>
      <c r="D541" s="188">
        <v>3</v>
      </c>
      <c r="E541" s="6">
        <v>0.6</v>
      </c>
    </row>
    <row r="542" spans="1:19" ht="14.25" customHeight="1">
      <c r="A542" s="117" t="s">
        <v>2333</v>
      </c>
      <c r="B542" s="9">
        <v>8.6</v>
      </c>
      <c r="C542" s="1" t="s">
        <v>1824</v>
      </c>
      <c r="D542" s="188">
        <v>3</v>
      </c>
      <c r="E542" s="6">
        <v>0.6</v>
      </c>
    </row>
    <row r="543" spans="1:19" ht="14.25" customHeight="1">
      <c r="A543" s="117" t="s">
        <v>2334</v>
      </c>
      <c r="B543" s="9">
        <v>19.100000000000001</v>
      </c>
      <c r="C543" s="1" t="s">
        <v>1829</v>
      </c>
      <c r="D543" s="188">
        <v>2</v>
      </c>
      <c r="E543" s="6">
        <v>1.95</v>
      </c>
    </row>
    <row r="544" spans="1:19" ht="14.25" customHeight="1">
      <c r="A544" s="117" t="s">
        <v>2335</v>
      </c>
      <c r="B544" s="9">
        <v>19.100000000000001</v>
      </c>
      <c r="C544" s="1" t="s">
        <v>1830</v>
      </c>
      <c r="D544" s="188">
        <v>2</v>
      </c>
      <c r="E544" s="6">
        <v>1.95</v>
      </c>
    </row>
    <row r="545" spans="1:19" ht="14.25" customHeight="1">
      <c r="A545" s="117" t="s">
        <v>2336</v>
      </c>
      <c r="B545" s="9">
        <v>19.100000000000001</v>
      </c>
      <c r="C545" s="1" t="s">
        <v>1831</v>
      </c>
      <c r="D545" s="188">
        <v>2</v>
      </c>
      <c r="E545" s="6">
        <v>1.95</v>
      </c>
    </row>
    <row r="546" spans="1:19" ht="14.25" customHeight="1">
      <c r="A546" s="117" t="s">
        <v>2337</v>
      </c>
      <c r="B546" s="9">
        <v>19.100000000000001</v>
      </c>
      <c r="C546" s="1" t="s">
        <v>1832</v>
      </c>
      <c r="D546" s="188">
        <v>2</v>
      </c>
      <c r="E546" s="6">
        <v>1.95</v>
      </c>
    </row>
    <row r="547" spans="1:19" ht="14.25" customHeight="1">
      <c r="A547" s="117" t="s">
        <v>2338</v>
      </c>
      <c r="B547" s="9">
        <v>19.100000000000001</v>
      </c>
      <c r="C547" s="1" t="s">
        <v>1833</v>
      </c>
      <c r="D547" s="188">
        <v>2</v>
      </c>
      <c r="E547" s="6">
        <v>1.95</v>
      </c>
    </row>
    <row r="548" spans="1:19" ht="14.25" customHeight="1">
      <c r="A548" s="117" t="s">
        <v>2339</v>
      </c>
      <c r="B548" s="9">
        <v>19.100000000000001</v>
      </c>
      <c r="C548" s="1" t="s">
        <v>1834</v>
      </c>
      <c r="D548" s="188">
        <v>2</v>
      </c>
      <c r="E548" s="6">
        <v>1.95</v>
      </c>
      <c r="S548" s="4"/>
    </row>
    <row r="549" spans="1:19" ht="14.25" customHeight="1">
      <c r="A549" s="117" t="s">
        <v>2340</v>
      </c>
      <c r="B549" s="9">
        <v>19.100000000000001</v>
      </c>
      <c r="C549" s="1" t="s">
        <v>1846</v>
      </c>
      <c r="D549" s="188">
        <v>2</v>
      </c>
      <c r="E549" s="6">
        <v>1.95</v>
      </c>
    </row>
    <row r="550" spans="1:19" ht="14.25" customHeight="1">
      <c r="A550" s="117" t="s">
        <v>2341</v>
      </c>
      <c r="B550" s="9">
        <v>19.100000000000001</v>
      </c>
      <c r="C550" s="1" t="s">
        <v>1835</v>
      </c>
      <c r="D550" s="188">
        <v>2</v>
      </c>
      <c r="E550" s="6">
        <v>1.95</v>
      </c>
    </row>
    <row r="551" spans="1:19" ht="14.25" customHeight="1">
      <c r="A551" s="117" t="s">
        <v>2342</v>
      </c>
      <c r="B551" s="9">
        <v>19.100000000000001</v>
      </c>
      <c r="C551" s="1" t="s">
        <v>1836</v>
      </c>
      <c r="D551" s="188">
        <v>2</v>
      </c>
      <c r="E551" s="6">
        <v>1.95</v>
      </c>
    </row>
    <row r="552" spans="1:19" ht="14.25" customHeight="1">
      <c r="A552" s="117" t="s">
        <v>2343</v>
      </c>
      <c r="B552" s="9">
        <v>19.100000000000001</v>
      </c>
      <c r="C552" s="1" t="s">
        <v>1837</v>
      </c>
      <c r="D552" s="188">
        <v>2</v>
      </c>
      <c r="E552" s="6">
        <v>1.95</v>
      </c>
    </row>
    <row r="553" spans="1:19" ht="14.25" customHeight="1">
      <c r="A553" s="117" t="s">
        <v>2344</v>
      </c>
      <c r="B553" s="9">
        <v>19.100000000000001</v>
      </c>
      <c r="C553" s="1" t="s">
        <v>1838</v>
      </c>
      <c r="D553" s="188">
        <v>2</v>
      </c>
      <c r="E553" s="6">
        <v>1.95</v>
      </c>
    </row>
    <row r="554" spans="1:19" ht="14.25" customHeight="1">
      <c r="A554" s="117" t="s">
        <v>2345</v>
      </c>
      <c r="B554" s="9">
        <v>19.100000000000001</v>
      </c>
      <c r="C554" s="1" t="s">
        <v>1845</v>
      </c>
      <c r="D554" s="188">
        <v>2</v>
      </c>
      <c r="E554" s="6">
        <v>1.95</v>
      </c>
    </row>
    <row r="555" spans="1:19" s="4" customFormat="1" ht="14.25" customHeight="1">
      <c r="A555" s="117" t="s">
        <v>2346</v>
      </c>
      <c r="B555" s="9">
        <v>19.100000000000001</v>
      </c>
      <c r="C555" s="1" t="s">
        <v>1844</v>
      </c>
      <c r="D555" s="188">
        <v>2</v>
      </c>
      <c r="E555" s="6">
        <v>1.95</v>
      </c>
      <c r="F555" s="7"/>
      <c r="G555" s="7"/>
      <c r="H555" s="7"/>
      <c r="I555" s="7"/>
      <c r="J555" s="7"/>
      <c r="K555" s="7"/>
      <c r="L555" s="7"/>
      <c r="M555" s="7"/>
      <c r="N555" s="7"/>
      <c r="O555" s="7"/>
      <c r="P555" s="7"/>
      <c r="Q555" s="7"/>
      <c r="R555" s="7"/>
      <c r="S555" s="7"/>
    </row>
    <row r="556" spans="1:19" ht="14.25" customHeight="1">
      <c r="A556" s="117" t="s">
        <v>2347</v>
      </c>
      <c r="B556" s="9">
        <v>19.100000000000001</v>
      </c>
      <c r="C556" s="1" t="s">
        <v>1843</v>
      </c>
      <c r="D556" s="188">
        <v>2</v>
      </c>
      <c r="E556" s="6">
        <v>1.95</v>
      </c>
    </row>
    <row r="557" spans="1:19" ht="14.25" customHeight="1">
      <c r="A557" s="117" t="s">
        <v>2348</v>
      </c>
      <c r="B557" s="9">
        <v>19.100000000000001</v>
      </c>
      <c r="C557" s="1" t="s">
        <v>1842</v>
      </c>
      <c r="D557" s="188">
        <v>2</v>
      </c>
      <c r="E557" s="6">
        <v>1.95</v>
      </c>
    </row>
    <row r="558" spans="1:19" ht="14.25" customHeight="1">
      <c r="A558" s="117" t="s">
        <v>2349</v>
      </c>
      <c r="B558" s="9">
        <v>19.100000000000001</v>
      </c>
      <c r="C558" s="1" t="s">
        <v>1841</v>
      </c>
      <c r="D558" s="188">
        <v>2</v>
      </c>
      <c r="E558" s="6">
        <v>1.95</v>
      </c>
    </row>
    <row r="559" spans="1:19" ht="14.25" customHeight="1">
      <c r="A559" s="117" t="s">
        <v>2350</v>
      </c>
      <c r="B559" s="9">
        <v>19.100000000000001</v>
      </c>
      <c r="C559" s="1" t="s">
        <v>1840</v>
      </c>
      <c r="D559" s="188">
        <v>2</v>
      </c>
      <c r="E559" s="6">
        <v>1.95</v>
      </c>
    </row>
    <row r="560" spans="1:19" ht="14.25" customHeight="1">
      <c r="A560" s="117" t="s">
        <v>2351</v>
      </c>
      <c r="B560" s="9">
        <v>19.100000000000001</v>
      </c>
      <c r="C560" s="1" t="s">
        <v>1839</v>
      </c>
      <c r="D560" s="188">
        <v>2</v>
      </c>
      <c r="E560" s="6">
        <v>1.95</v>
      </c>
    </row>
    <row r="561" spans="1:19" ht="14.25" customHeight="1">
      <c r="A561" s="152" t="s">
        <v>3382</v>
      </c>
      <c r="B561" s="9">
        <v>75.5</v>
      </c>
      <c r="C561" s="203" t="s">
        <v>5942</v>
      </c>
      <c r="D561" s="187">
        <v>5</v>
      </c>
      <c r="E561" s="7">
        <v>0.75</v>
      </c>
    </row>
    <row r="562" spans="1:19" ht="14.25" customHeight="1">
      <c r="A562" s="120" t="s">
        <v>2454</v>
      </c>
      <c r="B562" s="9">
        <v>36.299999999999997</v>
      </c>
      <c r="C562" s="7" t="s">
        <v>1497</v>
      </c>
      <c r="D562" s="187">
        <v>3</v>
      </c>
      <c r="E562" s="7">
        <v>2.5</v>
      </c>
    </row>
    <row r="563" spans="1:19" ht="14.25" customHeight="1">
      <c r="A563" s="120" t="s">
        <v>2455</v>
      </c>
      <c r="B563" s="9">
        <v>36.299999999999997</v>
      </c>
      <c r="C563" s="7" t="s">
        <v>1498</v>
      </c>
      <c r="D563" s="187">
        <v>3</v>
      </c>
      <c r="E563" s="7">
        <v>2.5</v>
      </c>
      <c r="S563" s="4"/>
    </row>
    <row r="564" spans="1:19" ht="14.25" customHeight="1">
      <c r="A564" s="120" t="s">
        <v>2456</v>
      </c>
      <c r="B564" s="9">
        <v>36.299999999999997</v>
      </c>
      <c r="C564" s="7" t="s">
        <v>1499</v>
      </c>
      <c r="D564" s="187">
        <v>3</v>
      </c>
      <c r="E564" s="7">
        <v>2.5</v>
      </c>
    </row>
    <row r="565" spans="1:19" ht="14.25" customHeight="1">
      <c r="A565" s="120" t="s">
        <v>2457</v>
      </c>
      <c r="B565" s="9">
        <v>36.299999999999997</v>
      </c>
      <c r="C565" s="7" t="s">
        <v>1500</v>
      </c>
      <c r="D565" s="187">
        <v>3</v>
      </c>
      <c r="E565" s="7">
        <v>2.5</v>
      </c>
    </row>
    <row r="566" spans="1:19" ht="14.25" customHeight="1">
      <c r="A566" s="120" t="s">
        <v>2458</v>
      </c>
      <c r="B566" s="9">
        <v>36.299999999999997</v>
      </c>
      <c r="C566" s="7" t="s">
        <v>1369</v>
      </c>
      <c r="D566" s="187">
        <v>3</v>
      </c>
      <c r="E566" s="7">
        <v>2.5</v>
      </c>
    </row>
    <row r="567" spans="1:19" ht="14.25" customHeight="1">
      <c r="A567" s="120" t="s">
        <v>2459</v>
      </c>
      <c r="B567" s="9">
        <v>36.299999999999997</v>
      </c>
      <c r="C567" s="7" t="s">
        <v>1501</v>
      </c>
      <c r="D567" s="187">
        <v>3</v>
      </c>
      <c r="E567" s="7">
        <v>2.5</v>
      </c>
    </row>
    <row r="568" spans="1:19" ht="14.25" customHeight="1">
      <c r="A568" s="120" t="s">
        <v>2460</v>
      </c>
      <c r="B568" s="9">
        <v>36.299999999999997</v>
      </c>
      <c r="C568" s="7" t="s">
        <v>1502</v>
      </c>
      <c r="D568" s="187">
        <v>3</v>
      </c>
      <c r="E568" s="7">
        <v>2.5</v>
      </c>
    </row>
    <row r="569" spans="1:19" ht="14.25" customHeight="1">
      <c r="A569" s="120" t="s">
        <v>2461</v>
      </c>
      <c r="B569" s="9">
        <v>36.299999999999997</v>
      </c>
      <c r="C569" s="7" t="s">
        <v>1503</v>
      </c>
      <c r="D569" s="187">
        <v>3</v>
      </c>
      <c r="E569" s="7">
        <v>2.5</v>
      </c>
    </row>
    <row r="570" spans="1:19" s="4" customFormat="1" ht="14.25" customHeight="1">
      <c r="A570" s="120" t="s">
        <v>2462</v>
      </c>
      <c r="B570" s="9">
        <v>36.299999999999997</v>
      </c>
      <c r="C570" s="7" t="s">
        <v>1504</v>
      </c>
      <c r="D570" s="187">
        <v>3</v>
      </c>
      <c r="E570" s="7">
        <v>2.5</v>
      </c>
      <c r="F570" s="7"/>
      <c r="G570" s="7"/>
      <c r="H570" s="7"/>
      <c r="I570" s="7"/>
      <c r="J570" s="7"/>
      <c r="K570" s="7"/>
      <c r="L570" s="7"/>
      <c r="M570" s="7"/>
      <c r="N570" s="7"/>
      <c r="O570" s="7"/>
      <c r="P570" s="7"/>
      <c r="Q570" s="7"/>
      <c r="R570" s="7"/>
      <c r="S570" s="7"/>
    </row>
    <row r="571" spans="1:19" ht="14.25" customHeight="1">
      <c r="A571" s="120" t="s">
        <v>2463</v>
      </c>
      <c r="B571" s="9">
        <v>36.299999999999997</v>
      </c>
      <c r="C571" s="7" t="s">
        <v>1505</v>
      </c>
      <c r="D571" s="187">
        <v>3</v>
      </c>
      <c r="E571" s="7">
        <v>2.5</v>
      </c>
    </row>
    <row r="572" spans="1:19" ht="14.25" customHeight="1">
      <c r="A572" s="120" t="s">
        <v>2464</v>
      </c>
      <c r="B572" s="9">
        <v>36.299999999999997</v>
      </c>
      <c r="C572" s="7" t="s">
        <v>1506</v>
      </c>
      <c r="D572" s="187">
        <v>3</v>
      </c>
      <c r="E572" s="7">
        <v>2.5</v>
      </c>
    </row>
    <row r="573" spans="1:19" ht="14.25" customHeight="1">
      <c r="A573" s="120" t="s">
        <v>2465</v>
      </c>
      <c r="B573" s="9">
        <v>36.299999999999997</v>
      </c>
      <c r="C573" s="7" t="s">
        <v>1507</v>
      </c>
      <c r="D573" s="187">
        <v>3</v>
      </c>
      <c r="E573" s="7">
        <v>2.5</v>
      </c>
    </row>
    <row r="574" spans="1:19" ht="14.25" customHeight="1">
      <c r="A574" s="120" t="s">
        <v>2466</v>
      </c>
      <c r="B574" s="9">
        <v>9.5</v>
      </c>
      <c r="C574" s="1" t="s">
        <v>1270</v>
      </c>
      <c r="D574" s="187">
        <v>5</v>
      </c>
      <c r="E574" s="7">
        <v>0.55000000000000004</v>
      </c>
    </row>
    <row r="575" spans="1:19" ht="14.25" customHeight="1">
      <c r="A575" s="120" t="s">
        <v>2467</v>
      </c>
      <c r="B575" s="9">
        <v>9.5</v>
      </c>
      <c r="C575" s="1" t="s">
        <v>1283</v>
      </c>
      <c r="D575" s="187">
        <v>5</v>
      </c>
      <c r="E575" s="7">
        <v>0.55000000000000004</v>
      </c>
    </row>
    <row r="576" spans="1:19" ht="14.25" customHeight="1">
      <c r="A576" s="120" t="s">
        <v>2468</v>
      </c>
      <c r="B576" s="9">
        <v>9.5</v>
      </c>
      <c r="C576" s="1" t="s">
        <v>1271</v>
      </c>
      <c r="D576" s="187">
        <v>5</v>
      </c>
      <c r="E576" s="7">
        <v>0.55000000000000004</v>
      </c>
    </row>
    <row r="577" spans="1:19" ht="14.25" customHeight="1">
      <c r="A577" s="120" t="s">
        <v>2469</v>
      </c>
      <c r="B577" s="9">
        <v>9.5</v>
      </c>
      <c r="C577" s="1" t="s">
        <v>1272</v>
      </c>
      <c r="D577" s="187">
        <v>5</v>
      </c>
      <c r="E577" s="7">
        <v>0.55000000000000004</v>
      </c>
    </row>
    <row r="578" spans="1:19" ht="14.25" customHeight="1">
      <c r="A578" s="120" t="s">
        <v>2470</v>
      </c>
      <c r="B578" s="9">
        <v>9.5</v>
      </c>
      <c r="C578" s="1" t="s">
        <v>1273</v>
      </c>
      <c r="D578" s="187">
        <v>5</v>
      </c>
      <c r="E578" s="7">
        <v>0.55000000000000004</v>
      </c>
      <c r="S578" s="4"/>
    </row>
    <row r="579" spans="1:19" ht="14.25" customHeight="1">
      <c r="A579" s="120" t="s">
        <v>2471</v>
      </c>
      <c r="B579" s="9">
        <v>9.5</v>
      </c>
      <c r="C579" s="1" t="s">
        <v>1370</v>
      </c>
      <c r="D579" s="187">
        <v>5</v>
      </c>
      <c r="E579" s="7">
        <v>0.55000000000000004</v>
      </c>
    </row>
    <row r="580" spans="1:19" ht="14.25" customHeight="1">
      <c r="A580" s="120" t="s">
        <v>2472</v>
      </c>
      <c r="B580" s="9">
        <v>9.5</v>
      </c>
      <c r="C580" s="1" t="s">
        <v>1274</v>
      </c>
      <c r="D580" s="187">
        <v>5</v>
      </c>
      <c r="E580" s="7">
        <v>0.55000000000000004</v>
      </c>
    </row>
    <row r="581" spans="1:19" ht="14.25" customHeight="1">
      <c r="A581" s="120" t="s">
        <v>3153</v>
      </c>
      <c r="B581" s="9">
        <v>9.5</v>
      </c>
      <c r="C581" s="1" t="s">
        <v>1275</v>
      </c>
      <c r="D581" s="187">
        <v>5</v>
      </c>
      <c r="E581" s="7">
        <v>0.55000000000000004</v>
      </c>
    </row>
    <row r="582" spans="1:19" ht="14.25" customHeight="1">
      <c r="A582" s="120" t="s">
        <v>2473</v>
      </c>
      <c r="B582" s="9">
        <v>9.5</v>
      </c>
      <c r="C582" s="1" t="s">
        <v>1276</v>
      </c>
      <c r="D582" s="187">
        <v>5</v>
      </c>
      <c r="E582" s="7">
        <v>0.55000000000000004</v>
      </c>
    </row>
    <row r="583" spans="1:19" ht="14.25" customHeight="1">
      <c r="A583" s="120" t="s">
        <v>2474</v>
      </c>
      <c r="B583" s="9">
        <v>9.5</v>
      </c>
      <c r="C583" s="1" t="s">
        <v>1298</v>
      </c>
      <c r="D583" s="187">
        <v>5</v>
      </c>
      <c r="E583" s="7">
        <v>0.55000000000000004</v>
      </c>
    </row>
    <row r="584" spans="1:19" ht="14.25" customHeight="1">
      <c r="A584" s="120" t="s">
        <v>2475</v>
      </c>
      <c r="B584" s="9">
        <v>9.5</v>
      </c>
      <c r="C584" s="1" t="s">
        <v>1277</v>
      </c>
      <c r="D584" s="187">
        <v>5</v>
      </c>
      <c r="E584" s="7">
        <v>0.55000000000000004</v>
      </c>
    </row>
    <row r="585" spans="1:19" s="4" customFormat="1" ht="14.25" customHeight="1">
      <c r="A585" s="120" t="s">
        <v>2476</v>
      </c>
      <c r="B585" s="9">
        <v>9.5</v>
      </c>
      <c r="C585" s="1" t="s">
        <v>1278</v>
      </c>
      <c r="D585" s="187">
        <v>5</v>
      </c>
      <c r="E585" s="7">
        <v>0.55000000000000004</v>
      </c>
      <c r="F585" s="7"/>
      <c r="G585" s="7"/>
      <c r="H585" s="7"/>
      <c r="I585" s="7"/>
      <c r="J585" s="7"/>
      <c r="K585" s="7"/>
      <c r="L585" s="7"/>
      <c r="M585" s="7"/>
      <c r="N585" s="7"/>
      <c r="O585" s="7"/>
      <c r="P585" s="7"/>
      <c r="Q585" s="7"/>
      <c r="R585" s="7"/>
      <c r="S585" s="7"/>
    </row>
    <row r="586" spans="1:19" ht="14.25" customHeight="1">
      <c r="A586" s="120" t="s">
        <v>2477</v>
      </c>
      <c r="B586" s="9">
        <v>9.5</v>
      </c>
      <c r="C586" s="1" t="s">
        <v>1279</v>
      </c>
      <c r="D586" s="187">
        <v>5</v>
      </c>
      <c r="E586" s="7">
        <v>0.55000000000000004</v>
      </c>
    </row>
    <row r="587" spans="1:19" ht="14.25" customHeight="1">
      <c r="A587" s="120" t="s">
        <v>2478</v>
      </c>
      <c r="B587" s="9">
        <v>9.5</v>
      </c>
      <c r="C587" s="1" t="s">
        <v>1280</v>
      </c>
      <c r="D587" s="187">
        <v>5</v>
      </c>
      <c r="E587" s="7">
        <v>0.55000000000000004</v>
      </c>
    </row>
    <row r="588" spans="1:19" ht="14.25" customHeight="1">
      <c r="A588" s="120" t="s">
        <v>2479</v>
      </c>
      <c r="B588" s="9">
        <v>9.5</v>
      </c>
      <c r="C588" s="1" t="s">
        <v>1282</v>
      </c>
      <c r="D588" s="187">
        <v>5</v>
      </c>
      <c r="E588" s="7">
        <v>0.55000000000000004</v>
      </c>
    </row>
    <row r="589" spans="1:19" ht="14.25" customHeight="1">
      <c r="A589" s="120" t="s">
        <v>2480</v>
      </c>
      <c r="B589" s="9">
        <v>9.5</v>
      </c>
      <c r="C589" s="1" t="s">
        <v>1281</v>
      </c>
      <c r="D589" s="187">
        <v>5</v>
      </c>
      <c r="E589" s="7">
        <v>0.55000000000000004</v>
      </c>
    </row>
    <row r="590" spans="1:19" ht="14.25" customHeight="1">
      <c r="A590" s="120" t="s">
        <v>2481</v>
      </c>
      <c r="B590" s="9">
        <v>9.5</v>
      </c>
      <c r="C590" s="1" t="s">
        <v>1371</v>
      </c>
      <c r="D590" s="187">
        <v>5</v>
      </c>
      <c r="E590" s="7">
        <v>0.55000000000000004</v>
      </c>
    </row>
    <row r="591" spans="1:19" ht="14.25" customHeight="1">
      <c r="A591" s="120" t="s">
        <v>2482</v>
      </c>
      <c r="B591" s="9">
        <v>9.5</v>
      </c>
      <c r="C591" s="1" t="s">
        <v>1284</v>
      </c>
      <c r="D591" s="187">
        <v>5</v>
      </c>
      <c r="E591" s="7">
        <v>0.55000000000000004</v>
      </c>
    </row>
    <row r="592" spans="1:19" ht="14.25" customHeight="1">
      <c r="A592" s="120" t="s">
        <v>2483</v>
      </c>
      <c r="B592" s="9">
        <v>20</v>
      </c>
      <c r="C592" s="1" t="s">
        <v>1299</v>
      </c>
      <c r="D592" s="187">
        <v>3</v>
      </c>
      <c r="E592" s="7">
        <v>1.1000000000000001</v>
      </c>
    </row>
    <row r="593" spans="1:19" ht="14.25" customHeight="1">
      <c r="A593" s="120" t="s">
        <v>2484</v>
      </c>
      <c r="B593" s="9">
        <v>20</v>
      </c>
      <c r="C593" s="1" t="s">
        <v>3152</v>
      </c>
      <c r="D593" s="187">
        <v>3</v>
      </c>
      <c r="E593" s="7">
        <v>1.1000000000000001</v>
      </c>
      <c r="S593" s="4"/>
    </row>
    <row r="594" spans="1:19" ht="14.25" customHeight="1">
      <c r="A594" s="120" t="s">
        <v>2485</v>
      </c>
      <c r="B594" s="9">
        <v>20</v>
      </c>
      <c r="C594" s="1" t="s">
        <v>1285</v>
      </c>
      <c r="D594" s="187">
        <v>3</v>
      </c>
      <c r="E594" s="7">
        <v>1.1000000000000001</v>
      </c>
    </row>
    <row r="595" spans="1:19" ht="14.25" customHeight="1">
      <c r="A595" s="120" t="s">
        <v>2486</v>
      </c>
      <c r="B595" s="9">
        <v>20</v>
      </c>
      <c r="C595" s="1" t="s">
        <v>1286</v>
      </c>
      <c r="D595" s="187">
        <v>3</v>
      </c>
      <c r="E595" s="7">
        <v>1.1000000000000001</v>
      </c>
    </row>
    <row r="596" spans="1:19" ht="14.25" customHeight="1">
      <c r="A596" s="120" t="s">
        <v>2487</v>
      </c>
      <c r="B596" s="9">
        <v>20</v>
      </c>
      <c r="C596" s="1" t="s">
        <v>1287</v>
      </c>
      <c r="D596" s="187">
        <v>3</v>
      </c>
      <c r="E596" s="7">
        <v>1.1000000000000001</v>
      </c>
    </row>
    <row r="597" spans="1:19" ht="14.25" customHeight="1">
      <c r="A597" s="120" t="s">
        <v>2488</v>
      </c>
      <c r="B597" s="9">
        <v>20</v>
      </c>
      <c r="C597" s="1" t="s">
        <v>1373</v>
      </c>
      <c r="D597" s="187">
        <v>3</v>
      </c>
      <c r="E597" s="7">
        <v>1.1000000000000001</v>
      </c>
    </row>
    <row r="598" spans="1:19" ht="14.25" customHeight="1">
      <c r="A598" s="120" t="s">
        <v>2489</v>
      </c>
      <c r="B598" s="9">
        <v>20</v>
      </c>
      <c r="C598" s="1" t="s">
        <v>1288</v>
      </c>
      <c r="D598" s="187">
        <v>3</v>
      </c>
      <c r="E598" s="7">
        <v>1.1000000000000001</v>
      </c>
    </row>
    <row r="599" spans="1:19" ht="14.25" customHeight="1">
      <c r="A599" s="120" t="s">
        <v>2490</v>
      </c>
      <c r="B599" s="9">
        <v>20</v>
      </c>
      <c r="C599" s="1" t="s">
        <v>1289</v>
      </c>
      <c r="D599" s="187">
        <v>3</v>
      </c>
      <c r="E599" s="7">
        <v>1.1000000000000001</v>
      </c>
    </row>
    <row r="600" spans="1:19" s="4" customFormat="1" ht="14.25" customHeight="1">
      <c r="A600" s="120" t="s">
        <v>2491</v>
      </c>
      <c r="B600" s="9">
        <v>20</v>
      </c>
      <c r="C600" s="1" t="s">
        <v>1290</v>
      </c>
      <c r="D600" s="187">
        <v>3</v>
      </c>
      <c r="E600" s="7">
        <v>1.1000000000000001</v>
      </c>
      <c r="F600" s="7"/>
      <c r="G600" s="7"/>
      <c r="H600" s="7"/>
      <c r="I600" s="7"/>
      <c r="J600" s="7"/>
      <c r="K600" s="7"/>
      <c r="L600" s="7"/>
      <c r="M600" s="7"/>
      <c r="N600" s="7"/>
      <c r="O600" s="7"/>
      <c r="P600" s="7"/>
      <c r="Q600" s="7"/>
      <c r="R600" s="7"/>
      <c r="S600" s="7"/>
    </row>
    <row r="601" spans="1:19" ht="14.25" customHeight="1">
      <c r="A601" s="120" t="s">
        <v>2492</v>
      </c>
      <c r="B601" s="9">
        <v>20</v>
      </c>
      <c r="C601" s="1" t="s">
        <v>1300</v>
      </c>
      <c r="D601" s="187">
        <v>3</v>
      </c>
      <c r="E601" s="7">
        <v>1.1000000000000001</v>
      </c>
    </row>
    <row r="602" spans="1:19" ht="14.25" customHeight="1">
      <c r="A602" s="120" t="s">
        <v>2493</v>
      </c>
      <c r="B602" s="9">
        <v>20</v>
      </c>
      <c r="C602" s="1" t="s">
        <v>1372</v>
      </c>
      <c r="D602" s="187">
        <v>3</v>
      </c>
      <c r="E602" s="7">
        <v>1.1000000000000001</v>
      </c>
    </row>
    <row r="603" spans="1:19" ht="14.25" customHeight="1">
      <c r="A603" s="120" t="s">
        <v>2494</v>
      </c>
      <c r="B603" s="9">
        <v>20</v>
      </c>
      <c r="C603" s="1" t="s">
        <v>1292</v>
      </c>
      <c r="D603" s="187">
        <v>3</v>
      </c>
      <c r="E603" s="7">
        <v>1.1000000000000001</v>
      </c>
      <c r="S603" s="4"/>
    </row>
    <row r="604" spans="1:19" ht="14.25" customHeight="1">
      <c r="A604" s="120" t="s">
        <v>2495</v>
      </c>
      <c r="B604" s="9">
        <v>20</v>
      </c>
      <c r="C604" s="1" t="s">
        <v>1293</v>
      </c>
      <c r="D604" s="187">
        <v>3</v>
      </c>
      <c r="E604" s="7">
        <v>1.1000000000000001</v>
      </c>
    </row>
    <row r="605" spans="1:19" ht="14.25" customHeight="1">
      <c r="A605" s="120" t="s">
        <v>2496</v>
      </c>
      <c r="B605" s="9">
        <v>20</v>
      </c>
      <c r="C605" s="1" t="s">
        <v>1294</v>
      </c>
      <c r="D605" s="187">
        <v>3</v>
      </c>
      <c r="E605" s="7">
        <v>1.1000000000000001</v>
      </c>
      <c r="S605" s="4"/>
    </row>
    <row r="606" spans="1:19" ht="14.25" customHeight="1">
      <c r="A606" s="120" t="s">
        <v>2497</v>
      </c>
      <c r="B606" s="9">
        <v>20</v>
      </c>
      <c r="C606" s="1" t="s">
        <v>1295</v>
      </c>
      <c r="D606" s="187">
        <v>3</v>
      </c>
      <c r="E606" s="7">
        <v>1.1000000000000001</v>
      </c>
    </row>
    <row r="607" spans="1:19" ht="14.25" customHeight="1">
      <c r="A607" s="120" t="s">
        <v>2498</v>
      </c>
      <c r="B607" s="9">
        <v>20</v>
      </c>
      <c r="C607" s="1" t="s">
        <v>1296</v>
      </c>
      <c r="D607" s="187">
        <v>3</v>
      </c>
      <c r="E607" s="7">
        <v>1.1000000000000001</v>
      </c>
    </row>
    <row r="608" spans="1:19" ht="14.25" customHeight="1">
      <c r="A608" s="120" t="s">
        <v>2499</v>
      </c>
      <c r="B608" s="9">
        <v>20</v>
      </c>
      <c r="C608" s="1" t="s">
        <v>1291</v>
      </c>
      <c r="D608" s="187">
        <v>3</v>
      </c>
      <c r="E608" s="7">
        <v>1.1000000000000001</v>
      </c>
    </row>
    <row r="609" spans="1:19" ht="14.25" customHeight="1">
      <c r="A609" s="120" t="s">
        <v>2500</v>
      </c>
      <c r="B609" s="9">
        <v>20</v>
      </c>
      <c r="C609" s="1" t="s">
        <v>1297</v>
      </c>
      <c r="D609" s="187">
        <v>3</v>
      </c>
      <c r="E609" s="7">
        <v>1.1000000000000001</v>
      </c>
    </row>
    <row r="610" spans="1:19" s="4" customFormat="1" ht="14.25" customHeight="1">
      <c r="A610" s="119" t="s">
        <v>2824</v>
      </c>
      <c r="B610" s="9">
        <v>16.5</v>
      </c>
      <c r="C610" s="1" t="s">
        <v>1883</v>
      </c>
      <c r="D610" s="188">
        <v>5</v>
      </c>
      <c r="E610" s="6">
        <v>1.2</v>
      </c>
      <c r="F610" s="7"/>
      <c r="G610" s="7"/>
      <c r="H610" s="7"/>
      <c r="I610" s="7"/>
      <c r="J610" s="7"/>
      <c r="K610" s="7"/>
      <c r="L610" s="7"/>
      <c r="M610" s="7"/>
      <c r="N610" s="7"/>
      <c r="O610" s="7"/>
      <c r="P610" s="7"/>
      <c r="Q610" s="7"/>
      <c r="R610" s="7"/>
      <c r="S610" s="7"/>
    </row>
    <row r="611" spans="1:19" ht="14.25" customHeight="1">
      <c r="A611" s="119" t="s">
        <v>2825</v>
      </c>
      <c r="B611" s="9">
        <v>11.7</v>
      </c>
      <c r="C611" s="1" t="s">
        <v>1884</v>
      </c>
      <c r="D611" s="188">
        <v>5</v>
      </c>
      <c r="E611" s="6">
        <v>1.7</v>
      </c>
    </row>
    <row r="612" spans="1:19" s="4" customFormat="1" ht="14.25" customHeight="1">
      <c r="A612" s="119" t="s">
        <v>3157</v>
      </c>
      <c r="B612" s="9">
        <v>60.8</v>
      </c>
      <c r="C612" s="1" t="s">
        <v>1879</v>
      </c>
      <c r="D612" s="188">
        <v>3</v>
      </c>
      <c r="E612" s="6">
        <v>2.15</v>
      </c>
      <c r="F612" s="7"/>
      <c r="G612" s="7"/>
      <c r="H612" s="7"/>
      <c r="I612" s="7"/>
      <c r="J612" s="7"/>
      <c r="K612" s="7"/>
      <c r="L612" s="7"/>
      <c r="M612" s="7"/>
      <c r="N612" s="7"/>
      <c r="O612" s="7"/>
      <c r="P612" s="7"/>
      <c r="Q612" s="7"/>
      <c r="R612" s="7"/>
      <c r="S612" s="7"/>
    </row>
    <row r="613" spans="1:19" ht="14.25" customHeight="1">
      <c r="A613" s="119" t="s">
        <v>3158</v>
      </c>
      <c r="B613" s="9">
        <v>62.2</v>
      </c>
      <c r="C613" s="1" t="s">
        <v>1878</v>
      </c>
      <c r="D613" s="188">
        <v>3</v>
      </c>
      <c r="E613" s="6">
        <v>2.15</v>
      </c>
    </row>
    <row r="614" spans="1:19" ht="14.25" customHeight="1">
      <c r="A614" s="119" t="s">
        <v>3156</v>
      </c>
      <c r="B614" s="9">
        <v>22.3</v>
      </c>
      <c r="C614" s="1" t="s">
        <v>1885</v>
      </c>
      <c r="D614" s="188">
        <v>5</v>
      </c>
      <c r="E614" s="6">
        <f>11.39*2.38/(1.19+1.68+2.38+2.97+3.56)</f>
        <v>2.3012054329371816</v>
      </c>
    </row>
    <row r="615" spans="1:19" ht="14.25" customHeight="1">
      <c r="A615" s="119" t="s">
        <v>2826</v>
      </c>
      <c r="B615" s="9">
        <v>27.5</v>
      </c>
      <c r="C615" s="1" t="s">
        <v>1886</v>
      </c>
      <c r="D615" s="188">
        <v>5</v>
      </c>
      <c r="E615" s="6">
        <f>11.39*2.97/(1.19+1.68+2.38+2.97+3.56)</f>
        <v>2.8716723259762311</v>
      </c>
    </row>
    <row r="616" spans="1:19" ht="14.25" customHeight="1">
      <c r="A616" s="119" t="s">
        <v>2827</v>
      </c>
      <c r="B616" s="9">
        <v>30.5</v>
      </c>
      <c r="C616" s="1" t="s">
        <v>1887</v>
      </c>
      <c r="D616" s="188">
        <v>5</v>
      </c>
      <c r="E616" s="6">
        <f>11.39*3.56/(1.19+1.68+2.38+2.97+3.56)</f>
        <v>3.4421392190152797</v>
      </c>
    </row>
    <row r="617" spans="1:19" ht="14.25" customHeight="1">
      <c r="A617" s="119" t="s">
        <v>2828</v>
      </c>
      <c r="B617" s="9">
        <v>63</v>
      </c>
      <c r="C617" s="1" t="s">
        <v>1877</v>
      </c>
      <c r="D617" s="188">
        <v>3</v>
      </c>
      <c r="E617" s="6">
        <v>2.15</v>
      </c>
    </row>
    <row r="618" spans="1:19" ht="14.25" customHeight="1">
      <c r="A618" s="119" t="s">
        <v>3159</v>
      </c>
      <c r="B618" s="9">
        <v>78.8</v>
      </c>
      <c r="C618" s="1" t="s">
        <v>1882</v>
      </c>
      <c r="D618" s="188">
        <v>3</v>
      </c>
      <c r="E618" s="6">
        <v>2.15</v>
      </c>
    </row>
    <row r="619" spans="1:19" ht="14.25" customHeight="1">
      <c r="A619" s="119" t="s">
        <v>2829</v>
      </c>
      <c r="B619" s="9">
        <v>58.6</v>
      </c>
      <c r="C619" s="1" t="s">
        <v>1880</v>
      </c>
      <c r="D619" s="188">
        <v>3</v>
      </c>
      <c r="E619" s="6">
        <v>2.15</v>
      </c>
    </row>
    <row r="620" spans="1:19" ht="14.25" customHeight="1">
      <c r="A620" s="119" t="s">
        <v>2830</v>
      </c>
      <c r="B620" s="9">
        <v>82.4</v>
      </c>
      <c r="C620" s="1" t="s">
        <v>1881</v>
      </c>
      <c r="D620" s="188">
        <v>3</v>
      </c>
      <c r="E620" s="6">
        <v>2.15</v>
      </c>
    </row>
    <row r="621" spans="1:19" ht="14.25" customHeight="1">
      <c r="A621" s="137" t="s">
        <v>2501</v>
      </c>
      <c r="B621" s="9">
        <v>10</v>
      </c>
      <c r="C621" s="7" t="s">
        <v>1303</v>
      </c>
      <c r="D621" s="187">
        <v>20</v>
      </c>
      <c r="E621" s="7">
        <v>0.68</v>
      </c>
    </row>
    <row r="622" spans="1:19" ht="14.25" customHeight="1">
      <c r="A622" s="137" t="s">
        <v>2502</v>
      </c>
      <c r="B622" s="9">
        <v>10</v>
      </c>
      <c r="C622" s="7" t="s">
        <v>1304</v>
      </c>
      <c r="D622" s="187">
        <v>10</v>
      </c>
      <c r="E622" s="7">
        <v>0.68</v>
      </c>
    </row>
    <row r="623" spans="1:19" ht="14.25" customHeight="1">
      <c r="A623" s="137" t="s">
        <v>2503</v>
      </c>
      <c r="B623" s="9">
        <v>10</v>
      </c>
      <c r="C623" s="7" t="s">
        <v>1305</v>
      </c>
      <c r="D623" s="187">
        <v>10</v>
      </c>
      <c r="E623" s="7">
        <v>0.68</v>
      </c>
      <c r="S623" s="4"/>
    </row>
    <row r="624" spans="1:19" ht="14.25" customHeight="1">
      <c r="A624" s="137" t="s">
        <v>2504</v>
      </c>
      <c r="B624" s="9">
        <v>10</v>
      </c>
      <c r="C624" s="7" t="s">
        <v>1306</v>
      </c>
      <c r="D624" s="187">
        <v>10</v>
      </c>
      <c r="E624" s="7">
        <v>0.68</v>
      </c>
    </row>
    <row r="625" spans="1:19" ht="14.25" customHeight="1">
      <c r="A625" s="137" t="s">
        <v>2505</v>
      </c>
      <c r="B625" s="9">
        <v>10</v>
      </c>
      <c r="C625" s="7" t="s">
        <v>1307</v>
      </c>
      <c r="D625" s="187">
        <v>10</v>
      </c>
      <c r="E625" s="7">
        <v>0.68</v>
      </c>
    </row>
    <row r="626" spans="1:19" ht="14.25" customHeight="1">
      <c r="A626" s="119" t="s">
        <v>2743</v>
      </c>
      <c r="B626" s="9">
        <f>60/30</f>
        <v>2</v>
      </c>
      <c r="C626" s="7" t="s">
        <v>1631</v>
      </c>
      <c r="D626" s="187">
        <v>60</v>
      </c>
      <c r="E626" s="56">
        <f>4.5/30</f>
        <v>0.15</v>
      </c>
    </row>
    <row r="627" spans="1:19" ht="14.25" customHeight="1">
      <c r="A627" s="119" t="s">
        <v>2744</v>
      </c>
      <c r="B627" s="110">
        <f>57.8/30</f>
        <v>1.9266666666666665</v>
      </c>
      <c r="C627" s="7" t="s">
        <v>1630</v>
      </c>
      <c r="D627" s="187">
        <v>60</v>
      </c>
      <c r="E627" s="56">
        <f>4.5/30</f>
        <v>0.15</v>
      </c>
    </row>
    <row r="628" spans="1:19" ht="14.25" customHeight="1">
      <c r="A628" s="119" t="s">
        <v>2745</v>
      </c>
      <c r="B628" s="110">
        <f>68.2/30</f>
        <v>2.2733333333333334</v>
      </c>
      <c r="C628" s="7" t="s">
        <v>1632</v>
      </c>
      <c r="D628" s="187">
        <v>60</v>
      </c>
      <c r="E628" s="56">
        <f>5.5/30</f>
        <v>0.18333333333333332</v>
      </c>
    </row>
    <row r="629" spans="1:19" ht="14.25" customHeight="1">
      <c r="A629" s="119" t="s">
        <v>2746</v>
      </c>
      <c r="B629" s="110">
        <f>69.7/50</f>
        <v>1.3940000000000001</v>
      </c>
      <c r="C629" s="7" t="s">
        <v>1627</v>
      </c>
      <c r="D629" s="187">
        <v>50</v>
      </c>
      <c r="E629" s="56">
        <v>0.08</v>
      </c>
    </row>
    <row r="630" spans="1:19" s="4" customFormat="1" ht="14.25" customHeight="1">
      <c r="A630" s="119" t="s">
        <v>2747</v>
      </c>
      <c r="B630" s="110">
        <f>70.6/50</f>
        <v>1.4119999999999999</v>
      </c>
      <c r="C630" s="7" t="s">
        <v>1628</v>
      </c>
      <c r="D630" s="187">
        <v>50</v>
      </c>
      <c r="E630" s="56">
        <v>0.08</v>
      </c>
      <c r="F630" s="7"/>
      <c r="G630" s="7"/>
      <c r="H630" s="7"/>
      <c r="I630" s="7"/>
      <c r="J630" s="7"/>
      <c r="K630" s="7"/>
      <c r="L630" s="7"/>
      <c r="M630" s="7"/>
      <c r="N630" s="7"/>
      <c r="O630" s="7"/>
      <c r="P630" s="7"/>
      <c r="Q630" s="7"/>
      <c r="R630" s="7"/>
    </row>
    <row r="631" spans="1:19" ht="14.25" customHeight="1">
      <c r="A631" s="119" t="s">
        <v>2748</v>
      </c>
      <c r="B631" s="110">
        <f>123.4/50</f>
        <v>2.468</v>
      </c>
      <c r="C631" s="7" t="s">
        <v>1629</v>
      </c>
      <c r="D631" s="187">
        <v>50</v>
      </c>
      <c r="E631" s="56">
        <v>0.12</v>
      </c>
    </row>
    <row r="632" spans="1:19" ht="14.25" customHeight="1">
      <c r="A632" s="119" t="s">
        <v>2757</v>
      </c>
      <c r="B632" s="110">
        <f>232.5/1000</f>
        <v>0.23250000000000001</v>
      </c>
      <c r="C632" s="7" t="s">
        <v>1657</v>
      </c>
      <c r="D632" s="187">
        <v>1000</v>
      </c>
      <c r="E632" s="56">
        <f>15/D632</f>
        <v>1.4999999999999999E-2</v>
      </c>
    </row>
    <row r="633" spans="1:19" ht="14.25" customHeight="1">
      <c r="A633" s="119" t="s">
        <v>2758</v>
      </c>
      <c r="B633" s="110">
        <f>262.8/1000</f>
        <v>0.26280000000000003</v>
      </c>
      <c r="C633" s="7" t="s">
        <v>1658</v>
      </c>
      <c r="D633" s="187">
        <v>1000</v>
      </c>
      <c r="E633" s="56">
        <f>15/D633</f>
        <v>1.4999999999999999E-2</v>
      </c>
    </row>
    <row r="634" spans="1:19" ht="14.25" customHeight="1">
      <c r="A634" s="119" t="s">
        <v>2759</v>
      </c>
      <c r="B634" s="9">
        <f>5/10</f>
        <v>0.5</v>
      </c>
      <c r="C634" s="7" t="s">
        <v>1659</v>
      </c>
      <c r="D634" s="187">
        <v>1000</v>
      </c>
      <c r="E634" s="56">
        <f>28/D634</f>
        <v>2.8000000000000001E-2</v>
      </c>
    </row>
    <row r="635" spans="1:19" ht="14.25" customHeight="1">
      <c r="A635" s="119" t="s">
        <v>2729</v>
      </c>
      <c r="B635" s="9">
        <f>3.9/5</f>
        <v>0.78</v>
      </c>
      <c r="C635" s="7" t="s">
        <v>1642</v>
      </c>
      <c r="D635" s="187">
        <v>1000</v>
      </c>
      <c r="E635" s="56">
        <f>40/D635</f>
        <v>0.04</v>
      </c>
    </row>
    <row r="636" spans="1:19" ht="14.25" customHeight="1">
      <c r="A636" s="119" t="s">
        <v>2730</v>
      </c>
      <c r="B636" s="9">
        <f>3.6/5</f>
        <v>0.72</v>
      </c>
      <c r="C636" s="7" t="s">
        <v>1643</v>
      </c>
      <c r="D636" s="187">
        <v>1000</v>
      </c>
      <c r="E636" s="56">
        <f>47/D636</f>
        <v>4.7E-2</v>
      </c>
    </row>
    <row r="637" spans="1:19" s="4" customFormat="1" ht="14.25" customHeight="1">
      <c r="A637" s="119" t="s">
        <v>2731</v>
      </c>
      <c r="B637" s="9">
        <f>4.7/5</f>
        <v>0.94000000000000006</v>
      </c>
      <c r="C637" s="7" t="s">
        <v>1644</v>
      </c>
      <c r="D637" s="187">
        <v>500</v>
      </c>
      <c r="E637" s="56">
        <f>42.5/D637</f>
        <v>8.5000000000000006E-2</v>
      </c>
      <c r="F637" s="7"/>
      <c r="G637" s="7"/>
      <c r="H637" s="7"/>
      <c r="I637" s="7"/>
      <c r="J637" s="7"/>
      <c r="K637" s="7"/>
      <c r="L637" s="7"/>
      <c r="M637" s="7"/>
      <c r="N637" s="7"/>
      <c r="O637" s="7"/>
      <c r="P637" s="7"/>
      <c r="Q637" s="7"/>
      <c r="R637" s="7"/>
      <c r="S637" s="7"/>
    </row>
    <row r="638" spans="1:19" ht="14.25" customHeight="1">
      <c r="A638" s="119" t="s">
        <v>2732</v>
      </c>
      <c r="B638" s="110">
        <f>12.9/50</f>
        <v>0.25800000000000001</v>
      </c>
      <c r="C638" s="7" t="s">
        <v>1646</v>
      </c>
      <c r="D638" s="187">
        <v>50</v>
      </c>
      <c r="E638" s="7">
        <v>0.14000000000000001</v>
      </c>
    </row>
    <row r="639" spans="1:19" ht="14.25" customHeight="1">
      <c r="A639" s="119" t="s">
        <v>2733</v>
      </c>
      <c r="B639" s="110">
        <f>41.2/50</f>
        <v>0.82400000000000007</v>
      </c>
      <c r="C639" s="7" t="s">
        <v>1645</v>
      </c>
      <c r="D639" s="187">
        <v>50</v>
      </c>
      <c r="E639" s="7">
        <v>0.11</v>
      </c>
    </row>
    <row r="640" spans="1:19" ht="14.25" customHeight="1">
      <c r="A640" s="119" t="s">
        <v>2734</v>
      </c>
      <c r="B640" s="110">
        <f>48.9/50</f>
        <v>0.97799999999999998</v>
      </c>
      <c r="C640" s="7" t="s">
        <v>1647</v>
      </c>
      <c r="D640" s="187">
        <v>50</v>
      </c>
      <c r="E640" s="7">
        <v>0.14000000000000001</v>
      </c>
    </row>
    <row r="641" spans="1:19" ht="14.25" customHeight="1">
      <c r="A641" s="119" t="s">
        <v>2735</v>
      </c>
      <c r="B641" s="110">
        <f>84.9/50</f>
        <v>1.6980000000000002</v>
      </c>
      <c r="C641" s="7" t="s">
        <v>1648</v>
      </c>
      <c r="D641" s="187">
        <v>50</v>
      </c>
      <c r="E641" s="7">
        <v>0.2</v>
      </c>
    </row>
    <row r="642" spans="1:19" ht="14.25" customHeight="1">
      <c r="A642" s="119" t="s">
        <v>2736</v>
      </c>
      <c r="B642" s="110">
        <f>5/30</f>
        <v>0.16666666666666666</v>
      </c>
      <c r="C642" s="7" t="s">
        <v>1649</v>
      </c>
      <c r="D642" s="187">
        <v>30</v>
      </c>
      <c r="E642" s="7">
        <v>0.27</v>
      </c>
    </row>
    <row r="643" spans="1:19" ht="14.25" customHeight="1">
      <c r="A643" s="119" t="s">
        <v>2737</v>
      </c>
      <c r="B643" s="110">
        <f>9.6/30</f>
        <v>0.32</v>
      </c>
      <c r="C643" s="7" t="s">
        <v>1650</v>
      </c>
      <c r="D643" s="187">
        <v>30</v>
      </c>
      <c r="E643" s="7">
        <v>0.33</v>
      </c>
    </row>
    <row r="644" spans="1:19" ht="14.25" customHeight="1">
      <c r="A644" s="119" t="s">
        <v>2738</v>
      </c>
      <c r="B644" s="110">
        <f>18.7/30</f>
        <v>0.62333333333333329</v>
      </c>
      <c r="C644" s="7" t="s">
        <v>1651</v>
      </c>
      <c r="D644" s="187">
        <v>30</v>
      </c>
      <c r="E644" s="7">
        <v>0.36</v>
      </c>
    </row>
    <row r="645" spans="1:19" ht="14.25" customHeight="1">
      <c r="A645" s="119" t="s">
        <v>2739</v>
      </c>
      <c r="B645" s="110">
        <f>24.5/30</f>
        <v>0.81666666666666665</v>
      </c>
      <c r="C645" s="7" t="s">
        <v>1652</v>
      </c>
      <c r="D645" s="187">
        <v>30</v>
      </c>
      <c r="E645" s="7">
        <v>0.43</v>
      </c>
    </row>
    <row r="646" spans="1:19" ht="14.25" customHeight="1">
      <c r="A646" s="119" t="s">
        <v>2740</v>
      </c>
      <c r="B646" s="9">
        <f>7.2/5</f>
        <v>1.44</v>
      </c>
      <c r="C646" s="7" t="s">
        <v>1653</v>
      </c>
      <c r="D646" s="187">
        <v>50</v>
      </c>
      <c r="E646" s="56">
        <f>5/D646</f>
        <v>0.1</v>
      </c>
      <c r="S646" s="4"/>
    </row>
    <row r="647" spans="1:19" ht="14.25" customHeight="1">
      <c r="A647" s="119" t="s">
        <v>2741</v>
      </c>
      <c r="B647" s="9">
        <f>7.8/5</f>
        <v>1.56</v>
      </c>
      <c r="C647" s="7" t="s">
        <v>1654</v>
      </c>
      <c r="D647" s="187">
        <v>50</v>
      </c>
      <c r="E647" s="56">
        <f>5/D647</f>
        <v>0.1</v>
      </c>
    </row>
    <row r="648" spans="1:19" ht="14.25" customHeight="1">
      <c r="A648" s="119" t="s">
        <v>2742</v>
      </c>
      <c r="B648" s="9">
        <f>9.6/5</f>
        <v>1.92</v>
      </c>
      <c r="C648" s="7" t="s">
        <v>1655</v>
      </c>
      <c r="D648" s="187">
        <v>50</v>
      </c>
      <c r="E648" s="56">
        <f>10/D648</f>
        <v>0.2</v>
      </c>
    </row>
    <row r="649" spans="1:19" ht="14.25" customHeight="1">
      <c r="A649" s="119" t="s">
        <v>2760</v>
      </c>
      <c r="B649" s="9">
        <f>7.8/5</f>
        <v>1.56</v>
      </c>
      <c r="C649" s="7" t="s">
        <v>1660</v>
      </c>
      <c r="D649" s="187">
        <v>60</v>
      </c>
      <c r="E649" s="7">
        <v>0.35</v>
      </c>
    </row>
    <row r="650" spans="1:19" ht="14.25" customHeight="1">
      <c r="A650" s="119" t="s">
        <v>2761</v>
      </c>
      <c r="B650" s="9">
        <f>8.4/5</f>
        <v>1.6800000000000002</v>
      </c>
      <c r="C650" s="7" t="s">
        <v>1661</v>
      </c>
      <c r="D650" s="187">
        <v>60</v>
      </c>
      <c r="E650" s="7">
        <v>0.35</v>
      </c>
    </row>
    <row r="651" spans="1:19" ht="14.25" customHeight="1">
      <c r="A651" s="119" t="s">
        <v>2762</v>
      </c>
      <c r="B651" s="9">
        <f>11/5</f>
        <v>2.2000000000000002</v>
      </c>
      <c r="C651" s="7" t="s">
        <v>1662</v>
      </c>
      <c r="D651" s="187">
        <v>30</v>
      </c>
      <c r="E651" s="7">
        <v>0.6</v>
      </c>
    </row>
    <row r="652" spans="1:19" ht="14.25" customHeight="1">
      <c r="A652" s="119" t="s">
        <v>3180</v>
      </c>
      <c r="B652" s="9">
        <f>8.6/5</f>
        <v>1.72</v>
      </c>
      <c r="C652" s="7" t="s">
        <v>1663</v>
      </c>
      <c r="D652" s="187">
        <v>60</v>
      </c>
      <c r="E652" s="7">
        <v>0.35</v>
      </c>
    </row>
    <row r="653" spans="1:19" s="4" customFormat="1" ht="14.25" customHeight="1">
      <c r="A653" s="119" t="s">
        <v>2763</v>
      </c>
      <c r="B653" s="9">
        <f>9/5</f>
        <v>1.8</v>
      </c>
      <c r="C653" s="7" t="s">
        <v>1664</v>
      </c>
      <c r="D653" s="187">
        <v>60</v>
      </c>
      <c r="E653" s="7">
        <v>0.35</v>
      </c>
      <c r="F653" s="7"/>
      <c r="G653" s="7"/>
      <c r="H653" s="7"/>
      <c r="I653" s="7"/>
      <c r="J653" s="7"/>
      <c r="K653" s="7"/>
      <c r="L653" s="7"/>
      <c r="M653" s="7"/>
      <c r="N653" s="7"/>
      <c r="O653" s="7"/>
      <c r="P653" s="7"/>
      <c r="Q653" s="7"/>
      <c r="R653" s="7"/>
      <c r="S653" s="7"/>
    </row>
    <row r="654" spans="1:19" ht="14.25" customHeight="1">
      <c r="A654" s="119" t="s">
        <v>3181</v>
      </c>
      <c r="B654" s="9">
        <f>10.5/5</f>
        <v>2.1</v>
      </c>
      <c r="C654" s="7" t="s">
        <v>1665</v>
      </c>
      <c r="D654" s="187">
        <v>30</v>
      </c>
      <c r="E654" s="7">
        <v>0.6</v>
      </c>
      <c r="S654" s="4"/>
    </row>
    <row r="655" spans="1:19" ht="14.25" customHeight="1">
      <c r="A655" s="119" t="s">
        <v>2749</v>
      </c>
      <c r="B655" s="110">
        <f>56.8/30</f>
        <v>1.8933333333333333</v>
      </c>
      <c r="C655" s="7" t="s">
        <v>1633</v>
      </c>
      <c r="D655" s="187">
        <v>30</v>
      </c>
      <c r="E655" s="56">
        <v>0.25</v>
      </c>
    </row>
    <row r="656" spans="1:19" ht="14.25" customHeight="1">
      <c r="A656" s="119" t="s">
        <v>2750</v>
      </c>
      <c r="B656" s="110">
        <f>50.5/30</f>
        <v>1.6833333333333333</v>
      </c>
      <c r="C656" s="7" t="s">
        <v>1634</v>
      </c>
      <c r="D656" s="187">
        <v>30</v>
      </c>
      <c r="E656" s="56">
        <v>0.25</v>
      </c>
    </row>
    <row r="657" spans="1:19" ht="14.25" customHeight="1">
      <c r="A657" s="119" t="s">
        <v>2751</v>
      </c>
      <c r="B657" s="9">
        <f>92.1/30</f>
        <v>3.07</v>
      </c>
      <c r="C657" s="7" t="s">
        <v>1635</v>
      </c>
      <c r="D657" s="187">
        <v>30</v>
      </c>
      <c r="E657" s="56">
        <v>0.26</v>
      </c>
    </row>
    <row r="658" spans="1:19" ht="14.25" customHeight="1">
      <c r="A658" s="119" t="s">
        <v>2752</v>
      </c>
      <c r="B658" s="110">
        <f>83.2/30</f>
        <v>2.7733333333333334</v>
      </c>
      <c r="C658" s="7" t="s">
        <v>1636</v>
      </c>
      <c r="D658" s="187">
        <v>30</v>
      </c>
      <c r="E658" s="56">
        <v>0.26</v>
      </c>
    </row>
    <row r="659" spans="1:19" ht="14.25" customHeight="1">
      <c r="A659" s="119" t="s">
        <v>2753</v>
      </c>
      <c r="B659" s="110">
        <f>144.4/30</f>
        <v>4.8133333333333335</v>
      </c>
      <c r="C659" s="7" t="s">
        <v>1637</v>
      </c>
      <c r="D659" s="187">
        <v>30</v>
      </c>
      <c r="E659" s="56">
        <v>0.35</v>
      </c>
    </row>
    <row r="660" spans="1:19" ht="14.25" customHeight="1">
      <c r="A660" s="119" t="s">
        <v>2754</v>
      </c>
      <c r="B660" s="9">
        <f>133.5/30</f>
        <v>4.45</v>
      </c>
      <c r="C660" s="7" t="s">
        <v>1638</v>
      </c>
      <c r="D660" s="187">
        <v>30</v>
      </c>
      <c r="E660" s="56">
        <v>0.35</v>
      </c>
    </row>
    <row r="661" spans="1:19" s="4" customFormat="1" ht="14.25" customHeight="1">
      <c r="A661" s="119" t="s">
        <v>2755</v>
      </c>
      <c r="B661" s="9">
        <f>201.3/30</f>
        <v>6.71</v>
      </c>
      <c r="C661" s="7" t="s">
        <v>1639</v>
      </c>
      <c r="D661" s="187">
        <v>30</v>
      </c>
      <c r="E661" s="56">
        <v>0.5</v>
      </c>
      <c r="F661" s="7"/>
      <c r="G661" s="7"/>
      <c r="H661" s="7"/>
      <c r="I661" s="7"/>
      <c r="J661" s="7"/>
      <c r="K661" s="7"/>
      <c r="L661" s="7"/>
      <c r="M661" s="7"/>
      <c r="N661" s="7"/>
      <c r="O661" s="7"/>
      <c r="P661" s="7"/>
      <c r="Q661" s="7"/>
      <c r="R661" s="7"/>
      <c r="S661" s="7"/>
    </row>
    <row r="662" spans="1:19" ht="14.25" customHeight="1">
      <c r="A662" s="119" t="s">
        <v>2756</v>
      </c>
      <c r="B662" s="110">
        <f>190.3/30</f>
        <v>6.3433333333333337</v>
      </c>
      <c r="C662" s="7" t="s">
        <v>1640</v>
      </c>
      <c r="D662" s="187">
        <v>30</v>
      </c>
      <c r="E662" s="56">
        <v>0.5</v>
      </c>
      <c r="S662" s="4"/>
    </row>
    <row r="663" spans="1:19" ht="14.25" customHeight="1">
      <c r="A663" s="119" t="s">
        <v>3048</v>
      </c>
      <c r="B663" s="9">
        <f>26.7</f>
        <v>26.7</v>
      </c>
      <c r="C663" s="1" t="s">
        <v>3187</v>
      </c>
      <c r="D663" s="188">
        <v>50</v>
      </c>
      <c r="E663" s="6">
        <v>0.12</v>
      </c>
    </row>
    <row r="664" spans="1:19" ht="14.25" customHeight="1">
      <c r="A664" s="119" t="s">
        <v>3163</v>
      </c>
      <c r="B664" s="9">
        <v>24.7</v>
      </c>
      <c r="C664" s="1" t="s">
        <v>3188</v>
      </c>
      <c r="D664" s="188">
        <v>50</v>
      </c>
      <c r="E664" s="6">
        <v>0.12</v>
      </c>
    </row>
    <row r="665" spans="1:19" ht="14.25" customHeight="1">
      <c r="A665" s="119" t="s">
        <v>3164</v>
      </c>
      <c r="B665" s="9">
        <v>25.2</v>
      </c>
      <c r="C665" s="1" t="s">
        <v>3189</v>
      </c>
      <c r="D665" s="188">
        <v>20</v>
      </c>
      <c r="E665" s="6">
        <v>0.12</v>
      </c>
      <c r="S665" s="4"/>
    </row>
    <row r="666" spans="1:19" ht="14.25" customHeight="1">
      <c r="A666" s="119" t="s">
        <v>3165</v>
      </c>
      <c r="B666" s="9">
        <v>23.6</v>
      </c>
      <c r="C666" s="1" t="s">
        <v>3190</v>
      </c>
      <c r="D666" s="188">
        <v>50</v>
      </c>
      <c r="E666" s="6">
        <v>0.12</v>
      </c>
    </row>
    <row r="667" spans="1:19" ht="14.25" customHeight="1">
      <c r="A667" s="119" t="s">
        <v>3166</v>
      </c>
      <c r="B667" s="9">
        <v>25.1</v>
      </c>
      <c r="C667" s="1" t="s">
        <v>3191</v>
      </c>
      <c r="D667" s="188">
        <v>50</v>
      </c>
      <c r="E667" s="6">
        <v>0.12</v>
      </c>
    </row>
    <row r="668" spans="1:19" ht="14.25" customHeight="1">
      <c r="A668" s="119" t="s">
        <v>3167</v>
      </c>
      <c r="B668" s="9">
        <v>24.4</v>
      </c>
      <c r="C668" s="1" t="s">
        <v>3192</v>
      </c>
      <c r="D668" s="188">
        <v>20</v>
      </c>
      <c r="E668" s="6">
        <v>0.12</v>
      </c>
    </row>
    <row r="669" spans="1:19" s="4" customFormat="1" ht="14.25" customHeight="1">
      <c r="A669" s="119" t="s">
        <v>3168</v>
      </c>
      <c r="B669" s="9">
        <v>23.3</v>
      </c>
      <c r="C669" s="1" t="s">
        <v>3193</v>
      </c>
      <c r="D669" s="188">
        <v>50</v>
      </c>
      <c r="E669" s="6">
        <v>0.12</v>
      </c>
      <c r="F669" s="7"/>
      <c r="G669" s="7"/>
      <c r="H669" s="7"/>
      <c r="I669" s="7"/>
      <c r="J669" s="7"/>
      <c r="K669" s="7"/>
      <c r="L669" s="7"/>
      <c r="M669" s="7"/>
      <c r="N669" s="7"/>
      <c r="O669" s="7"/>
      <c r="P669" s="7"/>
      <c r="Q669" s="7"/>
      <c r="R669" s="7"/>
      <c r="S669" s="7"/>
    </row>
    <row r="670" spans="1:19" ht="14.25" customHeight="1">
      <c r="A670" s="119" t="s">
        <v>3169</v>
      </c>
      <c r="B670" s="9">
        <v>10.9</v>
      </c>
      <c r="C670" s="1" t="s">
        <v>3194</v>
      </c>
      <c r="D670" s="188">
        <v>50</v>
      </c>
      <c r="E670" s="6">
        <v>0.12</v>
      </c>
    </row>
    <row r="671" spans="1:19" ht="14.25" customHeight="1">
      <c r="A671" s="119" t="s">
        <v>3170</v>
      </c>
      <c r="B671" s="9">
        <v>10.5</v>
      </c>
      <c r="C671" s="1" t="s">
        <v>3195</v>
      </c>
      <c r="D671" s="188">
        <v>50</v>
      </c>
      <c r="E671" s="6">
        <v>0.12</v>
      </c>
    </row>
    <row r="672" spans="1:19" s="4" customFormat="1" ht="14.25" customHeight="1">
      <c r="A672" s="119" t="s">
        <v>3172</v>
      </c>
      <c r="B672" s="9">
        <v>26.7</v>
      </c>
      <c r="C672" s="1" t="s">
        <v>3207</v>
      </c>
      <c r="D672" s="188">
        <v>20</v>
      </c>
      <c r="E672" s="6">
        <v>0.13</v>
      </c>
      <c r="F672" s="7"/>
      <c r="G672" s="7"/>
      <c r="H672" s="7"/>
      <c r="I672" s="7"/>
      <c r="J672" s="7"/>
      <c r="K672" s="7"/>
      <c r="L672" s="7"/>
      <c r="M672" s="7"/>
      <c r="N672" s="7"/>
      <c r="O672" s="7"/>
      <c r="P672" s="7"/>
      <c r="Q672" s="7"/>
      <c r="R672" s="7"/>
      <c r="S672" s="7"/>
    </row>
    <row r="673" spans="1:19" ht="14.25" customHeight="1">
      <c r="A673" s="119" t="s">
        <v>3173</v>
      </c>
      <c r="B673" s="9">
        <v>28.2</v>
      </c>
      <c r="C673" s="1" t="s">
        <v>3208</v>
      </c>
      <c r="D673" s="188">
        <v>20</v>
      </c>
      <c r="E673" s="6">
        <v>0.1</v>
      </c>
    </row>
    <row r="674" spans="1:19" ht="14.25" customHeight="1">
      <c r="A674" s="119" t="s">
        <v>3174</v>
      </c>
      <c r="B674" s="9">
        <v>64</v>
      </c>
      <c r="C674" s="1" t="s">
        <v>3209</v>
      </c>
      <c r="D674" s="188">
        <v>50</v>
      </c>
      <c r="E674" s="6">
        <v>0.1</v>
      </c>
    </row>
    <row r="675" spans="1:19" ht="14.25" customHeight="1">
      <c r="A675" s="119" t="s">
        <v>3049</v>
      </c>
      <c r="B675" s="9">
        <v>13.2</v>
      </c>
      <c r="C675" s="1" t="s">
        <v>3196</v>
      </c>
      <c r="D675" s="188">
        <v>20</v>
      </c>
      <c r="E675" s="6">
        <v>0.13</v>
      </c>
      <c r="S675" s="4"/>
    </row>
    <row r="676" spans="1:19" ht="14.25" customHeight="1">
      <c r="A676" s="119" t="s">
        <v>3050</v>
      </c>
      <c r="B676" s="9">
        <v>13.7</v>
      </c>
      <c r="C676" s="1" t="s">
        <v>3197</v>
      </c>
      <c r="D676" s="188">
        <v>20</v>
      </c>
      <c r="E676" s="6">
        <v>0.1</v>
      </c>
    </row>
    <row r="677" spans="1:19" ht="14.25" customHeight="1">
      <c r="A677" s="119" t="s">
        <v>3051</v>
      </c>
      <c r="B677" s="9">
        <v>32.9</v>
      </c>
      <c r="C677" s="1" t="s">
        <v>3198</v>
      </c>
      <c r="D677" s="188">
        <v>50</v>
      </c>
      <c r="E677" s="6">
        <v>0.1</v>
      </c>
    </row>
    <row r="678" spans="1:19" ht="14.25" customHeight="1">
      <c r="A678" s="119" t="s">
        <v>3052</v>
      </c>
      <c r="B678" s="9">
        <v>27.9</v>
      </c>
      <c r="C678" s="1" t="s">
        <v>3199</v>
      </c>
      <c r="D678" s="188">
        <v>50</v>
      </c>
      <c r="E678" s="6">
        <v>0.1</v>
      </c>
    </row>
    <row r="679" spans="1:19" ht="14.25" customHeight="1">
      <c r="A679" s="119" t="s">
        <v>3053</v>
      </c>
      <c r="B679" s="9">
        <v>36.1</v>
      </c>
      <c r="C679" s="1" t="s">
        <v>3200</v>
      </c>
      <c r="D679" s="188">
        <v>50</v>
      </c>
      <c r="E679" s="6">
        <v>0.1</v>
      </c>
    </row>
    <row r="680" spans="1:19" ht="14.25" customHeight="1">
      <c r="A680" s="119" t="s">
        <v>3054</v>
      </c>
      <c r="B680" s="9">
        <v>33.9</v>
      </c>
      <c r="C680" s="1" t="s">
        <v>3201</v>
      </c>
      <c r="D680" s="188">
        <v>50</v>
      </c>
      <c r="E680" s="6">
        <v>0.1</v>
      </c>
    </row>
    <row r="681" spans="1:19" ht="14.25" customHeight="1">
      <c r="A681" s="119" t="s">
        <v>3055</v>
      </c>
      <c r="B681" s="9">
        <v>30.7</v>
      </c>
      <c r="C681" s="1" t="s">
        <v>3202</v>
      </c>
      <c r="D681" s="188">
        <v>50</v>
      </c>
      <c r="E681" s="6">
        <v>0.1</v>
      </c>
    </row>
    <row r="682" spans="1:19" s="4" customFormat="1" ht="14.25" customHeight="1">
      <c r="A682" s="119" t="s">
        <v>3056</v>
      </c>
      <c r="B682" s="9">
        <v>29.4</v>
      </c>
      <c r="C682" s="1" t="s">
        <v>3203</v>
      </c>
      <c r="D682" s="188">
        <v>20</v>
      </c>
      <c r="E682" s="6">
        <v>0.1</v>
      </c>
      <c r="F682" s="7"/>
      <c r="G682" s="7"/>
      <c r="H682" s="7"/>
      <c r="I682" s="7"/>
      <c r="J682" s="7"/>
      <c r="K682" s="7"/>
      <c r="L682" s="7"/>
      <c r="M682" s="7"/>
      <c r="N682" s="7"/>
      <c r="O682" s="7"/>
      <c r="P682" s="7"/>
      <c r="Q682" s="7"/>
      <c r="R682" s="7"/>
      <c r="S682" s="7"/>
    </row>
    <row r="683" spans="1:19" ht="14.25" customHeight="1">
      <c r="A683" s="119" t="s">
        <v>3057</v>
      </c>
      <c r="B683" s="9">
        <v>34.1</v>
      </c>
      <c r="C683" s="1" t="s">
        <v>3204</v>
      </c>
      <c r="D683" s="188">
        <v>50</v>
      </c>
      <c r="E683" s="6">
        <v>0.1</v>
      </c>
    </row>
    <row r="684" spans="1:19" ht="14.25" customHeight="1">
      <c r="A684" s="119" t="s">
        <v>3171</v>
      </c>
      <c r="B684" s="9">
        <v>15.9</v>
      </c>
      <c r="C684" s="1" t="s">
        <v>3205</v>
      </c>
      <c r="D684" s="188">
        <v>50</v>
      </c>
      <c r="E684" s="6">
        <v>0.1</v>
      </c>
    </row>
    <row r="685" spans="1:19" ht="14.25" customHeight="1">
      <c r="A685" s="119" t="s">
        <v>2772</v>
      </c>
      <c r="B685" s="9">
        <v>17.3</v>
      </c>
      <c r="C685" s="1" t="s">
        <v>3206</v>
      </c>
      <c r="D685" s="188">
        <v>20</v>
      </c>
      <c r="E685" s="6">
        <v>0.1</v>
      </c>
      <c r="S685" s="4"/>
    </row>
    <row r="686" spans="1:19" ht="14.25" customHeight="1">
      <c r="A686" s="119" t="s">
        <v>3175</v>
      </c>
      <c r="B686" s="9">
        <v>68.900000000000006</v>
      </c>
      <c r="C686" s="1" t="s">
        <v>3210</v>
      </c>
      <c r="D686" s="188">
        <v>50</v>
      </c>
      <c r="E686" s="6">
        <v>0.1</v>
      </c>
    </row>
    <row r="687" spans="1:19" ht="14.25" customHeight="1">
      <c r="A687" s="119" t="s">
        <v>2773</v>
      </c>
      <c r="B687" s="9">
        <v>71.900000000000006</v>
      </c>
      <c r="C687" s="1" t="s">
        <v>3211</v>
      </c>
      <c r="D687" s="188">
        <v>50</v>
      </c>
      <c r="E687" s="6">
        <v>0.1</v>
      </c>
    </row>
    <row r="688" spans="1:19" ht="14.25" customHeight="1">
      <c r="A688" s="119" t="s">
        <v>2774</v>
      </c>
      <c r="B688" s="9">
        <v>71</v>
      </c>
      <c r="C688" s="1" t="s">
        <v>3212</v>
      </c>
      <c r="D688" s="188">
        <v>50</v>
      </c>
      <c r="E688" s="6">
        <v>0.1</v>
      </c>
    </row>
    <row r="689" spans="1:19" ht="14.25" customHeight="1">
      <c r="A689" s="119" t="s">
        <v>2775</v>
      </c>
      <c r="B689" s="9">
        <v>73.400000000000006</v>
      </c>
      <c r="C689" s="1" t="s">
        <v>3213</v>
      </c>
      <c r="D689" s="188">
        <v>50</v>
      </c>
      <c r="E689" s="6">
        <v>0.1</v>
      </c>
    </row>
    <row r="690" spans="1:19" ht="14.25" customHeight="1">
      <c r="A690" s="119" t="s">
        <v>2776</v>
      </c>
      <c r="B690" s="9">
        <v>70.400000000000006</v>
      </c>
      <c r="C690" s="1" t="s">
        <v>3214</v>
      </c>
      <c r="D690" s="188">
        <v>50</v>
      </c>
      <c r="E690" s="6">
        <v>0.1</v>
      </c>
    </row>
    <row r="691" spans="1:19" ht="14.25" customHeight="1">
      <c r="A691" s="119" t="s">
        <v>2777</v>
      </c>
      <c r="B691" s="9">
        <v>69.3</v>
      </c>
      <c r="C691" s="1" t="s">
        <v>3215</v>
      </c>
      <c r="D691" s="188">
        <v>50</v>
      </c>
      <c r="E691" s="6">
        <v>0.1</v>
      </c>
    </row>
    <row r="692" spans="1:19" s="4" customFormat="1" ht="14.25" customHeight="1">
      <c r="A692" s="119" t="s">
        <v>2778</v>
      </c>
      <c r="B692" s="9">
        <v>28.1</v>
      </c>
      <c r="C692" s="1" t="s">
        <v>3216</v>
      </c>
      <c r="D692" s="188">
        <v>20</v>
      </c>
      <c r="E692" s="6">
        <v>0.1</v>
      </c>
      <c r="F692" s="7"/>
      <c r="G692" s="7"/>
      <c r="H692" s="7"/>
      <c r="I692" s="7"/>
      <c r="J692" s="7"/>
      <c r="K692" s="7"/>
      <c r="L692" s="7"/>
      <c r="M692" s="7"/>
      <c r="N692" s="7"/>
      <c r="O692" s="7"/>
      <c r="P692" s="7"/>
      <c r="Q692" s="7"/>
      <c r="R692" s="7"/>
      <c r="S692" s="7"/>
    </row>
    <row r="693" spans="1:19" ht="14.25" customHeight="1">
      <c r="A693" s="119" t="s">
        <v>2779</v>
      </c>
      <c r="B693" s="9">
        <v>28.7</v>
      </c>
      <c r="C693" s="1" t="s">
        <v>3217</v>
      </c>
      <c r="D693" s="188">
        <v>20</v>
      </c>
      <c r="E693" s="6">
        <v>0.1</v>
      </c>
    </row>
    <row r="694" spans="1:19" ht="14.25" customHeight="1">
      <c r="A694" s="119" t="s">
        <v>2780</v>
      </c>
      <c r="B694" s="9">
        <v>26.5</v>
      </c>
      <c r="C694" s="1" t="s">
        <v>3218</v>
      </c>
      <c r="D694" s="188">
        <v>20</v>
      </c>
      <c r="E694" s="6">
        <v>0.12</v>
      </c>
    </row>
    <row r="695" spans="1:19" ht="14.25" customHeight="1">
      <c r="A695" s="119" t="s">
        <v>2794</v>
      </c>
      <c r="B695" s="110">
        <f>16.9/3</f>
        <v>5.6333333333333329</v>
      </c>
      <c r="C695" s="1" t="s">
        <v>3219</v>
      </c>
      <c r="D695" s="188">
        <v>3</v>
      </c>
      <c r="E695" s="6">
        <v>1</v>
      </c>
    </row>
    <row r="696" spans="1:19" ht="14.25" customHeight="1">
      <c r="A696" s="119" t="s">
        <v>2795</v>
      </c>
      <c r="B696" s="110">
        <f>17.1/3</f>
        <v>5.7</v>
      </c>
      <c r="C696" s="1" t="s">
        <v>3220</v>
      </c>
      <c r="D696" s="188">
        <v>3</v>
      </c>
      <c r="E696" s="6">
        <v>1</v>
      </c>
    </row>
    <row r="697" spans="1:19" ht="14.25" customHeight="1">
      <c r="A697" s="119" t="s">
        <v>2796</v>
      </c>
      <c r="B697" s="110">
        <f>20/3</f>
        <v>6.666666666666667</v>
      </c>
      <c r="C697" s="1" t="s">
        <v>3221</v>
      </c>
      <c r="D697" s="188">
        <v>3</v>
      </c>
      <c r="E697" s="6">
        <v>1</v>
      </c>
    </row>
    <row r="698" spans="1:19" ht="14.25" customHeight="1">
      <c r="A698" s="119" t="s">
        <v>2797</v>
      </c>
      <c r="B698" s="110">
        <f>19.2/3</f>
        <v>6.3999999999999995</v>
      </c>
      <c r="C698" s="1" t="s">
        <v>3222</v>
      </c>
      <c r="D698" s="188">
        <v>3</v>
      </c>
      <c r="E698" s="6">
        <v>1</v>
      </c>
    </row>
    <row r="699" spans="1:19" ht="14.25" customHeight="1">
      <c r="A699" s="119" t="s">
        <v>2798</v>
      </c>
      <c r="B699" s="110">
        <f>20.2/3</f>
        <v>6.7333333333333334</v>
      </c>
      <c r="C699" s="1" t="s">
        <v>3223</v>
      </c>
      <c r="D699" s="188">
        <v>3</v>
      </c>
      <c r="E699" s="6">
        <v>1</v>
      </c>
    </row>
    <row r="700" spans="1:19" ht="14.25" customHeight="1">
      <c r="A700" s="119" t="s">
        <v>2799</v>
      </c>
      <c r="B700" s="110">
        <f>18.8/3</f>
        <v>6.2666666666666666</v>
      </c>
      <c r="C700" s="1" t="s">
        <v>3224</v>
      </c>
      <c r="D700" s="188">
        <v>3</v>
      </c>
      <c r="E700" s="6">
        <v>1</v>
      </c>
    </row>
    <row r="701" spans="1:19" ht="14.25" customHeight="1">
      <c r="A701" s="119" t="s">
        <v>2800</v>
      </c>
      <c r="B701" s="110">
        <f>20/3</f>
        <v>6.666666666666667</v>
      </c>
      <c r="C701" s="1" t="s">
        <v>3225</v>
      </c>
      <c r="D701" s="188">
        <v>3</v>
      </c>
      <c r="E701" s="6">
        <v>1</v>
      </c>
    </row>
    <row r="702" spans="1:19" ht="14.25" customHeight="1">
      <c r="A702" s="119" t="s">
        <v>2783</v>
      </c>
      <c r="B702" s="110">
        <f t="shared" ref="B702:B711" si="16">358/500</f>
        <v>0.71599999999999997</v>
      </c>
      <c r="C702" s="1" t="s">
        <v>3226</v>
      </c>
      <c r="D702" s="188">
        <v>100</v>
      </c>
      <c r="E702" s="6">
        <f t="shared" ref="E702:E711" si="17">6/100</f>
        <v>0.06</v>
      </c>
      <c r="S702" s="4"/>
    </row>
    <row r="703" spans="1:19" ht="14.25" customHeight="1">
      <c r="A703" s="119" t="s">
        <v>2784</v>
      </c>
      <c r="B703" s="110">
        <f t="shared" si="16"/>
        <v>0.71599999999999997</v>
      </c>
      <c r="C703" s="1" t="s">
        <v>3227</v>
      </c>
      <c r="D703" s="188">
        <v>100</v>
      </c>
      <c r="E703" s="6">
        <f t="shared" si="17"/>
        <v>0.06</v>
      </c>
    </row>
    <row r="704" spans="1:19" ht="14.25" customHeight="1">
      <c r="A704" s="119" t="s">
        <v>2785</v>
      </c>
      <c r="B704" s="110">
        <f t="shared" si="16"/>
        <v>0.71599999999999997</v>
      </c>
      <c r="C704" s="1" t="s">
        <v>3228</v>
      </c>
      <c r="D704" s="188">
        <v>100</v>
      </c>
      <c r="E704" s="6">
        <f t="shared" si="17"/>
        <v>0.06</v>
      </c>
    </row>
    <row r="705" spans="1:19" ht="14.25" customHeight="1">
      <c r="A705" s="119" t="s">
        <v>2786</v>
      </c>
      <c r="B705" s="110">
        <f t="shared" si="16"/>
        <v>0.71599999999999997</v>
      </c>
      <c r="C705" s="1" t="s">
        <v>3229</v>
      </c>
      <c r="D705" s="188">
        <v>100</v>
      </c>
      <c r="E705" s="6">
        <f t="shared" si="17"/>
        <v>0.06</v>
      </c>
    </row>
    <row r="706" spans="1:19" ht="14.25" customHeight="1">
      <c r="A706" s="119" t="s">
        <v>2787</v>
      </c>
      <c r="B706" s="110">
        <f t="shared" si="16"/>
        <v>0.71599999999999997</v>
      </c>
      <c r="C706" s="1" t="s">
        <v>3230</v>
      </c>
      <c r="D706" s="188">
        <v>100</v>
      </c>
      <c r="E706" s="6">
        <f t="shared" si="17"/>
        <v>0.06</v>
      </c>
    </row>
    <row r="707" spans="1:19" ht="14.25" customHeight="1">
      <c r="A707" s="119" t="s">
        <v>2788</v>
      </c>
      <c r="B707" s="110">
        <f t="shared" si="16"/>
        <v>0.71599999999999997</v>
      </c>
      <c r="C707" s="1" t="s">
        <v>3231</v>
      </c>
      <c r="D707" s="188">
        <v>100</v>
      </c>
      <c r="E707" s="6">
        <f t="shared" si="17"/>
        <v>0.06</v>
      </c>
    </row>
    <row r="708" spans="1:19" ht="14.25" customHeight="1">
      <c r="A708" s="119" t="s">
        <v>2789</v>
      </c>
      <c r="B708" s="110">
        <f t="shared" si="16"/>
        <v>0.71599999999999997</v>
      </c>
      <c r="C708" s="1" t="s">
        <v>3232</v>
      </c>
      <c r="D708" s="188">
        <v>100</v>
      </c>
      <c r="E708" s="6">
        <f t="shared" si="17"/>
        <v>0.06</v>
      </c>
    </row>
    <row r="709" spans="1:19" s="4" customFormat="1" ht="14.25" customHeight="1">
      <c r="A709" s="119" t="s">
        <v>2790</v>
      </c>
      <c r="B709" s="110">
        <f t="shared" si="16"/>
        <v>0.71599999999999997</v>
      </c>
      <c r="C709" s="1" t="s">
        <v>3233</v>
      </c>
      <c r="D709" s="188">
        <v>100</v>
      </c>
      <c r="E709" s="6">
        <f t="shared" si="17"/>
        <v>0.06</v>
      </c>
      <c r="F709" s="7"/>
      <c r="G709" s="7"/>
      <c r="H709" s="7"/>
      <c r="I709" s="7"/>
      <c r="J709" s="7"/>
      <c r="K709" s="7"/>
      <c r="L709" s="7"/>
      <c r="M709" s="7"/>
      <c r="N709" s="7"/>
      <c r="O709" s="7"/>
      <c r="P709" s="7"/>
      <c r="Q709" s="7"/>
      <c r="R709" s="7"/>
      <c r="S709" s="7"/>
    </row>
    <row r="710" spans="1:19" ht="14.25" customHeight="1">
      <c r="A710" s="119" t="s">
        <v>2791</v>
      </c>
      <c r="B710" s="110">
        <f t="shared" si="16"/>
        <v>0.71599999999999997</v>
      </c>
      <c r="C710" s="1" t="s">
        <v>3234</v>
      </c>
      <c r="D710" s="188">
        <v>100</v>
      </c>
      <c r="E710" s="6">
        <f t="shared" si="17"/>
        <v>0.06</v>
      </c>
    </row>
    <row r="711" spans="1:19" ht="14.25" customHeight="1">
      <c r="A711" s="119" t="s">
        <v>2792</v>
      </c>
      <c r="B711" s="110">
        <f t="shared" si="16"/>
        <v>0.71599999999999997</v>
      </c>
      <c r="C711" s="1" t="s">
        <v>3235</v>
      </c>
      <c r="D711" s="188">
        <v>100</v>
      </c>
      <c r="E711" s="6">
        <f t="shared" si="17"/>
        <v>0.06</v>
      </c>
    </row>
    <row r="712" spans="1:19" ht="14.25" customHeight="1">
      <c r="A712" s="119" t="s">
        <v>2801</v>
      </c>
      <c r="B712" s="110">
        <f t="shared" ref="B712:B720" si="18">497/400</f>
        <v>1.2424999999999999</v>
      </c>
      <c r="C712" s="1" t="s">
        <v>3236</v>
      </c>
      <c r="D712" s="188">
        <v>100</v>
      </c>
      <c r="E712" s="6">
        <f t="shared" ref="E712:E720" si="19">7/100</f>
        <v>7.0000000000000007E-2</v>
      </c>
    </row>
    <row r="713" spans="1:19" ht="14.25" customHeight="1">
      <c r="A713" s="119" t="s">
        <v>2802</v>
      </c>
      <c r="B713" s="110">
        <f t="shared" si="18"/>
        <v>1.2424999999999999</v>
      </c>
      <c r="C713" s="1" t="s">
        <v>3237</v>
      </c>
      <c r="D713" s="188">
        <v>100</v>
      </c>
      <c r="E713" s="6">
        <f t="shared" si="19"/>
        <v>7.0000000000000007E-2</v>
      </c>
    </row>
    <row r="714" spans="1:19" ht="14.25" customHeight="1">
      <c r="A714" s="119" t="s">
        <v>2803</v>
      </c>
      <c r="B714" s="110">
        <f t="shared" si="18"/>
        <v>1.2424999999999999</v>
      </c>
      <c r="C714" s="1" t="s">
        <v>3238</v>
      </c>
      <c r="D714" s="188">
        <v>100</v>
      </c>
      <c r="E714" s="6">
        <f t="shared" si="19"/>
        <v>7.0000000000000007E-2</v>
      </c>
    </row>
    <row r="715" spans="1:19" ht="14.25" customHeight="1">
      <c r="A715" s="119" t="s">
        <v>2804</v>
      </c>
      <c r="B715" s="110">
        <f t="shared" si="18"/>
        <v>1.2424999999999999</v>
      </c>
      <c r="C715" s="1" t="s">
        <v>3239</v>
      </c>
      <c r="D715" s="188">
        <v>100</v>
      </c>
      <c r="E715" s="6">
        <f t="shared" si="19"/>
        <v>7.0000000000000007E-2</v>
      </c>
    </row>
    <row r="716" spans="1:19" ht="14.25" customHeight="1">
      <c r="A716" s="119" t="s">
        <v>2805</v>
      </c>
      <c r="B716" s="110">
        <f t="shared" si="18"/>
        <v>1.2424999999999999</v>
      </c>
      <c r="C716" s="1" t="s">
        <v>3240</v>
      </c>
      <c r="D716" s="188">
        <v>100</v>
      </c>
      <c r="E716" s="6">
        <f t="shared" si="19"/>
        <v>7.0000000000000007E-2</v>
      </c>
    </row>
    <row r="717" spans="1:19" ht="14.25" customHeight="1">
      <c r="A717" s="119" t="s">
        <v>2806</v>
      </c>
      <c r="B717" s="110">
        <f t="shared" si="18"/>
        <v>1.2424999999999999</v>
      </c>
      <c r="C717" s="1" t="s">
        <v>3241</v>
      </c>
      <c r="D717" s="188">
        <v>100</v>
      </c>
      <c r="E717" s="6">
        <f t="shared" si="19"/>
        <v>7.0000000000000007E-2</v>
      </c>
    </row>
    <row r="718" spans="1:19" ht="14.25" customHeight="1">
      <c r="A718" s="119" t="s">
        <v>2807</v>
      </c>
      <c r="B718" s="110">
        <f t="shared" si="18"/>
        <v>1.2424999999999999</v>
      </c>
      <c r="C718" s="1" t="s">
        <v>3242</v>
      </c>
      <c r="D718" s="188">
        <v>100</v>
      </c>
      <c r="E718" s="6">
        <f t="shared" si="19"/>
        <v>7.0000000000000007E-2</v>
      </c>
    </row>
    <row r="719" spans="1:19" ht="14.25" customHeight="1">
      <c r="A719" s="119" t="s">
        <v>2808</v>
      </c>
      <c r="B719" s="110">
        <f t="shared" si="18"/>
        <v>1.2424999999999999</v>
      </c>
      <c r="C719" s="1" t="s">
        <v>3243</v>
      </c>
      <c r="D719" s="188">
        <v>100</v>
      </c>
      <c r="E719" s="6">
        <f t="shared" si="19"/>
        <v>7.0000000000000007E-2</v>
      </c>
    </row>
    <row r="720" spans="1:19" ht="14.25" customHeight="1">
      <c r="A720" s="119" t="s">
        <v>2809</v>
      </c>
      <c r="B720" s="110">
        <f t="shared" si="18"/>
        <v>1.2424999999999999</v>
      </c>
      <c r="C720" s="1" t="s">
        <v>3244</v>
      </c>
      <c r="D720" s="188">
        <v>100</v>
      </c>
      <c r="E720" s="6">
        <f t="shared" si="19"/>
        <v>7.0000000000000007E-2</v>
      </c>
    </row>
    <row r="721" spans="1:19" ht="14.25" customHeight="1">
      <c r="A721" s="119" t="s">
        <v>3162</v>
      </c>
      <c r="B721" s="9">
        <f>36.1/5</f>
        <v>7.2200000000000006</v>
      </c>
      <c r="C721" s="1" t="s">
        <v>5871</v>
      </c>
      <c r="D721" s="188">
        <v>5</v>
      </c>
      <c r="E721" s="6">
        <v>1.7</v>
      </c>
      <c r="S721" s="4"/>
    </row>
    <row r="722" spans="1:19" ht="14.25" customHeight="1">
      <c r="A722" s="119" t="s">
        <v>2768</v>
      </c>
      <c r="B722" s="9">
        <f>39.8/5</f>
        <v>7.9599999999999991</v>
      </c>
      <c r="C722" s="1" t="s">
        <v>3246</v>
      </c>
      <c r="D722" s="188">
        <v>5</v>
      </c>
      <c r="E722" s="6">
        <v>1.7</v>
      </c>
    </row>
    <row r="723" spans="1:19" ht="14.25" customHeight="1">
      <c r="A723" s="119" t="s">
        <v>2769</v>
      </c>
      <c r="B723" s="9">
        <f>35.3/5</f>
        <v>7.06</v>
      </c>
      <c r="C723" s="1" t="s">
        <v>5872</v>
      </c>
      <c r="D723" s="188">
        <v>5</v>
      </c>
      <c r="E723" s="6">
        <v>1.7</v>
      </c>
      <c r="S723" s="4"/>
    </row>
    <row r="724" spans="1:19" ht="14.25" customHeight="1">
      <c r="A724" s="113" t="s">
        <v>3310</v>
      </c>
      <c r="B724" s="9">
        <f>39.5/5</f>
        <v>7.9</v>
      </c>
      <c r="C724" s="51" t="s">
        <v>3248</v>
      </c>
      <c r="D724" s="192">
        <f>10+5</f>
        <v>15</v>
      </c>
      <c r="E724" s="6">
        <v>1.7</v>
      </c>
    </row>
    <row r="725" spans="1:19" ht="14.25" customHeight="1">
      <c r="A725" s="119" t="s">
        <v>2770</v>
      </c>
      <c r="B725" s="9">
        <f>48.6/5</f>
        <v>9.7200000000000006</v>
      </c>
      <c r="C725" s="1" t="s">
        <v>5873</v>
      </c>
      <c r="D725" s="188">
        <v>5</v>
      </c>
      <c r="E725" s="6">
        <v>1.7</v>
      </c>
    </row>
    <row r="726" spans="1:19" ht="14.25" customHeight="1">
      <c r="A726" s="119" t="s">
        <v>2771</v>
      </c>
      <c r="B726" s="9">
        <f>53.5/5</f>
        <v>10.7</v>
      </c>
      <c r="C726" s="1" t="s">
        <v>3250</v>
      </c>
      <c r="D726" s="188">
        <v>5</v>
      </c>
      <c r="E726" s="6">
        <v>1.7</v>
      </c>
    </row>
    <row r="727" spans="1:19" s="4" customFormat="1" ht="14.25" customHeight="1">
      <c r="A727" s="119" t="s">
        <v>2781</v>
      </c>
      <c r="B727" s="9">
        <f>11.3/10</f>
        <v>1.1300000000000001</v>
      </c>
      <c r="C727" s="1" t="s">
        <v>5874</v>
      </c>
      <c r="D727" s="188">
        <v>10</v>
      </c>
      <c r="E727" s="6">
        <v>0.9</v>
      </c>
      <c r="F727" s="7"/>
      <c r="G727" s="7"/>
      <c r="H727" s="7"/>
      <c r="I727" s="7"/>
      <c r="J727" s="7"/>
      <c r="K727" s="7"/>
      <c r="L727" s="7"/>
      <c r="M727" s="7"/>
      <c r="N727" s="7"/>
      <c r="O727" s="7"/>
      <c r="P727" s="7"/>
      <c r="Q727" s="7"/>
      <c r="R727" s="7"/>
      <c r="S727" s="7"/>
    </row>
    <row r="728" spans="1:19" s="4" customFormat="1" ht="14.25" customHeight="1">
      <c r="A728" s="119" t="s">
        <v>2782</v>
      </c>
      <c r="B728" s="9">
        <f>90.2/5</f>
        <v>18.04</v>
      </c>
      <c r="C728" s="138" t="s">
        <v>3325</v>
      </c>
      <c r="D728" s="188">
        <f>10+5</f>
        <v>15</v>
      </c>
      <c r="E728" s="6">
        <v>1.5</v>
      </c>
      <c r="F728" s="7"/>
      <c r="G728" s="7"/>
      <c r="H728" s="7"/>
      <c r="I728" s="7"/>
      <c r="J728" s="7"/>
      <c r="K728" s="7"/>
      <c r="L728" s="7"/>
      <c r="M728" s="7"/>
      <c r="N728" s="7"/>
      <c r="O728" s="7"/>
      <c r="P728" s="7"/>
      <c r="Q728" s="7"/>
      <c r="R728" s="7"/>
      <c r="S728" s="7"/>
    </row>
    <row r="729" spans="1:19" ht="14.25" customHeight="1">
      <c r="A729" s="119" t="s">
        <v>5905</v>
      </c>
      <c r="B729" s="110">
        <f>26.9/50</f>
        <v>0.53799999999999992</v>
      </c>
      <c r="C729" s="1" t="s">
        <v>5906</v>
      </c>
      <c r="D729" s="188">
        <v>50</v>
      </c>
      <c r="E729" s="6">
        <v>0.05</v>
      </c>
    </row>
    <row r="730" spans="1:19" ht="14.25" customHeight="1">
      <c r="A730" s="128" t="s">
        <v>3160</v>
      </c>
      <c r="B730" s="9">
        <f>24.7/5</f>
        <v>4.9399999999999995</v>
      </c>
      <c r="C730" s="7" t="s">
        <v>3252</v>
      </c>
      <c r="D730" s="187">
        <v>10</v>
      </c>
      <c r="E730" s="7">
        <f>5.92/10</f>
        <v>0.59199999999999997</v>
      </c>
    </row>
    <row r="731" spans="1:19" ht="14.25" customHeight="1">
      <c r="A731" s="128" t="s">
        <v>3161</v>
      </c>
      <c r="B731" s="9">
        <f>45.7/5</f>
        <v>9.14</v>
      </c>
      <c r="C731" s="7" t="s">
        <v>3253</v>
      </c>
      <c r="D731" s="187">
        <v>10</v>
      </c>
      <c r="E731" s="7">
        <f>6.91/10</f>
        <v>0.69100000000000006</v>
      </c>
    </row>
    <row r="732" spans="1:19" ht="14.25" customHeight="1">
      <c r="A732" s="171" t="s">
        <v>3527</v>
      </c>
      <c r="B732" s="169">
        <f>92.5/3</f>
        <v>30.833333333333332</v>
      </c>
      <c r="C732" s="170" t="s">
        <v>3891</v>
      </c>
      <c r="D732" s="187">
        <v>3</v>
      </c>
      <c r="E732" s="7">
        <v>0.5</v>
      </c>
      <c r="F732"/>
      <c r="G732"/>
      <c r="H732"/>
      <c r="I732"/>
      <c r="J732"/>
      <c r="K732"/>
      <c r="L732"/>
      <c r="M732"/>
      <c r="N732"/>
      <c r="O732"/>
      <c r="P732"/>
      <c r="Q732"/>
    </row>
    <row r="733" spans="1:19" ht="14.25" customHeight="1">
      <c r="A733" s="171" t="s">
        <v>3528</v>
      </c>
      <c r="B733" s="169">
        <v>81.3</v>
      </c>
      <c r="C733" s="173" t="s">
        <v>3889</v>
      </c>
      <c r="D733" s="187">
        <v>3</v>
      </c>
      <c r="E733" s="7">
        <v>2</v>
      </c>
      <c r="F733"/>
      <c r="G733"/>
      <c r="H733"/>
      <c r="I733"/>
      <c r="J733"/>
      <c r="K733"/>
      <c r="L733"/>
      <c r="M733"/>
      <c r="N733"/>
      <c r="O733"/>
      <c r="P733"/>
      <c r="Q733"/>
    </row>
    <row r="734" spans="1:19" ht="14.25" customHeight="1">
      <c r="A734" s="171" t="s">
        <v>3529</v>
      </c>
      <c r="B734" s="169">
        <v>84.5</v>
      </c>
      <c r="C734" s="173" t="s">
        <v>3890</v>
      </c>
      <c r="D734" s="187">
        <v>3</v>
      </c>
      <c r="E734" s="7">
        <v>2</v>
      </c>
      <c r="F734"/>
      <c r="G734"/>
      <c r="H734"/>
      <c r="I734"/>
      <c r="J734"/>
      <c r="K734"/>
      <c r="L734"/>
      <c r="M734"/>
      <c r="N734"/>
      <c r="O734"/>
      <c r="P734"/>
      <c r="Q734"/>
    </row>
    <row r="735" spans="1:19" ht="14.25" customHeight="1">
      <c r="A735" s="175" t="s">
        <v>3909</v>
      </c>
      <c r="B735" s="169">
        <v>13</v>
      </c>
      <c r="C735" s="170" t="s">
        <v>3916</v>
      </c>
      <c r="D735" s="187">
        <v>3</v>
      </c>
      <c r="E735" s="7">
        <v>0.18</v>
      </c>
      <c r="F735"/>
      <c r="G735"/>
      <c r="H735"/>
      <c r="I735"/>
      <c r="J735"/>
      <c r="K735"/>
      <c r="L735"/>
      <c r="M735"/>
      <c r="N735"/>
      <c r="O735"/>
      <c r="P735"/>
      <c r="Q735"/>
    </row>
    <row r="736" spans="1:19" ht="14.25" customHeight="1">
      <c r="A736" s="175" t="s">
        <v>3910</v>
      </c>
      <c r="B736" s="169">
        <v>22.2</v>
      </c>
      <c r="C736" s="170" t="s">
        <v>3915</v>
      </c>
      <c r="D736" s="187">
        <v>3</v>
      </c>
      <c r="E736" s="7">
        <v>0.3</v>
      </c>
      <c r="F736"/>
      <c r="G736"/>
      <c r="H736"/>
      <c r="I736"/>
      <c r="J736"/>
      <c r="K736"/>
      <c r="L736"/>
      <c r="M736"/>
      <c r="N736"/>
      <c r="O736"/>
      <c r="P736"/>
      <c r="Q736"/>
    </row>
    <row r="737" spans="1:17" ht="14.25" customHeight="1">
      <c r="A737" s="175" t="s">
        <v>3530</v>
      </c>
      <c r="B737" s="169">
        <v>32.700000000000003</v>
      </c>
      <c r="C737" s="173" t="s">
        <v>3892</v>
      </c>
      <c r="D737" s="187">
        <v>3</v>
      </c>
      <c r="E737" s="7">
        <v>0.8</v>
      </c>
      <c r="F737"/>
      <c r="G737"/>
      <c r="H737"/>
      <c r="I737"/>
      <c r="J737"/>
      <c r="K737"/>
      <c r="L737"/>
      <c r="M737"/>
      <c r="N737"/>
      <c r="O737"/>
      <c r="P737"/>
      <c r="Q737"/>
    </row>
    <row r="738" spans="1:17" ht="14.25" customHeight="1">
      <c r="A738" s="175" t="s">
        <v>3531</v>
      </c>
      <c r="B738" s="169">
        <v>32</v>
      </c>
      <c r="C738" s="173" t="s">
        <v>3893</v>
      </c>
      <c r="D738" s="187">
        <v>3</v>
      </c>
      <c r="E738" s="7">
        <v>0.8</v>
      </c>
      <c r="F738"/>
      <c r="G738"/>
      <c r="H738"/>
      <c r="I738"/>
      <c r="J738"/>
      <c r="K738"/>
      <c r="L738"/>
      <c r="M738"/>
      <c r="N738"/>
      <c r="O738"/>
      <c r="P738"/>
      <c r="Q738"/>
    </row>
    <row r="739" spans="1:17" ht="14.25" customHeight="1">
      <c r="A739" s="176" t="s">
        <v>3479</v>
      </c>
      <c r="B739" s="169">
        <f>29.4/5</f>
        <v>5.88</v>
      </c>
      <c r="C739" s="170" t="s">
        <v>3407</v>
      </c>
      <c r="D739" s="187">
        <v>5</v>
      </c>
      <c r="E739" s="7">
        <v>0.5</v>
      </c>
      <c r="F739"/>
      <c r="G739"/>
      <c r="H739"/>
      <c r="I739"/>
      <c r="J739"/>
      <c r="K739"/>
      <c r="L739"/>
      <c r="M739"/>
      <c r="N739"/>
      <c r="O739"/>
      <c r="P739"/>
      <c r="Q739"/>
    </row>
    <row r="740" spans="1:17" ht="14.25" customHeight="1">
      <c r="A740" s="176" t="s">
        <v>3480</v>
      </c>
      <c r="B740" s="169">
        <f>59/5</f>
        <v>11.8</v>
      </c>
      <c r="C740" s="170" t="s">
        <v>3466</v>
      </c>
      <c r="D740" s="187">
        <v>5</v>
      </c>
      <c r="E740" s="7">
        <v>0.75</v>
      </c>
      <c r="F740"/>
      <c r="G740"/>
      <c r="H740"/>
      <c r="I740"/>
      <c r="J740"/>
      <c r="K740"/>
      <c r="L740"/>
      <c r="M740"/>
      <c r="N740"/>
      <c r="O740"/>
      <c r="P740"/>
      <c r="Q740"/>
    </row>
    <row r="741" spans="1:17" ht="14.25" customHeight="1">
      <c r="A741" s="176" t="s">
        <v>3481</v>
      </c>
      <c r="B741" s="169">
        <f>42.2/5</f>
        <v>8.4400000000000013</v>
      </c>
      <c r="C741" s="170" t="s">
        <v>3442</v>
      </c>
      <c r="D741" s="187">
        <v>5</v>
      </c>
      <c r="E741" s="7">
        <v>0.68</v>
      </c>
      <c r="F741"/>
      <c r="G741"/>
      <c r="H741"/>
      <c r="I741"/>
      <c r="J741"/>
      <c r="K741"/>
      <c r="L741"/>
      <c r="M741"/>
      <c r="N741"/>
      <c r="O741"/>
      <c r="P741"/>
      <c r="Q741"/>
    </row>
    <row r="742" spans="1:17" ht="14.25" customHeight="1">
      <c r="A742" s="176" t="s">
        <v>3482</v>
      </c>
      <c r="B742" s="169">
        <f>51.8/5</f>
        <v>10.36</v>
      </c>
      <c r="C742" s="170" t="s">
        <v>3465</v>
      </c>
      <c r="D742" s="187">
        <v>5</v>
      </c>
      <c r="E742" s="7">
        <v>0.8</v>
      </c>
      <c r="F742"/>
      <c r="G742"/>
      <c r="H742"/>
      <c r="I742"/>
      <c r="J742"/>
      <c r="K742"/>
      <c r="L742"/>
      <c r="M742"/>
      <c r="N742"/>
      <c r="O742"/>
      <c r="P742"/>
      <c r="Q742"/>
    </row>
    <row r="743" spans="1:17" ht="14.25" customHeight="1">
      <c r="A743" s="176" t="s">
        <v>3483</v>
      </c>
      <c r="B743" s="169">
        <f>60.9/5</f>
        <v>12.18</v>
      </c>
      <c r="C743" s="139" t="s">
        <v>3431</v>
      </c>
      <c r="D743" s="187">
        <v>5</v>
      </c>
      <c r="E743" s="7">
        <v>1.4</v>
      </c>
      <c r="F743"/>
      <c r="G743"/>
      <c r="H743"/>
      <c r="I743"/>
      <c r="J743"/>
      <c r="K743"/>
      <c r="L743"/>
      <c r="M743"/>
      <c r="N743"/>
      <c r="O743"/>
      <c r="P743"/>
      <c r="Q743"/>
    </row>
    <row r="744" spans="1:17" ht="14.25" customHeight="1">
      <c r="A744" s="176" t="s">
        <v>3484</v>
      </c>
      <c r="B744" s="169">
        <f>55/5</f>
        <v>11</v>
      </c>
      <c r="C744" s="139" t="s">
        <v>3433</v>
      </c>
      <c r="D744" s="187">
        <v>5</v>
      </c>
      <c r="E744" s="7">
        <v>0.55000000000000004</v>
      </c>
      <c r="F744"/>
      <c r="G744"/>
      <c r="H744"/>
      <c r="I744"/>
      <c r="J744"/>
      <c r="K744"/>
      <c r="L744"/>
      <c r="M744"/>
      <c r="N744"/>
      <c r="O744"/>
      <c r="P744"/>
      <c r="Q744"/>
    </row>
    <row r="745" spans="1:17" ht="14.25" customHeight="1">
      <c r="A745" s="176" t="s">
        <v>3485</v>
      </c>
      <c r="B745" s="169">
        <f>21.3/5</f>
        <v>4.26</v>
      </c>
      <c r="C745" s="170" t="s">
        <v>3439</v>
      </c>
      <c r="D745" s="187">
        <v>5</v>
      </c>
      <c r="E745" s="7">
        <v>0.3</v>
      </c>
      <c r="F745"/>
      <c r="G745"/>
      <c r="H745"/>
      <c r="I745"/>
      <c r="J745"/>
      <c r="K745"/>
      <c r="L745"/>
      <c r="M745"/>
      <c r="N745"/>
      <c r="O745"/>
      <c r="P745"/>
      <c r="Q745"/>
    </row>
    <row r="746" spans="1:17" ht="14.25" customHeight="1">
      <c r="A746" s="176" t="s">
        <v>3486</v>
      </c>
      <c r="B746" s="169">
        <f>49.3/5</f>
        <v>9.86</v>
      </c>
      <c r="C746" s="139" t="s">
        <v>3432</v>
      </c>
      <c r="D746" s="187">
        <v>5</v>
      </c>
      <c r="E746" s="7">
        <v>1.5</v>
      </c>
      <c r="F746"/>
      <c r="G746"/>
      <c r="H746"/>
      <c r="I746"/>
      <c r="J746"/>
      <c r="K746"/>
      <c r="L746"/>
      <c r="M746"/>
      <c r="N746"/>
      <c r="O746"/>
      <c r="P746"/>
      <c r="Q746"/>
    </row>
    <row r="747" spans="1:17" ht="14.25" customHeight="1">
      <c r="A747" s="176" t="s">
        <v>3487</v>
      </c>
      <c r="B747" s="169">
        <f>41.2/5</f>
        <v>8.24</v>
      </c>
      <c r="C747" s="139" t="s">
        <v>3434</v>
      </c>
      <c r="D747" s="187">
        <v>5</v>
      </c>
      <c r="E747" s="7">
        <v>0.6</v>
      </c>
      <c r="F747"/>
      <c r="G747"/>
      <c r="H747"/>
      <c r="I747"/>
      <c r="J747"/>
      <c r="K747"/>
      <c r="L747"/>
      <c r="M747"/>
      <c r="N747"/>
      <c r="O747"/>
      <c r="P747"/>
      <c r="Q747"/>
    </row>
    <row r="748" spans="1:17" ht="14.25" customHeight="1">
      <c r="A748" s="128" t="s">
        <v>3286</v>
      </c>
      <c r="B748" s="9">
        <f>27.8/5</f>
        <v>5.5600000000000005</v>
      </c>
      <c r="C748" s="141" t="s">
        <v>5875</v>
      </c>
      <c r="D748" s="187">
        <v>20</v>
      </c>
      <c r="E748" s="7">
        <v>0.24</v>
      </c>
    </row>
    <row r="749" spans="1:17" ht="14.25" customHeight="1">
      <c r="A749" s="128" t="s">
        <v>3287</v>
      </c>
      <c r="B749" s="9">
        <f>35.7/5</f>
        <v>7.1400000000000006</v>
      </c>
      <c r="C749" s="141" t="s">
        <v>5876</v>
      </c>
      <c r="D749" s="187">
        <v>20</v>
      </c>
      <c r="E749" s="7">
        <v>0.28000000000000003</v>
      </c>
    </row>
    <row r="750" spans="1:17" ht="14.25" customHeight="1">
      <c r="A750" s="128" t="s">
        <v>3288</v>
      </c>
      <c r="B750" s="9">
        <f>37.6/5</f>
        <v>7.5200000000000005</v>
      </c>
      <c r="C750" s="141" t="s">
        <v>5877</v>
      </c>
      <c r="D750" s="187">
        <v>20</v>
      </c>
      <c r="E750" s="7">
        <v>1</v>
      </c>
    </row>
    <row r="751" spans="1:17" ht="14.25" customHeight="1">
      <c r="A751" s="128" t="s">
        <v>3289</v>
      </c>
      <c r="B751" s="9">
        <f>40.4/5</f>
        <v>8.08</v>
      </c>
      <c r="C751" s="141" t="s">
        <v>5878</v>
      </c>
      <c r="D751" s="187">
        <v>20</v>
      </c>
      <c r="E751" s="7">
        <v>1.1000000000000001</v>
      </c>
    </row>
    <row r="752" spans="1:17" ht="14.25" customHeight="1">
      <c r="A752" s="128" t="s">
        <v>3290</v>
      </c>
      <c r="B752" s="9">
        <f>30/5</f>
        <v>6</v>
      </c>
      <c r="C752" s="141" t="s">
        <v>5879</v>
      </c>
      <c r="D752" s="187">
        <f>10+5</f>
        <v>15</v>
      </c>
      <c r="E752" s="7">
        <v>0.3</v>
      </c>
    </row>
    <row r="753" spans="1:17" ht="14.25" customHeight="1">
      <c r="A753" s="128" t="s">
        <v>3291</v>
      </c>
      <c r="B753" s="9">
        <f>39.5/5</f>
        <v>7.9</v>
      </c>
      <c r="C753" s="141" t="s">
        <v>5880</v>
      </c>
      <c r="D753" s="187">
        <f>10+5</f>
        <v>15</v>
      </c>
      <c r="E753" s="7">
        <v>0.24</v>
      </c>
    </row>
    <row r="754" spans="1:17" ht="14.25" customHeight="1">
      <c r="A754" s="128" t="s">
        <v>3292</v>
      </c>
      <c r="B754" s="9">
        <f>217/10</f>
        <v>21.7</v>
      </c>
      <c r="C754" s="141" t="s">
        <v>3416</v>
      </c>
      <c r="D754" s="187">
        <v>10</v>
      </c>
      <c r="E754" s="7">
        <v>2</v>
      </c>
    </row>
    <row r="755" spans="1:17" ht="14.25" customHeight="1">
      <c r="A755" s="175" t="s">
        <v>3896</v>
      </c>
      <c r="B755" s="196">
        <f>74.5/3</f>
        <v>24.833333333333332</v>
      </c>
      <c r="C755" s="170" t="s">
        <v>3473</v>
      </c>
      <c r="D755" s="187">
        <v>3</v>
      </c>
      <c r="E755" s="7">
        <v>0.99</v>
      </c>
      <c r="F755"/>
      <c r="G755"/>
      <c r="H755"/>
      <c r="I755"/>
      <c r="J755"/>
      <c r="K755"/>
      <c r="L755"/>
      <c r="M755"/>
      <c r="N755"/>
      <c r="O755"/>
      <c r="P755"/>
      <c r="Q755"/>
    </row>
    <row r="756" spans="1:17" ht="14.25" customHeight="1">
      <c r="A756" s="175" t="s">
        <v>3897</v>
      </c>
      <c r="B756" s="196">
        <f>68.3/3</f>
        <v>22.766666666666666</v>
      </c>
      <c r="C756" s="170" t="s">
        <v>3474</v>
      </c>
      <c r="D756" s="187">
        <v>3</v>
      </c>
      <c r="E756" s="7">
        <v>0.72</v>
      </c>
      <c r="F756"/>
      <c r="G756"/>
      <c r="H756"/>
      <c r="I756"/>
      <c r="J756"/>
      <c r="K756"/>
      <c r="L756"/>
      <c r="M756"/>
      <c r="N756"/>
      <c r="O756"/>
      <c r="P756"/>
      <c r="Q756"/>
    </row>
    <row r="757" spans="1:17" ht="14.25" customHeight="1">
      <c r="A757" s="175" t="s">
        <v>3898</v>
      </c>
      <c r="B757" s="169">
        <f>45.9/3</f>
        <v>15.299999999999999</v>
      </c>
      <c r="C757" s="170" t="s">
        <v>3475</v>
      </c>
      <c r="D757" s="187">
        <v>3</v>
      </c>
      <c r="E757" s="7">
        <v>1.43</v>
      </c>
      <c r="F757"/>
      <c r="G757"/>
      <c r="H757"/>
      <c r="I757"/>
      <c r="J757"/>
      <c r="K757"/>
      <c r="L757"/>
      <c r="M757"/>
      <c r="N757"/>
      <c r="O757"/>
      <c r="P757"/>
      <c r="Q757"/>
    </row>
    <row r="758" spans="1:17" ht="14.25" customHeight="1">
      <c r="A758" s="175" t="s">
        <v>3899</v>
      </c>
      <c r="B758" s="196">
        <f>46.4/3</f>
        <v>15.466666666666667</v>
      </c>
      <c r="C758" s="170" t="s">
        <v>3476</v>
      </c>
      <c r="D758" s="187">
        <v>3</v>
      </c>
      <c r="E758" s="7">
        <v>1.54</v>
      </c>
      <c r="F758"/>
      <c r="G758"/>
      <c r="H758"/>
      <c r="I758"/>
      <c r="J758"/>
      <c r="K758"/>
      <c r="L758"/>
      <c r="M758"/>
      <c r="N758"/>
      <c r="O758"/>
      <c r="P758"/>
      <c r="Q758"/>
    </row>
    <row r="759" spans="1:17" ht="14.25" customHeight="1">
      <c r="A759" s="175" t="s">
        <v>3900</v>
      </c>
      <c r="B759" s="169">
        <v>2.9</v>
      </c>
      <c r="C759" s="170" t="s">
        <v>3923</v>
      </c>
      <c r="D759" s="187">
        <v>3</v>
      </c>
      <c r="E759" s="7">
        <v>0.15</v>
      </c>
      <c r="F759"/>
      <c r="G759"/>
      <c r="H759"/>
      <c r="I759"/>
      <c r="J759"/>
      <c r="K759"/>
      <c r="L759"/>
      <c r="M759"/>
      <c r="N759"/>
      <c r="O759"/>
      <c r="P759"/>
      <c r="Q759"/>
    </row>
    <row r="760" spans="1:17" ht="14.25" customHeight="1">
      <c r="A760" s="175" t="s">
        <v>3901</v>
      </c>
      <c r="B760" s="169">
        <v>5.4</v>
      </c>
      <c r="C760" s="170" t="s">
        <v>3922</v>
      </c>
      <c r="D760" s="187">
        <v>3</v>
      </c>
      <c r="E760" s="7">
        <v>0.22</v>
      </c>
      <c r="F760"/>
      <c r="G760"/>
      <c r="H760"/>
      <c r="I760"/>
      <c r="J760"/>
      <c r="K760"/>
      <c r="L760"/>
      <c r="M760"/>
      <c r="N760"/>
      <c r="O760"/>
      <c r="P760"/>
      <c r="Q760"/>
    </row>
    <row r="761" spans="1:17" ht="14.25" customHeight="1">
      <c r="A761" s="175" t="s">
        <v>3488</v>
      </c>
      <c r="B761" s="169">
        <v>4.7</v>
      </c>
      <c r="C761" s="170" t="s">
        <v>3921</v>
      </c>
      <c r="D761" s="187">
        <v>3</v>
      </c>
      <c r="E761" s="7">
        <v>0.2</v>
      </c>
      <c r="F761"/>
      <c r="G761"/>
      <c r="H761"/>
      <c r="I761"/>
      <c r="J761"/>
      <c r="K761"/>
      <c r="L761"/>
      <c r="M761"/>
      <c r="N761"/>
      <c r="O761"/>
      <c r="P761"/>
      <c r="Q761"/>
    </row>
    <row r="762" spans="1:17" ht="14.25" customHeight="1">
      <c r="A762" s="175" t="s">
        <v>3902</v>
      </c>
      <c r="B762" s="169">
        <v>6.8</v>
      </c>
      <c r="C762" s="170" t="s">
        <v>3920</v>
      </c>
      <c r="D762" s="187">
        <v>3</v>
      </c>
      <c r="E762" s="7">
        <v>0.18</v>
      </c>
      <c r="F762"/>
      <c r="G762"/>
      <c r="H762"/>
      <c r="I762"/>
      <c r="J762"/>
      <c r="K762"/>
      <c r="L762"/>
      <c r="M762"/>
      <c r="N762"/>
      <c r="O762"/>
      <c r="P762"/>
      <c r="Q762"/>
    </row>
    <row r="763" spans="1:17" ht="14.25" customHeight="1">
      <c r="A763" s="175" t="s">
        <v>3912</v>
      </c>
      <c r="B763" s="169">
        <v>16.5</v>
      </c>
      <c r="C763" s="173" t="s">
        <v>3894</v>
      </c>
      <c r="D763" s="187">
        <v>3</v>
      </c>
      <c r="E763" s="7">
        <v>0.85</v>
      </c>
      <c r="F763"/>
      <c r="G763"/>
      <c r="H763"/>
      <c r="I763"/>
      <c r="J763"/>
      <c r="K763"/>
      <c r="L763"/>
      <c r="M763"/>
      <c r="N763"/>
      <c r="O763"/>
      <c r="P763"/>
      <c r="Q763"/>
    </row>
    <row r="764" spans="1:17" ht="14.25" customHeight="1">
      <c r="A764" s="175" t="s">
        <v>3913</v>
      </c>
      <c r="B764" s="169">
        <v>18.2</v>
      </c>
      <c r="C764" s="173" t="s">
        <v>3895</v>
      </c>
      <c r="D764" s="187">
        <v>3</v>
      </c>
      <c r="E764" s="7">
        <v>0.85</v>
      </c>
      <c r="F764"/>
      <c r="G764"/>
      <c r="H764"/>
      <c r="I764"/>
      <c r="J764"/>
      <c r="K764"/>
      <c r="L764"/>
      <c r="M764"/>
      <c r="N764"/>
      <c r="O764"/>
      <c r="P764"/>
      <c r="Q764"/>
    </row>
    <row r="765" spans="1:17" ht="14.25" customHeight="1">
      <c r="A765" s="175" t="s">
        <v>3914</v>
      </c>
      <c r="B765" s="169">
        <v>26.9</v>
      </c>
      <c r="C765" s="170" t="s">
        <v>6001</v>
      </c>
      <c r="D765" s="187">
        <v>4</v>
      </c>
      <c r="E765" s="7">
        <v>0.3</v>
      </c>
      <c r="F765"/>
      <c r="G765"/>
      <c r="H765"/>
      <c r="I765"/>
      <c r="J765"/>
      <c r="K765"/>
      <c r="L765"/>
      <c r="M765"/>
      <c r="N765"/>
      <c r="O765"/>
      <c r="P765"/>
      <c r="Q765"/>
    </row>
    <row r="766" spans="1:17" ht="14.25" customHeight="1">
      <c r="A766" s="175" t="s">
        <v>3903</v>
      </c>
      <c r="B766" s="169">
        <v>30.2</v>
      </c>
      <c r="C766" s="170" t="s">
        <v>3533</v>
      </c>
      <c r="D766" s="187">
        <v>4</v>
      </c>
      <c r="E766" s="7">
        <v>0.44</v>
      </c>
      <c r="F766"/>
      <c r="G766"/>
      <c r="H766"/>
      <c r="I766"/>
      <c r="J766"/>
      <c r="K766"/>
      <c r="L766"/>
      <c r="M766"/>
      <c r="N766"/>
      <c r="O766"/>
      <c r="P766"/>
      <c r="Q766"/>
    </row>
    <row r="767" spans="1:17" ht="14.25" customHeight="1">
      <c r="A767" s="175" t="s">
        <v>3904</v>
      </c>
      <c r="B767" s="169">
        <v>7.4</v>
      </c>
      <c r="C767" s="170" t="s">
        <v>3917</v>
      </c>
      <c r="D767" s="187">
        <v>5</v>
      </c>
      <c r="E767" s="7">
        <v>0.13</v>
      </c>
      <c r="F767"/>
      <c r="G767"/>
      <c r="H767"/>
      <c r="I767"/>
      <c r="J767"/>
      <c r="K767"/>
      <c r="L767"/>
      <c r="M767"/>
      <c r="N767"/>
      <c r="O767"/>
      <c r="P767"/>
      <c r="Q767"/>
    </row>
    <row r="768" spans="1:17" ht="14.25" customHeight="1">
      <c r="A768" s="175" t="s">
        <v>3905</v>
      </c>
      <c r="B768" s="169">
        <v>3</v>
      </c>
      <c r="C768" s="170" t="s">
        <v>3919</v>
      </c>
      <c r="D768" s="187">
        <v>5</v>
      </c>
      <c r="E768" s="7">
        <v>0.1</v>
      </c>
      <c r="F768"/>
      <c r="G768"/>
      <c r="H768"/>
      <c r="I768"/>
      <c r="J768"/>
      <c r="K768"/>
      <c r="L768"/>
      <c r="M768"/>
      <c r="N768"/>
      <c r="O768"/>
      <c r="P768"/>
      <c r="Q768"/>
    </row>
    <row r="769" spans="1:17" ht="14.25" customHeight="1">
      <c r="A769" s="175" t="s">
        <v>3906</v>
      </c>
      <c r="B769" s="169">
        <v>4.0999999999999996</v>
      </c>
      <c r="C769" s="170" t="s">
        <v>3918</v>
      </c>
      <c r="D769" s="187">
        <v>5</v>
      </c>
      <c r="E769" s="7">
        <v>0.08</v>
      </c>
      <c r="F769"/>
      <c r="G769"/>
      <c r="H769"/>
      <c r="I769"/>
      <c r="J769"/>
      <c r="K769"/>
      <c r="L769"/>
      <c r="M769"/>
      <c r="N769"/>
      <c r="O769"/>
      <c r="P769"/>
      <c r="Q769"/>
    </row>
    <row r="770" spans="1:17" ht="14.25" customHeight="1">
      <c r="A770" s="175" t="s">
        <v>3907</v>
      </c>
      <c r="B770" s="169">
        <v>7.6</v>
      </c>
      <c r="C770" s="170" t="s">
        <v>3413</v>
      </c>
      <c r="D770" s="187">
        <v>3</v>
      </c>
      <c r="E770" s="7">
        <v>0.5</v>
      </c>
      <c r="F770"/>
      <c r="G770"/>
      <c r="H770"/>
      <c r="I770"/>
      <c r="J770"/>
      <c r="K770"/>
      <c r="L770"/>
      <c r="M770"/>
      <c r="N770"/>
      <c r="O770"/>
      <c r="P770"/>
      <c r="Q770"/>
    </row>
    <row r="771" spans="1:17" ht="14.25" customHeight="1">
      <c r="A771" s="171" t="s">
        <v>3521</v>
      </c>
      <c r="B771" s="169">
        <f>186.2/5</f>
        <v>37.239999999999995</v>
      </c>
      <c r="C771" s="170" t="s">
        <v>5881</v>
      </c>
      <c r="D771" s="187">
        <v>5</v>
      </c>
      <c r="E771" s="7">
        <v>2.04</v>
      </c>
      <c r="F771"/>
      <c r="G771"/>
      <c r="H771"/>
      <c r="I771"/>
      <c r="J771"/>
      <c r="K771"/>
      <c r="L771"/>
      <c r="M771"/>
      <c r="N771"/>
      <c r="O771"/>
      <c r="P771"/>
      <c r="Q771"/>
    </row>
    <row r="772" spans="1:17" ht="14.25" customHeight="1">
      <c r="A772" s="171" t="s">
        <v>3522</v>
      </c>
      <c r="B772" s="169">
        <f>190.2/5</f>
        <v>38.04</v>
      </c>
      <c r="C772" s="170" t="s">
        <v>5882</v>
      </c>
      <c r="D772" s="187">
        <v>5</v>
      </c>
      <c r="E772" s="7">
        <v>1.85</v>
      </c>
      <c r="F772"/>
      <c r="G772"/>
      <c r="H772"/>
      <c r="I772"/>
      <c r="J772"/>
      <c r="K772"/>
      <c r="L772"/>
      <c r="M772"/>
      <c r="N772"/>
      <c r="O772"/>
      <c r="P772"/>
      <c r="Q772"/>
    </row>
    <row r="773" spans="1:17" ht="14.25" customHeight="1">
      <c r="A773" s="171" t="s">
        <v>3523</v>
      </c>
      <c r="B773" s="169">
        <f>154.6/5</f>
        <v>30.919999999999998</v>
      </c>
      <c r="C773" s="170" t="s">
        <v>5883</v>
      </c>
      <c r="D773" s="187">
        <v>5</v>
      </c>
      <c r="E773" s="7">
        <v>1.6</v>
      </c>
      <c r="F773"/>
      <c r="G773"/>
      <c r="H773"/>
      <c r="I773"/>
      <c r="J773"/>
      <c r="K773"/>
      <c r="L773"/>
      <c r="M773"/>
      <c r="N773"/>
      <c r="O773"/>
      <c r="P773"/>
      <c r="Q773"/>
    </row>
    <row r="774" spans="1:17" s="4" customFormat="1" ht="14.25" customHeight="1">
      <c r="A774" s="171" t="s">
        <v>3524</v>
      </c>
      <c r="B774" s="169">
        <f>108/5</f>
        <v>21.6</v>
      </c>
      <c r="C774" s="170" t="s">
        <v>5991</v>
      </c>
      <c r="D774" s="187">
        <v>5</v>
      </c>
      <c r="E774" s="7">
        <v>1.65</v>
      </c>
      <c r="F774"/>
      <c r="G774"/>
      <c r="H774"/>
      <c r="I774"/>
      <c r="J774"/>
      <c r="K774"/>
      <c r="L774"/>
      <c r="M774"/>
      <c r="N774"/>
      <c r="O774"/>
      <c r="P774"/>
      <c r="Q774"/>
    </row>
    <row r="775" spans="1:17" ht="14.25" customHeight="1">
      <c r="A775" s="171" t="s">
        <v>3525</v>
      </c>
      <c r="B775" s="169">
        <v>77.900000000000006</v>
      </c>
      <c r="C775" s="170" t="s">
        <v>5884</v>
      </c>
      <c r="D775" s="187">
        <v>5</v>
      </c>
      <c r="E775" s="7">
        <v>3</v>
      </c>
      <c r="F775"/>
      <c r="G775"/>
      <c r="H775"/>
      <c r="I775"/>
      <c r="J775"/>
      <c r="K775"/>
      <c r="L775"/>
      <c r="M775"/>
      <c r="N775"/>
      <c r="O775"/>
      <c r="P775"/>
      <c r="Q775"/>
    </row>
    <row r="776" spans="1:17" ht="14.25" customHeight="1">
      <c r="A776" s="171" t="s">
        <v>3526</v>
      </c>
      <c r="B776" s="169">
        <f>156.2/5</f>
        <v>31.24</v>
      </c>
      <c r="C776" s="170" t="s">
        <v>5885</v>
      </c>
      <c r="D776" s="187">
        <v>5</v>
      </c>
      <c r="E776" s="7">
        <v>1.76</v>
      </c>
      <c r="F776"/>
      <c r="G776"/>
      <c r="H776"/>
      <c r="I776"/>
      <c r="J776"/>
      <c r="K776"/>
      <c r="L776"/>
      <c r="M776"/>
      <c r="N776"/>
      <c r="O776"/>
      <c r="P776"/>
      <c r="Q776"/>
    </row>
    <row r="777" spans="1:17" ht="14.25" customHeight="1">
      <c r="A777" s="171" t="s">
        <v>3554</v>
      </c>
      <c r="B777" s="169">
        <f>100.3/5</f>
        <v>20.059999999999999</v>
      </c>
      <c r="C777" s="170" t="s">
        <v>3445</v>
      </c>
      <c r="D777" s="187">
        <v>5</v>
      </c>
      <c r="E777" s="7">
        <v>0.6</v>
      </c>
      <c r="F777"/>
      <c r="G777"/>
      <c r="H777"/>
      <c r="I777"/>
      <c r="J777"/>
      <c r="K777"/>
      <c r="L777"/>
      <c r="M777"/>
      <c r="N777"/>
      <c r="O777"/>
      <c r="P777"/>
      <c r="Q777"/>
    </row>
    <row r="778" spans="1:17" ht="14.25" customHeight="1">
      <c r="A778" s="171" t="s">
        <v>3555</v>
      </c>
      <c r="B778" s="169">
        <f>107.5/5</f>
        <v>21.5</v>
      </c>
      <c r="C778" s="170" t="s">
        <v>3444</v>
      </c>
      <c r="D778" s="187">
        <v>5</v>
      </c>
      <c r="E778" s="7">
        <v>0.72</v>
      </c>
      <c r="F778"/>
      <c r="G778"/>
      <c r="H778"/>
      <c r="I778"/>
      <c r="J778"/>
      <c r="K778"/>
      <c r="L778"/>
      <c r="M778"/>
      <c r="N778"/>
      <c r="O778"/>
      <c r="P778"/>
      <c r="Q778"/>
    </row>
    <row r="779" spans="1:17" ht="14.25" customHeight="1">
      <c r="A779" s="171" t="s">
        <v>3556</v>
      </c>
      <c r="B779" s="169">
        <f>99.4/5</f>
        <v>19.880000000000003</v>
      </c>
      <c r="C779" s="170" t="s">
        <v>3425</v>
      </c>
      <c r="D779" s="187">
        <v>5</v>
      </c>
      <c r="E779" s="7">
        <v>0.53</v>
      </c>
      <c r="F779"/>
      <c r="G779"/>
      <c r="H779"/>
      <c r="I779"/>
      <c r="J779"/>
      <c r="K779"/>
      <c r="L779"/>
      <c r="M779"/>
      <c r="N779"/>
      <c r="O779"/>
      <c r="P779"/>
      <c r="Q779"/>
    </row>
    <row r="780" spans="1:17" ht="14.25" customHeight="1">
      <c r="A780" s="171" t="s">
        <v>3557</v>
      </c>
      <c r="B780" s="169">
        <f>104.7/5</f>
        <v>20.94</v>
      </c>
      <c r="C780" s="173" t="s">
        <v>3412</v>
      </c>
      <c r="D780" s="187">
        <v>10</v>
      </c>
      <c r="E780" s="7">
        <v>2.75</v>
      </c>
      <c r="F780"/>
      <c r="G780"/>
      <c r="H780"/>
      <c r="I780"/>
      <c r="J780"/>
      <c r="K780"/>
      <c r="L780"/>
      <c r="M780"/>
      <c r="N780"/>
      <c r="O780"/>
      <c r="P780"/>
      <c r="Q780"/>
    </row>
    <row r="781" spans="1:17" ht="14.25" customHeight="1">
      <c r="A781" s="171" t="s">
        <v>3558</v>
      </c>
      <c r="B781" s="169">
        <v>80.7</v>
      </c>
      <c r="C781" s="170" t="s">
        <v>3885</v>
      </c>
      <c r="D781" s="187">
        <v>3</v>
      </c>
      <c r="E781" s="7">
        <v>4.2</v>
      </c>
      <c r="F781"/>
      <c r="G781"/>
      <c r="H781"/>
      <c r="I781"/>
      <c r="J781"/>
      <c r="K781"/>
      <c r="L781"/>
      <c r="M781"/>
      <c r="N781"/>
      <c r="O781"/>
      <c r="P781"/>
      <c r="Q781"/>
    </row>
    <row r="782" spans="1:17" ht="14.25" customHeight="1">
      <c r="A782" s="171" t="s">
        <v>3559</v>
      </c>
      <c r="B782" s="169">
        <f>91.9/5</f>
        <v>18.380000000000003</v>
      </c>
      <c r="C782" s="170" t="s">
        <v>3440</v>
      </c>
      <c r="D782" s="187">
        <v>5</v>
      </c>
      <c r="E782" s="7">
        <v>0.76</v>
      </c>
      <c r="F782"/>
      <c r="G782"/>
      <c r="H782"/>
      <c r="I782"/>
      <c r="J782"/>
      <c r="K782"/>
      <c r="L782"/>
      <c r="M782"/>
      <c r="N782"/>
      <c r="O782"/>
      <c r="P782"/>
      <c r="Q782"/>
    </row>
    <row r="783" spans="1:17" ht="14.25" customHeight="1">
      <c r="A783" s="171" t="s">
        <v>3560</v>
      </c>
      <c r="B783" s="169">
        <f>108/5</f>
        <v>21.6</v>
      </c>
      <c r="C783" s="170" t="s">
        <v>3441</v>
      </c>
      <c r="D783" s="187">
        <v>5</v>
      </c>
      <c r="E783" s="7">
        <v>0.73</v>
      </c>
      <c r="F783"/>
      <c r="G783"/>
      <c r="H783"/>
      <c r="I783"/>
      <c r="J783"/>
      <c r="K783"/>
      <c r="L783"/>
      <c r="M783"/>
      <c r="N783"/>
      <c r="O783"/>
      <c r="P783"/>
      <c r="Q783"/>
    </row>
    <row r="784" spans="1:17" s="4" customFormat="1" ht="14.25" customHeight="1">
      <c r="A784" s="171" t="s">
        <v>3561</v>
      </c>
      <c r="B784" s="169">
        <f>109/5</f>
        <v>21.8</v>
      </c>
      <c r="C784" s="170" t="s">
        <v>3408</v>
      </c>
      <c r="D784" s="187">
        <v>5</v>
      </c>
      <c r="E784" s="7">
        <v>0.95</v>
      </c>
      <c r="F784"/>
      <c r="G784"/>
      <c r="H784"/>
      <c r="I784"/>
      <c r="J784"/>
      <c r="K784"/>
      <c r="L784"/>
      <c r="M784"/>
      <c r="N784"/>
      <c r="O784"/>
      <c r="P784"/>
      <c r="Q784"/>
    </row>
    <row r="785" spans="1:17" ht="14.25" customHeight="1">
      <c r="A785" s="152" t="s">
        <v>3143</v>
      </c>
      <c r="B785" s="9">
        <f>15.2/10</f>
        <v>1.52</v>
      </c>
      <c r="C785" s="1" t="s">
        <v>5912</v>
      </c>
      <c r="D785" s="188">
        <v>1000</v>
      </c>
      <c r="E785" s="25">
        <f>72/1000</f>
        <v>7.1999999999999995E-2</v>
      </c>
    </row>
    <row r="786" spans="1:17" ht="14.25" customHeight="1">
      <c r="A786" s="152" t="s">
        <v>3144</v>
      </c>
      <c r="B786" s="9">
        <f>13.3/10</f>
        <v>1.33</v>
      </c>
      <c r="C786" s="1" t="s">
        <v>5915</v>
      </c>
      <c r="D786" s="188">
        <v>1000</v>
      </c>
      <c r="E786" s="25">
        <f>80/1000</f>
        <v>0.08</v>
      </c>
    </row>
    <row r="787" spans="1:17" ht="14.25" customHeight="1">
      <c r="A787" s="152" t="s">
        <v>3145</v>
      </c>
      <c r="B787" s="9">
        <f>14.8/10</f>
        <v>1.48</v>
      </c>
      <c r="C787" s="1" t="s">
        <v>5914</v>
      </c>
      <c r="D787" s="188">
        <v>100</v>
      </c>
      <c r="E787" s="25">
        <f>13/100</f>
        <v>0.13</v>
      </c>
    </row>
    <row r="788" spans="1:17" ht="14.25" customHeight="1">
      <c r="A788" s="152" t="s">
        <v>3146</v>
      </c>
      <c r="B788" s="9">
        <f>15.1/10</f>
        <v>1.51</v>
      </c>
      <c r="C788" s="1" t="s">
        <v>5913</v>
      </c>
      <c r="D788" s="188">
        <v>1000</v>
      </c>
      <c r="E788" s="25">
        <f>75/1000</f>
        <v>7.4999999999999997E-2</v>
      </c>
    </row>
    <row r="789" spans="1:17" ht="14.25" customHeight="1">
      <c r="A789" s="115" t="s">
        <v>3863</v>
      </c>
      <c r="B789" s="169">
        <f>7.4/5</f>
        <v>1.48</v>
      </c>
      <c r="C789" s="1" t="s">
        <v>5911</v>
      </c>
      <c r="D789" s="187">
        <v>500</v>
      </c>
      <c r="E789" s="7">
        <f>4.8/100</f>
        <v>4.8000000000000001E-2</v>
      </c>
      <c r="F789"/>
      <c r="G789"/>
      <c r="H789"/>
      <c r="I789"/>
      <c r="J789"/>
      <c r="K789"/>
      <c r="L789"/>
      <c r="M789"/>
      <c r="N789"/>
      <c r="O789"/>
      <c r="P789"/>
      <c r="Q789"/>
    </row>
    <row r="790" spans="1:17" ht="14.25" customHeight="1">
      <c r="A790" s="151" t="s">
        <v>3602</v>
      </c>
      <c r="B790" s="9">
        <v>1.2</v>
      </c>
      <c r="C790" s="1" t="s">
        <v>5916</v>
      </c>
      <c r="D790" s="192">
        <v>100</v>
      </c>
      <c r="E790" s="6">
        <v>0.1</v>
      </c>
    </row>
    <row r="791" spans="1:17" s="4" customFormat="1" ht="14.25" customHeight="1">
      <c r="A791" s="151" t="s">
        <v>3603</v>
      </c>
      <c r="B791" s="9">
        <f>13.5/10</f>
        <v>1.35</v>
      </c>
      <c r="C791" s="1" t="s">
        <v>5917</v>
      </c>
      <c r="D791" s="188">
        <f t="shared" ref="D791:D796" si="20">600/6</f>
        <v>100</v>
      </c>
      <c r="E791" s="6">
        <v>0.09</v>
      </c>
      <c r="F791" s="7"/>
      <c r="G791" s="7"/>
      <c r="H791" s="7"/>
      <c r="I791" s="7"/>
      <c r="J791" s="7"/>
      <c r="K791" s="7"/>
      <c r="L791" s="7"/>
      <c r="M791" s="7"/>
      <c r="N791" s="7"/>
      <c r="O791" s="7"/>
      <c r="P791" s="7"/>
      <c r="Q791" s="7"/>
    </row>
    <row r="792" spans="1:17" ht="14.25" customHeight="1">
      <c r="A792" s="151" t="s">
        <v>3604</v>
      </c>
      <c r="B792" s="9">
        <f>13.6/10</f>
        <v>1.3599999999999999</v>
      </c>
      <c r="C792" s="1" t="s">
        <v>5918</v>
      </c>
      <c r="D792" s="188">
        <f t="shared" si="20"/>
        <v>100</v>
      </c>
      <c r="E792" s="6">
        <v>0.09</v>
      </c>
    </row>
    <row r="793" spans="1:17" ht="14.25" customHeight="1">
      <c r="A793" s="151" t="s">
        <v>3605</v>
      </c>
      <c r="B793" s="9">
        <f>13.6/10</f>
        <v>1.3599999999999999</v>
      </c>
      <c r="C793" s="1" t="s">
        <v>5919</v>
      </c>
      <c r="D793" s="188">
        <f t="shared" si="20"/>
        <v>100</v>
      </c>
      <c r="E793" s="6">
        <v>0.09</v>
      </c>
    </row>
    <row r="794" spans="1:17" ht="14.25" customHeight="1">
      <c r="A794" s="151" t="s">
        <v>3606</v>
      </c>
      <c r="B794" s="9">
        <f>13.6/10</f>
        <v>1.3599999999999999</v>
      </c>
      <c r="C794" s="1" t="s">
        <v>5920</v>
      </c>
      <c r="D794" s="188">
        <f t="shared" si="20"/>
        <v>100</v>
      </c>
      <c r="E794" s="6">
        <v>0.09</v>
      </c>
    </row>
    <row r="795" spans="1:17" ht="14.25" customHeight="1">
      <c r="A795" s="151" t="s">
        <v>3607</v>
      </c>
      <c r="B795" s="9">
        <f>13.6/10</f>
        <v>1.3599999999999999</v>
      </c>
      <c r="C795" s="1" t="s">
        <v>5921</v>
      </c>
      <c r="D795" s="188">
        <f t="shared" si="20"/>
        <v>100</v>
      </c>
      <c r="E795" s="6">
        <v>0.09</v>
      </c>
    </row>
    <row r="796" spans="1:17" ht="14.25" customHeight="1">
      <c r="A796" s="151" t="s">
        <v>3608</v>
      </c>
      <c r="B796" s="9">
        <f>13.6/10</f>
        <v>1.3599999999999999</v>
      </c>
      <c r="C796" s="1" t="s">
        <v>5922</v>
      </c>
      <c r="D796" s="188">
        <f t="shared" si="20"/>
        <v>100</v>
      </c>
      <c r="E796" s="6">
        <v>0.09</v>
      </c>
    </row>
    <row r="797" spans="1:17" ht="14.25" customHeight="1">
      <c r="A797" s="151" t="s">
        <v>3609</v>
      </c>
      <c r="B797" s="9">
        <f t="shared" ref="B797:B802" si="21">80.5/50</f>
        <v>1.61</v>
      </c>
      <c r="C797" s="1" t="s">
        <v>5923</v>
      </c>
      <c r="D797" s="188">
        <v>50</v>
      </c>
      <c r="E797" s="6">
        <v>0.15</v>
      </c>
    </row>
    <row r="798" spans="1:17" ht="14.25" customHeight="1">
      <c r="A798" s="151" t="s">
        <v>3610</v>
      </c>
      <c r="B798" s="9">
        <f t="shared" si="21"/>
        <v>1.61</v>
      </c>
      <c r="C798" s="1" t="s">
        <v>5924</v>
      </c>
      <c r="D798" s="188">
        <v>50</v>
      </c>
      <c r="E798" s="6">
        <v>0.15</v>
      </c>
    </row>
    <row r="799" spans="1:17" ht="14.25" customHeight="1">
      <c r="A799" s="151" t="s">
        <v>3611</v>
      </c>
      <c r="B799" s="9">
        <f t="shared" si="21"/>
        <v>1.61</v>
      </c>
      <c r="C799" s="1" t="s">
        <v>5925</v>
      </c>
      <c r="D799" s="188">
        <v>50</v>
      </c>
      <c r="E799" s="6">
        <v>0.15</v>
      </c>
    </row>
    <row r="800" spans="1:17" ht="14.25" customHeight="1">
      <c r="A800" s="151" t="s">
        <v>3612</v>
      </c>
      <c r="B800" s="9">
        <f t="shared" si="21"/>
        <v>1.61</v>
      </c>
      <c r="C800" s="1" t="s">
        <v>5926</v>
      </c>
      <c r="D800" s="188">
        <v>50</v>
      </c>
      <c r="E800" s="6">
        <v>0.15</v>
      </c>
    </row>
    <row r="801" spans="1:17" ht="14.25" customHeight="1">
      <c r="A801" s="151" t="s">
        <v>3613</v>
      </c>
      <c r="B801" s="9">
        <f t="shared" si="21"/>
        <v>1.61</v>
      </c>
      <c r="C801" s="1" t="s">
        <v>5927</v>
      </c>
      <c r="D801" s="188">
        <v>53</v>
      </c>
      <c r="E801" s="6">
        <v>0.15</v>
      </c>
    </row>
    <row r="802" spans="1:17" ht="14.25" customHeight="1">
      <c r="A802" s="151" t="s">
        <v>3614</v>
      </c>
      <c r="B802" s="9">
        <f t="shared" si="21"/>
        <v>1.61</v>
      </c>
      <c r="C802" s="1" t="s">
        <v>5928</v>
      </c>
      <c r="D802" s="188">
        <v>50</v>
      </c>
      <c r="E802" s="6">
        <v>0.15</v>
      </c>
    </row>
    <row r="803" spans="1:17" ht="14.25" customHeight="1">
      <c r="A803" s="151" t="s">
        <v>3615</v>
      </c>
      <c r="B803" s="9">
        <f>11.4/10</f>
        <v>1.1400000000000001</v>
      </c>
      <c r="C803" s="1" t="s">
        <v>5929</v>
      </c>
      <c r="D803" s="188">
        <v>100</v>
      </c>
      <c r="E803" s="6">
        <v>0.08</v>
      </c>
    </row>
    <row r="804" spans="1:17" ht="14.25" customHeight="1">
      <c r="A804" s="151" t="s">
        <v>3622</v>
      </c>
      <c r="B804" s="9">
        <f>13/10</f>
        <v>1.3</v>
      </c>
      <c r="C804" s="1" t="s">
        <v>5930</v>
      </c>
      <c r="D804" s="188">
        <f>600/5</f>
        <v>120</v>
      </c>
      <c r="E804" s="6">
        <v>7.0000000000000007E-2</v>
      </c>
    </row>
    <row r="805" spans="1:17" ht="14.25" customHeight="1">
      <c r="A805" s="151" t="s">
        <v>3623</v>
      </c>
      <c r="B805" s="9">
        <f>14/10</f>
        <v>1.4</v>
      </c>
      <c r="C805" s="1" t="s">
        <v>5931</v>
      </c>
      <c r="D805" s="188">
        <f>600/5</f>
        <v>120</v>
      </c>
      <c r="E805" s="6">
        <v>7.0000000000000007E-2</v>
      </c>
    </row>
    <row r="806" spans="1:17" ht="14.25" customHeight="1">
      <c r="A806" s="151" t="s">
        <v>3624</v>
      </c>
      <c r="B806" s="9">
        <f>14/10</f>
        <v>1.4</v>
      </c>
      <c r="C806" s="1" t="s">
        <v>5932</v>
      </c>
      <c r="D806" s="188">
        <f>600/5</f>
        <v>120</v>
      </c>
      <c r="E806" s="6">
        <v>7.0000000000000007E-2</v>
      </c>
    </row>
    <row r="807" spans="1:17" ht="14.25" customHeight="1">
      <c r="A807" s="151" t="s">
        <v>3625</v>
      </c>
      <c r="B807" s="9">
        <f>14/10</f>
        <v>1.4</v>
      </c>
      <c r="C807" s="1" t="s">
        <v>5933</v>
      </c>
      <c r="D807" s="188">
        <f>600/5</f>
        <v>120</v>
      </c>
      <c r="E807" s="6">
        <v>7.0000000000000007E-2</v>
      </c>
    </row>
    <row r="808" spans="1:17" ht="14.25" customHeight="1">
      <c r="A808" s="151" t="s">
        <v>3626</v>
      </c>
      <c r="B808" s="9">
        <f>14/10</f>
        <v>1.4</v>
      </c>
      <c r="C808" s="1" t="s">
        <v>5934</v>
      </c>
      <c r="D808" s="188">
        <f>600/5</f>
        <v>120</v>
      </c>
      <c r="E808" s="6">
        <v>7.0000000000000007E-2</v>
      </c>
    </row>
    <row r="809" spans="1:17" s="4" customFormat="1" ht="14.25" customHeight="1">
      <c r="A809" s="115" t="s">
        <v>3864</v>
      </c>
      <c r="B809" s="169">
        <f>7.7/5</f>
        <v>1.54</v>
      </c>
      <c r="C809" s="1" t="s">
        <v>5935</v>
      </c>
      <c r="D809" s="187">
        <v>251</v>
      </c>
      <c r="E809" s="7">
        <v>3.5</v>
      </c>
      <c r="F809"/>
      <c r="G809"/>
      <c r="H809"/>
      <c r="I809"/>
      <c r="J809"/>
      <c r="K809"/>
      <c r="L809"/>
      <c r="M809"/>
      <c r="N809"/>
      <c r="O809"/>
      <c r="P809"/>
      <c r="Q809"/>
    </row>
    <row r="810" spans="1:17" ht="14.25" customHeight="1">
      <c r="A810" s="115" t="s">
        <v>3865</v>
      </c>
      <c r="B810" s="169">
        <f>7.6/5</f>
        <v>1.52</v>
      </c>
      <c r="C810" s="1" t="s">
        <v>5936</v>
      </c>
      <c r="D810" s="187">
        <v>251</v>
      </c>
      <c r="E810" s="7">
        <v>0.76</v>
      </c>
      <c r="F810"/>
      <c r="G810"/>
      <c r="H810"/>
      <c r="I810"/>
      <c r="J810"/>
      <c r="K810"/>
      <c r="L810"/>
      <c r="M810"/>
      <c r="N810"/>
      <c r="O810"/>
      <c r="P810"/>
      <c r="Q810"/>
    </row>
    <row r="811" spans="1:17" ht="14.25" customHeight="1">
      <c r="A811" s="151" t="s">
        <v>3629</v>
      </c>
      <c r="B811" s="9">
        <v>30.5</v>
      </c>
      <c r="C811" s="201" t="s">
        <v>5937</v>
      </c>
      <c r="D811" s="188">
        <v>5</v>
      </c>
      <c r="E811" s="6">
        <v>0.6</v>
      </c>
    </row>
    <row r="812" spans="1:17" ht="14.25" customHeight="1">
      <c r="A812" s="151" t="s">
        <v>3630</v>
      </c>
      <c r="B812" s="9">
        <v>6.5</v>
      </c>
      <c r="C812" s="201" t="s">
        <v>5992</v>
      </c>
      <c r="D812" s="188">
        <v>5</v>
      </c>
      <c r="E812" s="6">
        <v>0.18</v>
      </c>
    </row>
    <row r="813" spans="1:17" ht="14.25" customHeight="1">
      <c r="A813" s="151" t="s">
        <v>3631</v>
      </c>
      <c r="B813" s="9">
        <v>18.3</v>
      </c>
      <c r="C813" s="202" t="s">
        <v>5951</v>
      </c>
      <c r="D813" s="188">
        <v>5</v>
      </c>
      <c r="E813" s="6">
        <v>2</v>
      </c>
    </row>
    <row r="814" spans="1:17" ht="14.25" customHeight="1">
      <c r="A814" s="151" t="s">
        <v>3632</v>
      </c>
      <c r="B814" s="9">
        <v>9.6</v>
      </c>
      <c r="C814" s="201" t="s">
        <v>5938</v>
      </c>
      <c r="D814" s="188">
        <v>5</v>
      </c>
      <c r="E814" s="6">
        <v>1.6</v>
      </c>
    </row>
    <row r="815" spans="1:17" s="123" customFormat="1" ht="14.25" customHeight="1">
      <c r="A815" s="211" t="s">
        <v>3633</v>
      </c>
      <c r="B815" s="172">
        <v>10</v>
      </c>
      <c r="C815" s="209" t="s">
        <v>5939</v>
      </c>
      <c r="D815" s="190">
        <f>5+5</f>
        <v>10</v>
      </c>
      <c r="E815" s="210">
        <v>1.6</v>
      </c>
    </row>
    <row r="816" spans="1:17" ht="14.25" customHeight="1">
      <c r="A816" s="171" t="s">
        <v>3591</v>
      </c>
      <c r="B816" s="169">
        <v>33.1</v>
      </c>
      <c r="C816" s="202" t="s">
        <v>5940</v>
      </c>
      <c r="D816" s="187">
        <v>5</v>
      </c>
      <c r="E816" s="7">
        <v>3</v>
      </c>
      <c r="F816"/>
      <c r="G816"/>
      <c r="H816"/>
      <c r="I816"/>
      <c r="J816"/>
      <c r="K816"/>
      <c r="L816"/>
      <c r="M816"/>
      <c r="N816"/>
      <c r="O816"/>
      <c r="P816"/>
      <c r="Q816"/>
    </row>
    <row r="817" spans="1:17" ht="14.25" customHeight="1">
      <c r="A817" s="128" t="s">
        <v>3295</v>
      </c>
      <c r="B817" s="9">
        <v>47.6</v>
      </c>
      <c r="C817" s="7" t="s">
        <v>5986</v>
      </c>
      <c r="D817" s="187">
        <v>3</v>
      </c>
      <c r="E817" s="7">
        <v>4.4000000000000004</v>
      </c>
      <c r="Q817" s="4"/>
    </row>
    <row r="818" spans="1:17" ht="14.25" customHeight="1">
      <c r="A818" s="128" t="s">
        <v>3293</v>
      </c>
      <c r="B818" s="9">
        <f>37.8-4.2</f>
        <v>33.599999999999994</v>
      </c>
      <c r="C818" s="203" t="s">
        <v>5985</v>
      </c>
      <c r="D818" s="187">
        <v>5</v>
      </c>
      <c r="E818" s="7">
        <v>3.8</v>
      </c>
    </row>
    <row r="819" spans="1:17" ht="14.25" customHeight="1">
      <c r="A819" s="171" t="s">
        <v>3500</v>
      </c>
      <c r="B819" s="169">
        <f>9.8/5</f>
        <v>1.9600000000000002</v>
      </c>
      <c r="C819" s="170" t="s">
        <v>3409</v>
      </c>
      <c r="D819" s="187">
        <v>5</v>
      </c>
      <c r="E819" s="7">
        <v>0.16</v>
      </c>
      <c r="F819"/>
      <c r="G819"/>
      <c r="H819"/>
      <c r="I819"/>
      <c r="J819"/>
      <c r="K819"/>
      <c r="L819"/>
      <c r="M819"/>
      <c r="N819"/>
      <c r="O819"/>
      <c r="P819"/>
      <c r="Q819"/>
    </row>
    <row r="820" spans="1:17" ht="14.25" customHeight="1">
      <c r="A820" s="171" t="s">
        <v>3501</v>
      </c>
      <c r="B820" s="169">
        <f>11.1/5</f>
        <v>2.2199999999999998</v>
      </c>
      <c r="C820" s="170" t="s">
        <v>3410</v>
      </c>
      <c r="D820" s="187">
        <v>5</v>
      </c>
      <c r="E820" s="7">
        <v>0.17</v>
      </c>
      <c r="F820"/>
      <c r="G820"/>
      <c r="H820"/>
      <c r="I820"/>
      <c r="J820"/>
      <c r="K820"/>
      <c r="L820"/>
      <c r="M820"/>
      <c r="N820"/>
      <c r="O820"/>
      <c r="P820"/>
      <c r="Q820"/>
    </row>
    <row r="821" spans="1:17" ht="14.25" customHeight="1">
      <c r="A821" s="171" t="s">
        <v>3502</v>
      </c>
      <c r="B821" s="169">
        <f>36/5</f>
        <v>7.2</v>
      </c>
      <c r="C821" s="170" t="s">
        <v>3459</v>
      </c>
      <c r="D821" s="187">
        <v>5</v>
      </c>
      <c r="E821" s="7">
        <v>0.36</v>
      </c>
      <c r="F821"/>
      <c r="G821"/>
      <c r="H821"/>
      <c r="I821"/>
      <c r="J821"/>
      <c r="K821"/>
      <c r="L821"/>
      <c r="M821"/>
      <c r="N821"/>
      <c r="O821"/>
      <c r="P821"/>
      <c r="Q821"/>
    </row>
    <row r="822" spans="1:17" s="4" customFormat="1" ht="14.25" customHeight="1">
      <c r="A822" s="171" t="s">
        <v>3503</v>
      </c>
      <c r="B822" s="169">
        <f>35.5/5</f>
        <v>7.1</v>
      </c>
      <c r="C822" s="170" t="s">
        <v>3470</v>
      </c>
      <c r="D822" s="187">
        <v>5</v>
      </c>
      <c r="E822" s="7">
        <v>0.65</v>
      </c>
      <c r="F822"/>
      <c r="G822"/>
      <c r="H822"/>
      <c r="I822"/>
      <c r="J822"/>
      <c r="K822"/>
      <c r="L822"/>
      <c r="M822"/>
      <c r="N822"/>
      <c r="O822"/>
      <c r="P822"/>
      <c r="Q822"/>
    </row>
    <row r="823" spans="1:17" ht="14.25" customHeight="1">
      <c r="A823" s="171" t="s">
        <v>3504</v>
      </c>
      <c r="B823" s="169">
        <f>39.7/5</f>
        <v>7.94</v>
      </c>
      <c r="C823" s="170" t="s">
        <v>3460</v>
      </c>
      <c r="D823" s="187">
        <v>5</v>
      </c>
      <c r="E823" s="7">
        <v>0.85</v>
      </c>
      <c r="F823"/>
      <c r="G823"/>
      <c r="H823"/>
      <c r="I823"/>
      <c r="J823"/>
      <c r="K823"/>
      <c r="L823"/>
      <c r="M823"/>
      <c r="N823"/>
      <c r="O823"/>
      <c r="P823"/>
      <c r="Q823"/>
    </row>
    <row r="824" spans="1:17" ht="14.25" customHeight="1">
      <c r="A824" s="171" t="s">
        <v>3505</v>
      </c>
      <c r="B824" s="169">
        <f>35.5/5</f>
        <v>7.1</v>
      </c>
      <c r="C824" s="170" t="s">
        <v>3461</v>
      </c>
      <c r="D824" s="187">
        <v>5</v>
      </c>
      <c r="E824" s="7">
        <v>0.6</v>
      </c>
      <c r="F824"/>
      <c r="G824"/>
      <c r="H824"/>
      <c r="I824"/>
      <c r="J824"/>
      <c r="K824"/>
      <c r="L824"/>
      <c r="M824"/>
      <c r="N824"/>
      <c r="O824"/>
      <c r="P824"/>
      <c r="Q824"/>
    </row>
    <row r="825" spans="1:17" ht="14.25" customHeight="1">
      <c r="A825" s="171" t="s">
        <v>3506</v>
      </c>
      <c r="B825" s="169">
        <f>22.9/5</f>
        <v>4.58</v>
      </c>
      <c r="C825" s="170" t="s">
        <v>3455</v>
      </c>
      <c r="D825" s="187">
        <v>5</v>
      </c>
      <c r="E825" s="7">
        <v>0.5</v>
      </c>
      <c r="F825"/>
      <c r="G825"/>
      <c r="H825"/>
      <c r="I825"/>
      <c r="J825"/>
      <c r="K825"/>
      <c r="L825"/>
      <c r="M825"/>
      <c r="N825"/>
      <c r="O825"/>
      <c r="P825"/>
      <c r="Q825"/>
    </row>
    <row r="826" spans="1:17" ht="14.25" customHeight="1">
      <c r="A826" s="171" t="s">
        <v>3507</v>
      </c>
      <c r="B826" s="169">
        <f>33.1/5</f>
        <v>6.62</v>
      </c>
      <c r="C826" s="139" t="s">
        <v>3435</v>
      </c>
      <c r="D826" s="187">
        <v>5</v>
      </c>
      <c r="E826" s="7">
        <v>0.36</v>
      </c>
      <c r="F826"/>
      <c r="G826"/>
      <c r="H826"/>
      <c r="I826"/>
      <c r="J826"/>
      <c r="K826"/>
      <c r="L826"/>
      <c r="M826"/>
      <c r="N826"/>
      <c r="O826"/>
      <c r="P826"/>
      <c r="Q826"/>
    </row>
    <row r="827" spans="1:17" ht="14.25" customHeight="1">
      <c r="A827" s="171" t="s">
        <v>3508</v>
      </c>
      <c r="B827" s="169">
        <f>33.8/10</f>
        <v>3.38</v>
      </c>
      <c r="C827" s="173" t="s">
        <v>3454</v>
      </c>
      <c r="D827" s="187">
        <v>5</v>
      </c>
      <c r="E827" s="7">
        <v>0.23</v>
      </c>
      <c r="F827"/>
      <c r="G827"/>
      <c r="H827"/>
      <c r="I827"/>
      <c r="J827"/>
      <c r="K827"/>
      <c r="L827"/>
      <c r="M827"/>
      <c r="N827"/>
      <c r="O827"/>
      <c r="P827"/>
      <c r="Q827"/>
    </row>
    <row r="828" spans="1:17" ht="14.25" customHeight="1">
      <c r="A828" s="171" t="s">
        <v>3509</v>
      </c>
      <c r="B828" s="169">
        <f>17.1/5</f>
        <v>3.4200000000000004</v>
      </c>
      <c r="C828" s="170" t="s">
        <v>3934</v>
      </c>
      <c r="D828" s="187">
        <v>5</v>
      </c>
      <c r="E828" s="7">
        <v>0.38</v>
      </c>
      <c r="F828"/>
      <c r="G828"/>
      <c r="H828"/>
      <c r="I828"/>
      <c r="J828"/>
      <c r="K828"/>
      <c r="L828"/>
      <c r="M828"/>
      <c r="N828"/>
      <c r="O828"/>
      <c r="P828"/>
      <c r="Q828"/>
    </row>
    <row r="829" spans="1:17" ht="14.25" customHeight="1">
      <c r="A829" s="171" t="s">
        <v>3510</v>
      </c>
      <c r="B829" s="169">
        <f>33.7/5</f>
        <v>6.74</v>
      </c>
      <c r="C829" s="139" t="s">
        <v>3436</v>
      </c>
      <c r="D829" s="187">
        <v>5</v>
      </c>
      <c r="E829" s="7">
        <v>0.5</v>
      </c>
      <c r="F829"/>
      <c r="G829"/>
      <c r="H829"/>
      <c r="I829"/>
      <c r="J829"/>
      <c r="K829"/>
      <c r="L829"/>
      <c r="M829"/>
      <c r="N829"/>
      <c r="O829"/>
      <c r="P829"/>
      <c r="Q829"/>
    </row>
    <row r="830" spans="1:17" ht="14.25" customHeight="1">
      <c r="A830" s="171" t="s">
        <v>3511</v>
      </c>
      <c r="B830" s="169">
        <v>23.1</v>
      </c>
      <c r="C830" s="170" t="s">
        <v>3932</v>
      </c>
      <c r="D830" s="187">
        <v>3</v>
      </c>
      <c r="E830" s="7">
        <v>1.3</v>
      </c>
      <c r="F830"/>
      <c r="G830"/>
      <c r="H830"/>
      <c r="I830"/>
      <c r="J830"/>
      <c r="K830"/>
      <c r="L830"/>
      <c r="M830"/>
      <c r="N830"/>
      <c r="O830"/>
      <c r="P830"/>
      <c r="Q830"/>
    </row>
    <row r="831" spans="1:17" ht="14.25" customHeight="1">
      <c r="A831" s="171" t="s">
        <v>3512</v>
      </c>
      <c r="B831" s="169">
        <v>17.3</v>
      </c>
      <c r="C831" s="170" t="s">
        <v>3933</v>
      </c>
      <c r="D831" s="187">
        <v>3</v>
      </c>
      <c r="E831" s="7">
        <v>1.3</v>
      </c>
      <c r="F831"/>
      <c r="G831"/>
      <c r="H831"/>
      <c r="I831"/>
      <c r="J831"/>
      <c r="K831"/>
      <c r="L831"/>
      <c r="M831"/>
      <c r="N831"/>
      <c r="O831"/>
      <c r="P831"/>
      <c r="Q831"/>
    </row>
    <row r="832" spans="1:17" ht="14.25" customHeight="1">
      <c r="A832" s="171" t="s">
        <v>3513</v>
      </c>
      <c r="B832" s="169">
        <v>51.5</v>
      </c>
      <c r="C832" s="170" t="s">
        <v>3875</v>
      </c>
      <c r="D832" s="190">
        <v>4</v>
      </c>
      <c r="E832" s="7">
        <v>1.1000000000000001</v>
      </c>
      <c r="F832"/>
      <c r="G832"/>
      <c r="H832"/>
      <c r="I832"/>
      <c r="J832"/>
      <c r="K832"/>
      <c r="L832"/>
      <c r="M832"/>
      <c r="N832"/>
      <c r="O832"/>
      <c r="P832"/>
      <c r="Q832"/>
    </row>
    <row r="833" spans="1:17" s="4" customFormat="1" ht="14.25" customHeight="1">
      <c r="A833" s="171" t="s">
        <v>3514</v>
      </c>
      <c r="B833" s="169">
        <v>67</v>
      </c>
      <c r="C833" s="170" t="s">
        <v>3876</v>
      </c>
      <c r="D833" s="187">
        <v>3</v>
      </c>
      <c r="E833" s="7">
        <v>1.5</v>
      </c>
      <c r="F833"/>
      <c r="G833"/>
      <c r="H833"/>
      <c r="I833"/>
      <c r="J833"/>
      <c r="K833"/>
      <c r="L833"/>
      <c r="M833"/>
      <c r="N833"/>
      <c r="O833"/>
      <c r="P833"/>
      <c r="Q833"/>
    </row>
    <row r="834" spans="1:17" ht="14.25" customHeight="1">
      <c r="A834" s="175" t="s">
        <v>3942</v>
      </c>
      <c r="B834" s="169">
        <f>51.2/5</f>
        <v>10.24</v>
      </c>
      <c r="C834" s="173" t="s">
        <v>3447</v>
      </c>
      <c r="D834" s="187">
        <v>5</v>
      </c>
      <c r="E834" s="7">
        <v>1.18</v>
      </c>
      <c r="F834"/>
      <c r="G834"/>
      <c r="H834"/>
      <c r="I834"/>
      <c r="J834"/>
      <c r="K834"/>
      <c r="L834"/>
      <c r="M834"/>
      <c r="N834"/>
      <c r="O834"/>
      <c r="P834"/>
      <c r="Q834"/>
    </row>
    <row r="835" spans="1:17" ht="14.25" customHeight="1">
      <c r="A835" s="171" t="s">
        <v>3490</v>
      </c>
      <c r="B835" s="169">
        <f>67/5</f>
        <v>13.4</v>
      </c>
      <c r="C835" s="170" t="s">
        <v>3453</v>
      </c>
      <c r="D835" s="187">
        <v>5</v>
      </c>
      <c r="E835" s="7">
        <v>1.8</v>
      </c>
      <c r="F835"/>
      <c r="G835"/>
      <c r="H835"/>
      <c r="I835"/>
      <c r="J835"/>
      <c r="K835"/>
      <c r="L835"/>
      <c r="M835"/>
      <c r="N835"/>
      <c r="O835"/>
      <c r="P835"/>
      <c r="Q835"/>
    </row>
    <row r="836" spans="1:17" ht="14.25" customHeight="1">
      <c r="A836" s="171" t="s">
        <v>3491</v>
      </c>
      <c r="B836" s="169">
        <f>59.6/5</f>
        <v>11.92</v>
      </c>
      <c r="C836" s="170" t="s">
        <v>3456</v>
      </c>
      <c r="D836" s="187">
        <v>5</v>
      </c>
      <c r="E836" s="7">
        <v>2</v>
      </c>
      <c r="F836"/>
      <c r="G836"/>
      <c r="H836"/>
      <c r="I836"/>
      <c r="J836"/>
      <c r="K836"/>
      <c r="L836"/>
      <c r="M836"/>
      <c r="N836"/>
      <c r="O836"/>
      <c r="P836"/>
      <c r="Q836"/>
    </row>
    <row r="837" spans="1:17" ht="14.25" customHeight="1">
      <c r="A837" s="171" t="s">
        <v>3492</v>
      </c>
      <c r="B837" s="169">
        <f>59.8/3</f>
        <v>19.933333333333334</v>
      </c>
      <c r="C837" s="170" t="s">
        <v>3429</v>
      </c>
      <c r="D837" s="187">
        <v>5</v>
      </c>
      <c r="E837" s="7">
        <v>1.5</v>
      </c>
      <c r="F837"/>
      <c r="G837"/>
      <c r="H837"/>
      <c r="I837"/>
      <c r="J837"/>
      <c r="K837"/>
      <c r="L837"/>
      <c r="M837"/>
      <c r="N837"/>
      <c r="O837"/>
      <c r="P837"/>
      <c r="Q837"/>
    </row>
    <row r="838" spans="1:17" ht="14.25" customHeight="1">
      <c r="A838" s="171" t="s">
        <v>3493</v>
      </c>
      <c r="B838" s="169">
        <f>36/5</f>
        <v>7.2</v>
      </c>
      <c r="C838" s="170" t="s">
        <v>3448</v>
      </c>
      <c r="D838" s="187">
        <v>5</v>
      </c>
      <c r="E838" s="7">
        <v>1.1499999999999999</v>
      </c>
      <c r="F838"/>
      <c r="G838"/>
      <c r="H838"/>
      <c r="I838"/>
      <c r="J838"/>
      <c r="K838"/>
      <c r="L838"/>
      <c r="M838"/>
      <c r="N838"/>
      <c r="O838"/>
      <c r="P838"/>
      <c r="Q838"/>
    </row>
    <row r="839" spans="1:17" s="4" customFormat="1" ht="14.25" customHeight="1">
      <c r="A839" s="171" t="s">
        <v>3494</v>
      </c>
      <c r="B839" s="169">
        <f>40.4/5</f>
        <v>8.08</v>
      </c>
      <c r="C839" s="170" t="s">
        <v>3450</v>
      </c>
      <c r="D839" s="187">
        <v>5</v>
      </c>
      <c r="E839" s="7">
        <v>1.1499999999999999</v>
      </c>
      <c r="F839"/>
      <c r="G839"/>
      <c r="H839"/>
      <c r="I839"/>
      <c r="J839"/>
      <c r="K839"/>
      <c r="L839"/>
      <c r="M839"/>
      <c r="N839"/>
      <c r="O839"/>
      <c r="P839"/>
      <c r="Q839"/>
    </row>
    <row r="840" spans="1:17" ht="14.25" customHeight="1">
      <c r="A840" s="171" t="s">
        <v>3495</v>
      </c>
      <c r="B840" s="169">
        <f>58.3/5</f>
        <v>11.66</v>
      </c>
      <c r="C840" s="170" t="s">
        <v>3449</v>
      </c>
      <c r="D840" s="187">
        <v>5</v>
      </c>
      <c r="E840" s="7">
        <v>3</v>
      </c>
      <c r="F840"/>
      <c r="G840"/>
      <c r="H840"/>
      <c r="I840"/>
      <c r="J840"/>
      <c r="K840"/>
      <c r="L840"/>
      <c r="M840"/>
      <c r="N840"/>
      <c r="O840"/>
      <c r="P840"/>
      <c r="Q840"/>
    </row>
    <row r="841" spans="1:17" ht="14.25" customHeight="1">
      <c r="A841" s="171" t="s">
        <v>3496</v>
      </c>
      <c r="B841" s="169">
        <f>45.5/5</f>
        <v>9.1</v>
      </c>
      <c r="C841" s="170" t="s">
        <v>3430</v>
      </c>
      <c r="D841" s="187">
        <v>5</v>
      </c>
      <c r="E841" s="7">
        <v>1.1000000000000001</v>
      </c>
      <c r="F841"/>
      <c r="G841"/>
      <c r="H841"/>
      <c r="I841"/>
      <c r="J841"/>
      <c r="K841"/>
      <c r="L841"/>
      <c r="M841"/>
      <c r="N841"/>
      <c r="O841"/>
      <c r="P841"/>
      <c r="Q841"/>
    </row>
    <row r="842" spans="1:17" ht="14.25" customHeight="1">
      <c r="A842" s="171" t="s">
        <v>3497</v>
      </c>
      <c r="B842" s="169">
        <f>48.6/5</f>
        <v>9.7200000000000006</v>
      </c>
      <c r="C842" s="170" t="s">
        <v>3467</v>
      </c>
      <c r="D842" s="187">
        <v>5</v>
      </c>
      <c r="E842" s="7">
        <v>0.63</v>
      </c>
      <c r="F842"/>
      <c r="G842"/>
      <c r="H842"/>
      <c r="I842"/>
      <c r="J842"/>
      <c r="K842"/>
      <c r="L842"/>
      <c r="M842"/>
      <c r="N842"/>
      <c r="O842"/>
      <c r="P842"/>
      <c r="Q842"/>
    </row>
    <row r="843" spans="1:17" ht="14.25" customHeight="1">
      <c r="A843" s="171" t="s">
        <v>3498</v>
      </c>
      <c r="B843" s="169">
        <f>87.5/5</f>
        <v>17.5</v>
      </c>
      <c r="C843" s="177" t="s">
        <v>3452</v>
      </c>
      <c r="D843" s="187">
        <v>5</v>
      </c>
      <c r="E843" s="7">
        <v>2.5</v>
      </c>
      <c r="F843"/>
      <c r="G843"/>
      <c r="H843"/>
      <c r="I843"/>
      <c r="J843"/>
      <c r="K843"/>
      <c r="L843"/>
      <c r="M843"/>
      <c r="N843"/>
      <c r="O843"/>
      <c r="P843"/>
      <c r="Q843"/>
    </row>
    <row r="844" spans="1:17" s="4" customFormat="1" ht="14.25" customHeight="1">
      <c r="A844" s="171" t="s">
        <v>3499</v>
      </c>
      <c r="B844" s="169">
        <f>80.5/5</f>
        <v>16.100000000000001</v>
      </c>
      <c r="C844" s="177" t="s">
        <v>3451</v>
      </c>
      <c r="D844" s="187">
        <v>5</v>
      </c>
      <c r="E844" s="7">
        <v>2.5</v>
      </c>
      <c r="F844"/>
      <c r="G844"/>
      <c r="H844"/>
      <c r="I844"/>
      <c r="J844"/>
      <c r="K844"/>
      <c r="L844"/>
      <c r="M844"/>
      <c r="N844"/>
      <c r="O844"/>
      <c r="P844"/>
      <c r="Q844"/>
    </row>
    <row r="845" spans="1:17" ht="14.25" customHeight="1">
      <c r="A845" s="175" t="s">
        <v>3941</v>
      </c>
      <c r="B845" s="169">
        <f>50.9/5</f>
        <v>10.18</v>
      </c>
      <c r="C845" s="170" t="s">
        <v>3446</v>
      </c>
      <c r="D845" s="187">
        <v>5</v>
      </c>
      <c r="E845" s="7">
        <v>1.18</v>
      </c>
      <c r="F845"/>
      <c r="G845"/>
      <c r="H845"/>
      <c r="I845"/>
      <c r="J845"/>
      <c r="K845"/>
      <c r="L845"/>
      <c r="M845"/>
      <c r="N845"/>
      <c r="O845"/>
      <c r="P845"/>
      <c r="Q845"/>
    </row>
    <row r="846" spans="1:17" s="4" customFormat="1" ht="14.25" customHeight="1">
      <c r="A846" s="152" t="s">
        <v>3297</v>
      </c>
      <c r="B846" s="9">
        <v>58.3</v>
      </c>
      <c r="C846" s="7" t="s">
        <v>5886</v>
      </c>
      <c r="D846" s="187">
        <v>10</v>
      </c>
      <c r="E846" s="7">
        <v>2.2000000000000002</v>
      </c>
      <c r="F846" s="7"/>
      <c r="G846" s="7"/>
      <c r="H846" s="7"/>
      <c r="I846" s="7"/>
      <c r="J846" s="7"/>
      <c r="K846" s="7"/>
      <c r="L846" s="7"/>
      <c r="M846" s="7"/>
      <c r="N846" s="7"/>
      <c r="O846" s="7"/>
      <c r="P846" s="7"/>
      <c r="Q846" s="7"/>
    </row>
    <row r="847" spans="1:17" ht="14.25" customHeight="1">
      <c r="A847" s="152" t="s">
        <v>3298</v>
      </c>
      <c r="B847" s="9">
        <v>98.2</v>
      </c>
      <c r="C847" s="7" t="s">
        <v>5887</v>
      </c>
      <c r="D847" s="187">
        <v>10</v>
      </c>
      <c r="E847" s="7">
        <v>3.3</v>
      </c>
    </row>
    <row r="848" spans="1:17" ht="14.25" customHeight="1">
      <c r="A848" s="152" t="s">
        <v>3299</v>
      </c>
      <c r="B848" s="9">
        <v>50</v>
      </c>
      <c r="C848" s="7" t="s">
        <v>5888</v>
      </c>
      <c r="D848" s="187">
        <v>10</v>
      </c>
      <c r="E848" s="7">
        <v>2.5</v>
      </c>
    </row>
    <row r="849" spans="1:17" ht="14.25" customHeight="1">
      <c r="A849" s="171" t="s">
        <v>3551</v>
      </c>
      <c r="B849" s="169">
        <f>16.2/3</f>
        <v>5.3999999999999995</v>
      </c>
      <c r="C849" s="170" t="s">
        <v>3566</v>
      </c>
      <c r="D849" s="187">
        <v>3</v>
      </c>
      <c r="E849" s="7">
        <v>0.4</v>
      </c>
      <c r="F849"/>
      <c r="G849"/>
      <c r="H849"/>
      <c r="I849"/>
      <c r="J849"/>
      <c r="K849"/>
      <c r="L849"/>
      <c r="M849"/>
      <c r="N849"/>
      <c r="O849"/>
      <c r="P849"/>
      <c r="Q849"/>
    </row>
    <row r="850" spans="1:17" ht="14.25" customHeight="1">
      <c r="A850" s="175" t="s">
        <v>3936</v>
      </c>
      <c r="B850" s="169">
        <f>14.2/3</f>
        <v>4.7333333333333334</v>
      </c>
      <c r="C850" s="170" t="s">
        <v>3569</v>
      </c>
      <c r="D850" s="187">
        <v>3</v>
      </c>
      <c r="E850" s="7">
        <v>0.4</v>
      </c>
      <c r="F850"/>
      <c r="G850"/>
      <c r="H850"/>
      <c r="I850"/>
      <c r="J850"/>
      <c r="K850"/>
      <c r="L850"/>
      <c r="M850"/>
      <c r="N850"/>
      <c r="O850"/>
      <c r="P850"/>
      <c r="Q850"/>
    </row>
    <row r="851" spans="1:17" ht="14.25" customHeight="1">
      <c r="A851" s="175" t="s">
        <v>3937</v>
      </c>
      <c r="B851" s="169">
        <f>14.6/3</f>
        <v>4.8666666666666663</v>
      </c>
      <c r="C851" s="170" t="s">
        <v>3567</v>
      </c>
      <c r="D851" s="187">
        <v>3</v>
      </c>
      <c r="E851" s="7">
        <v>0.4</v>
      </c>
      <c r="F851"/>
      <c r="G851"/>
      <c r="H851"/>
      <c r="I851"/>
      <c r="J851"/>
      <c r="K851"/>
      <c r="L851"/>
      <c r="M851"/>
      <c r="N851"/>
      <c r="O851"/>
      <c r="P851"/>
      <c r="Q851"/>
    </row>
    <row r="852" spans="1:17" ht="14.25" customHeight="1">
      <c r="A852" s="175" t="s">
        <v>3938</v>
      </c>
      <c r="B852" s="169">
        <f>15.5/3</f>
        <v>5.166666666666667</v>
      </c>
      <c r="C852" s="170" t="s">
        <v>3568</v>
      </c>
      <c r="D852" s="187">
        <v>3</v>
      </c>
      <c r="E852" s="7">
        <v>0.4</v>
      </c>
      <c r="F852"/>
      <c r="G852"/>
      <c r="H852"/>
      <c r="I852"/>
      <c r="J852"/>
      <c r="K852"/>
      <c r="L852"/>
      <c r="M852"/>
      <c r="N852"/>
      <c r="O852"/>
      <c r="P852"/>
      <c r="Q852"/>
    </row>
    <row r="853" spans="1:17" ht="14.25" customHeight="1">
      <c r="A853" s="171" t="s">
        <v>3552</v>
      </c>
      <c r="B853" s="169">
        <f>20.7/3</f>
        <v>6.8999999999999995</v>
      </c>
      <c r="C853" s="170" t="s">
        <v>5889</v>
      </c>
      <c r="D853" s="187">
        <v>3</v>
      </c>
      <c r="E853" s="7">
        <v>1.5</v>
      </c>
      <c r="F853"/>
      <c r="G853"/>
      <c r="H853"/>
      <c r="I853"/>
      <c r="J853"/>
      <c r="K853"/>
      <c r="L853"/>
      <c r="M853"/>
      <c r="N853"/>
      <c r="O853"/>
      <c r="P853"/>
      <c r="Q853"/>
    </row>
    <row r="854" spans="1:17" ht="14.25" customHeight="1">
      <c r="A854" s="171" t="s">
        <v>3553</v>
      </c>
      <c r="B854" s="169">
        <f>24.9/3</f>
        <v>8.2999999999999989</v>
      </c>
      <c r="C854" s="170" t="s">
        <v>3464</v>
      </c>
      <c r="D854" s="187">
        <v>3</v>
      </c>
      <c r="E854" s="7">
        <v>1.8</v>
      </c>
      <c r="F854"/>
      <c r="G854"/>
      <c r="H854"/>
      <c r="I854"/>
      <c r="J854"/>
      <c r="K854"/>
      <c r="L854"/>
      <c r="M854"/>
      <c r="N854"/>
      <c r="O854"/>
      <c r="P854"/>
      <c r="Q854"/>
    </row>
    <row r="855" spans="1:17" ht="14.25" customHeight="1">
      <c r="A855" s="171" t="s">
        <v>3570</v>
      </c>
      <c r="B855" s="169">
        <v>36.299999999999997</v>
      </c>
      <c r="C855" s="170" t="s">
        <v>3877</v>
      </c>
      <c r="D855" s="187">
        <v>3</v>
      </c>
      <c r="E855" s="7">
        <v>0.9</v>
      </c>
      <c r="F855"/>
      <c r="G855"/>
      <c r="H855"/>
      <c r="I855"/>
      <c r="J855"/>
      <c r="K855"/>
      <c r="L855"/>
      <c r="M855"/>
      <c r="N855"/>
      <c r="O855"/>
      <c r="P855"/>
      <c r="Q855"/>
    </row>
    <row r="856" spans="1:17" ht="14.25" customHeight="1">
      <c r="A856" s="171" t="s">
        <v>3571</v>
      </c>
      <c r="B856" s="169">
        <f>66.7/5</f>
        <v>13.34</v>
      </c>
      <c r="C856" s="170" t="s">
        <v>3928</v>
      </c>
      <c r="D856" s="187">
        <v>5</v>
      </c>
      <c r="E856" s="7">
        <v>2</v>
      </c>
      <c r="F856"/>
      <c r="G856"/>
      <c r="H856"/>
      <c r="I856"/>
      <c r="J856"/>
      <c r="K856"/>
      <c r="L856"/>
      <c r="M856"/>
      <c r="N856"/>
      <c r="O856"/>
      <c r="P856"/>
      <c r="Q856"/>
    </row>
    <row r="857" spans="1:17" ht="14.25" customHeight="1">
      <c r="A857" s="171" t="s">
        <v>3572</v>
      </c>
      <c r="B857" s="169">
        <f>53.6/3</f>
        <v>17.866666666666667</v>
      </c>
      <c r="C857" s="170" t="s">
        <v>5993</v>
      </c>
      <c r="D857" s="187">
        <v>3</v>
      </c>
      <c r="E857" s="7">
        <v>2.2000000000000002</v>
      </c>
      <c r="F857"/>
      <c r="G857"/>
      <c r="H857"/>
      <c r="I857"/>
      <c r="J857"/>
      <c r="K857"/>
      <c r="L857"/>
      <c r="M857"/>
      <c r="N857"/>
      <c r="O857"/>
      <c r="P857"/>
      <c r="Q857"/>
    </row>
    <row r="858" spans="1:17" ht="14.25" customHeight="1">
      <c r="A858" s="171" t="s">
        <v>3573</v>
      </c>
      <c r="B858" s="169">
        <v>37.200000000000003</v>
      </c>
      <c r="C858" s="170" t="s">
        <v>3878</v>
      </c>
      <c r="D858" s="187">
        <v>3</v>
      </c>
      <c r="E858" s="7">
        <v>1.98</v>
      </c>
      <c r="F858"/>
      <c r="G858"/>
      <c r="H858"/>
      <c r="I858"/>
      <c r="J858"/>
      <c r="K858"/>
      <c r="L858"/>
      <c r="M858"/>
      <c r="N858"/>
      <c r="O858"/>
      <c r="P858"/>
      <c r="Q858"/>
    </row>
    <row r="859" spans="1:17" ht="14.25" customHeight="1">
      <c r="A859" s="171" t="s">
        <v>3535</v>
      </c>
      <c r="B859" s="169">
        <f>6.7/3</f>
        <v>2.2333333333333334</v>
      </c>
      <c r="C859" s="173" t="s">
        <v>6002</v>
      </c>
      <c r="D859" s="187">
        <v>3</v>
      </c>
      <c r="E859" s="7">
        <v>1.4</v>
      </c>
      <c r="F859"/>
      <c r="G859"/>
      <c r="H859"/>
      <c r="I859"/>
      <c r="J859"/>
      <c r="K859"/>
      <c r="L859"/>
      <c r="M859"/>
      <c r="N859"/>
      <c r="O859"/>
      <c r="P859"/>
      <c r="Q859"/>
    </row>
    <row r="860" spans="1:17" ht="14.25" customHeight="1">
      <c r="A860" s="171" t="s">
        <v>3536</v>
      </c>
      <c r="B860" s="169">
        <f>6.7/3</f>
        <v>2.2333333333333334</v>
      </c>
      <c r="C860" s="173" t="s">
        <v>3944</v>
      </c>
      <c r="D860" s="187">
        <v>3</v>
      </c>
      <c r="E860" s="7">
        <v>1.4</v>
      </c>
      <c r="F860"/>
      <c r="G860"/>
      <c r="H860"/>
      <c r="I860"/>
      <c r="J860"/>
      <c r="K860"/>
      <c r="L860"/>
      <c r="M860"/>
      <c r="N860"/>
      <c r="O860"/>
      <c r="P860"/>
      <c r="Q860"/>
    </row>
    <row r="861" spans="1:17" ht="14.25" customHeight="1">
      <c r="A861" s="171" t="s">
        <v>3537</v>
      </c>
      <c r="B861" s="169">
        <f>21.6/3</f>
        <v>7.2</v>
      </c>
      <c r="C861" s="173" t="s">
        <v>3945</v>
      </c>
      <c r="D861" s="187">
        <v>3</v>
      </c>
      <c r="E861" s="7">
        <v>0.7</v>
      </c>
      <c r="F861"/>
      <c r="G861"/>
      <c r="H861"/>
      <c r="I861"/>
      <c r="J861"/>
      <c r="K861"/>
      <c r="L861"/>
      <c r="M861"/>
      <c r="N861"/>
      <c r="O861"/>
      <c r="P861"/>
      <c r="Q861"/>
    </row>
    <row r="862" spans="1:17" ht="14.25" customHeight="1">
      <c r="A862" s="171" t="s">
        <v>3538</v>
      </c>
      <c r="B862" s="169">
        <f>21.6/3</f>
        <v>7.2</v>
      </c>
      <c r="C862" s="173" t="s">
        <v>3946</v>
      </c>
      <c r="D862" s="187">
        <v>3</v>
      </c>
      <c r="E862" s="7">
        <v>0.7</v>
      </c>
      <c r="F862"/>
      <c r="G862"/>
      <c r="H862"/>
      <c r="I862"/>
      <c r="J862"/>
      <c r="K862"/>
      <c r="L862"/>
      <c r="M862"/>
      <c r="N862"/>
      <c r="O862"/>
      <c r="P862"/>
      <c r="Q862"/>
    </row>
    <row r="863" spans="1:17" ht="14.25" customHeight="1">
      <c r="A863" s="171" t="s">
        <v>3539</v>
      </c>
      <c r="B863" s="169">
        <f>18.6/3</f>
        <v>6.2</v>
      </c>
      <c r="C863" s="170" t="s">
        <v>3947</v>
      </c>
      <c r="D863" s="187">
        <v>3</v>
      </c>
      <c r="E863" s="7">
        <v>0.3</v>
      </c>
      <c r="F863"/>
      <c r="G863"/>
      <c r="H863"/>
      <c r="I863"/>
      <c r="J863"/>
      <c r="K863"/>
      <c r="L863"/>
      <c r="M863"/>
      <c r="N863"/>
      <c r="O863"/>
      <c r="P863"/>
      <c r="Q863"/>
    </row>
    <row r="864" spans="1:17" ht="14.25" customHeight="1">
      <c r="A864" s="171" t="s">
        <v>3540</v>
      </c>
      <c r="B864" s="169">
        <v>5.4</v>
      </c>
      <c r="C864" s="170" t="s">
        <v>3948</v>
      </c>
      <c r="D864" s="187">
        <v>3</v>
      </c>
      <c r="E864" s="7">
        <v>0.21</v>
      </c>
      <c r="F864"/>
      <c r="G864"/>
      <c r="H864"/>
      <c r="I864"/>
      <c r="J864"/>
      <c r="K864"/>
      <c r="L864"/>
      <c r="M864"/>
      <c r="N864"/>
      <c r="O864"/>
      <c r="P864"/>
      <c r="Q864"/>
    </row>
    <row r="865" spans="1:17" ht="14.25" customHeight="1">
      <c r="A865" s="171" t="s">
        <v>3541</v>
      </c>
      <c r="B865" s="169">
        <v>16.2</v>
      </c>
      <c r="C865" s="173" t="s">
        <v>3949</v>
      </c>
      <c r="D865" s="187">
        <v>3</v>
      </c>
      <c r="E865" s="7">
        <v>3</v>
      </c>
      <c r="F865"/>
      <c r="G865"/>
      <c r="H865"/>
      <c r="I865"/>
      <c r="J865"/>
      <c r="K865"/>
      <c r="L865"/>
      <c r="M865"/>
      <c r="N865"/>
      <c r="O865"/>
      <c r="P865"/>
      <c r="Q865"/>
    </row>
    <row r="866" spans="1:17" ht="14.25" customHeight="1">
      <c r="A866" s="171" t="s">
        <v>3542</v>
      </c>
      <c r="B866" s="169">
        <v>16.2</v>
      </c>
      <c r="C866" s="173" t="s">
        <v>3950</v>
      </c>
      <c r="D866" s="187">
        <v>3</v>
      </c>
      <c r="E866" s="7">
        <v>3</v>
      </c>
      <c r="F866"/>
      <c r="G866"/>
      <c r="H866"/>
      <c r="I866"/>
      <c r="J866"/>
      <c r="K866"/>
      <c r="L866"/>
      <c r="M866"/>
      <c r="N866"/>
      <c r="O866"/>
      <c r="P866"/>
      <c r="Q866"/>
    </row>
    <row r="867" spans="1:17" ht="14.25" customHeight="1">
      <c r="A867" s="171" t="s">
        <v>3543</v>
      </c>
      <c r="B867" s="169">
        <v>11.1</v>
      </c>
      <c r="C867" s="173" t="s">
        <v>3952</v>
      </c>
      <c r="D867" s="187">
        <v>3</v>
      </c>
      <c r="E867" s="7">
        <v>1.5</v>
      </c>
      <c r="F867"/>
      <c r="G867"/>
      <c r="H867"/>
      <c r="I867"/>
      <c r="J867"/>
      <c r="K867"/>
      <c r="L867"/>
      <c r="M867"/>
      <c r="N867"/>
      <c r="O867"/>
      <c r="P867"/>
      <c r="Q867"/>
    </row>
    <row r="868" spans="1:17" ht="14.25" customHeight="1">
      <c r="A868" s="171" t="s">
        <v>3544</v>
      </c>
      <c r="B868" s="169">
        <v>11</v>
      </c>
      <c r="C868" s="173" t="s">
        <v>3953</v>
      </c>
      <c r="D868" s="187">
        <v>3</v>
      </c>
      <c r="E868" s="7">
        <v>1.5</v>
      </c>
      <c r="F868"/>
      <c r="G868"/>
      <c r="H868"/>
      <c r="I868"/>
      <c r="J868"/>
      <c r="K868"/>
      <c r="L868"/>
      <c r="M868"/>
      <c r="N868"/>
      <c r="O868"/>
      <c r="P868"/>
      <c r="Q868"/>
    </row>
    <row r="869" spans="1:17" s="4" customFormat="1" ht="14.25" customHeight="1">
      <c r="A869" s="171" t="s">
        <v>3545</v>
      </c>
      <c r="B869" s="169">
        <v>10.199999999999999</v>
      </c>
      <c r="C869" s="173" t="s">
        <v>3954</v>
      </c>
      <c r="D869" s="187">
        <v>3</v>
      </c>
      <c r="E869" s="7">
        <v>3.3</v>
      </c>
      <c r="F869"/>
      <c r="G869"/>
      <c r="H869"/>
      <c r="I869"/>
      <c r="J869"/>
      <c r="K869"/>
      <c r="L869"/>
      <c r="M869"/>
      <c r="N869"/>
      <c r="O869"/>
      <c r="P869"/>
      <c r="Q869"/>
    </row>
    <row r="870" spans="1:17" ht="14.25" customHeight="1">
      <c r="A870" s="171" t="s">
        <v>3546</v>
      </c>
      <c r="B870" s="169">
        <v>10.199999999999999</v>
      </c>
      <c r="C870" s="173" t="s">
        <v>3955</v>
      </c>
      <c r="D870" s="187">
        <v>3</v>
      </c>
      <c r="E870" s="7">
        <v>3.3</v>
      </c>
      <c r="F870"/>
      <c r="G870"/>
      <c r="H870"/>
      <c r="I870"/>
      <c r="J870"/>
      <c r="K870"/>
      <c r="L870"/>
      <c r="M870"/>
      <c r="N870"/>
      <c r="O870"/>
      <c r="P870"/>
      <c r="Q870"/>
    </row>
    <row r="871" spans="1:17" ht="14.25" customHeight="1">
      <c r="A871" s="171" t="s">
        <v>3547</v>
      </c>
      <c r="B871" s="169">
        <v>12.8</v>
      </c>
      <c r="C871" s="173" t="s">
        <v>3973</v>
      </c>
      <c r="D871" s="187">
        <v>3</v>
      </c>
      <c r="E871" s="7">
        <v>3.2</v>
      </c>
      <c r="F871"/>
      <c r="G871"/>
      <c r="H871"/>
      <c r="I871"/>
      <c r="J871"/>
      <c r="K871"/>
      <c r="L871"/>
      <c r="M871"/>
      <c r="N871"/>
      <c r="O871"/>
      <c r="P871"/>
      <c r="Q871"/>
    </row>
    <row r="872" spans="1:17" ht="14.25" customHeight="1">
      <c r="A872" s="171" t="s">
        <v>3548</v>
      </c>
      <c r="B872" s="169">
        <v>12.6</v>
      </c>
      <c r="C872" s="173" t="s">
        <v>3974</v>
      </c>
      <c r="D872" s="187">
        <v>3</v>
      </c>
      <c r="E872" s="7">
        <v>3.2</v>
      </c>
      <c r="F872"/>
      <c r="G872"/>
      <c r="H872"/>
      <c r="I872"/>
      <c r="J872"/>
      <c r="K872"/>
      <c r="L872"/>
      <c r="M872"/>
      <c r="N872"/>
      <c r="O872"/>
      <c r="P872"/>
      <c r="Q872"/>
    </row>
    <row r="873" spans="1:17" ht="14.25" customHeight="1">
      <c r="A873" s="171" t="s">
        <v>3549</v>
      </c>
      <c r="B873" s="169">
        <v>7</v>
      </c>
      <c r="C873" s="173" t="s">
        <v>3957</v>
      </c>
      <c r="D873" s="187">
        <v>3</v>
      </c>
      <c r="E873" s="7">
        <v>3</v>
      </c>
      <c r="F873"/>
      <c r="G873"/>
      <c r="H873"/>
      <c r="I873"/>
      <c r="J873"/>
      <c r="K873"/>
      <c r="L873"/>
      <c r="M873"/>
      <c r="N873"/>
      <c r="O873"/>
      <c r="P873"/>
      <c r="Q873"/>
    </row>
    <row r="874" spans="1:17" ht="14.25" customHeight="1">
      <c r="A874" s="171" t="s">
        <v>3550</v>
      </c>
      <c r="B874" s="169">
        <v>6.6</v>
      </c>
      <c r="C874" s="173" t="s">
        <v>3958</v>
      </c>
      <c r="D874" s="187">
        <v>3</v>
      </c>
      <c r="E874" s="7">
        <v>3</v>
      </c>
      <c r="F874"/>
      <c r="G874"/>
      <c r="H874"/>
      <c r="I874"/>
      <c r="J874"/>
      <c r="K874"/>
      <c r="L874"/>
      <c r="M874"/>
      <c r="N874"/>
      <c r="O874"/>
      <c r="P874"/>
      <c r="Q874"/>
    </row>
    <row r="875" spans="1:17" ht="14.25" customHeight="1">
      <c r="A875" s="171" t="s">
        <v>3959</v>
      </c>
      <c r="B875" s="169">
        <v>6.7</v>
      </c>
      <c r="C875" s="173" t="s">
        <v>3967</v>
      </c>
      <c r="D875" s="187">
        <v>3</v>
      </c>
      <c r="E875" s="7">
        <v>2.2000000000000002</v>
      </c>
      <c r="F875"/>
      <c r="G875"/>
      <c r="H875"/>
      <c r="I875"/>
      <c r="J875"/>
      <c r="K875"/>
      <c r="L875"/>
      <c r="M875"/>
      <c r="N875"/>
      <c r="O875"/>
      <c r="P875"/>
      <c r="Q875"/>
    </row>
    <row r="876" spans="1:17" ht="14.25" customHeight="1">
      <c r="A876" s="171" t="s">
        <v>3960</v>
      </c>
      <c r="B876" s="169">
        <v>6.6</v>
      </c>
      <c r="C876" s="173" t="s">
        <v>3968</v>
      </c>
      <c r="D876" s="187">
        <v>3</v>
      </c>
      <c r="E876" s="7">
        <v>2.2000000000000002</v>
      </c>
      <c r="F876"/>
      <c r="G876"/>
      <c r="H876"/>
      <c r="I876"/>
      <c r="J876"/>
      <c r="K876"/>
      <c r="L876"/>
      <c r="M876"/>
      <c r="N876"/>
      <c r="O876"/>
      <c r="P876"/>
      <c r="Q876"/>
    </row>
    <row r="877" spans="1:17" ht="14.25" customHeight="1">
      <c r="A877" s="171" t="s">
        <v>3962</v>
      </c>
      <c r="B877" s="169">
        <v>8.8000000000000007</v>
      </c>
      <c r="C877" s="173" t="s">
        <v>3969</v>
      </c>
      <c r="D877" s="187">
        <v>3</v>
      </c>
      <c r="E877" s="7">
        <v>3.2</v>
      </c>
      <c r="F877"/>
      <c r="G877"/>
      <c r="H877"/>
      <c r="I877"/>
      <c r="J877"/>
      <c r="K877"/>
      <c r="L877"/>
      <c r="M877"/>
      <c r="N877"/>
      <c r="O877"/>
      <c r="P877"/>
      <c r="Q877"/>
    </row>
    <row r="878" spans="1:17" ht="14.25" customHeight="1">
      <c r="A878" s="171" t="s">
        <v>3963</v>
      </c>
      <c r="B878" s="169">
        <v>8.8000000000000007</v>
      </c>
      <c r="C878" s="173" t="s">
        <v>3970</v>
      </c>
      <c r="D878" s="187">
        <v>3</v>
      </c>
      <c r="E878" s="7">
        <v>3.2</v>
      </c>
      <c r="F878"/>
      <c r="G878"/>
      <c r="H878"/>
      <c r="I878"/>
      <c r="J878"/>
      <c r="K878"/>
      <c r="L878"/>
      <c r="M878"/>
      <c r="N878"/>
      <c r="O878"/>
      <c r="P878"/>
      <c r="Q878"/>
    </row>
    <row r="879" spans="1:17" ht="14.25" customHeight="1">
      <c r="A879" s="171" t="s">
        <v>3964</v>
      </c>
      <c r="B879" s="169">
        <v>11.2</v>
      </c>
      <c r="C879" s="173" t="s">
        <v>3971</v>
      </c>
      <c r="D879" s="187">
        <v>3</v>
      </c>
      <c r="E879" s="7">
        <v>1.3</v>
      </c>
      <c r="F879"/>
      <c r="G879"/>
      <c r="H879"/>
      <c r="I879"/>
      <c r="J879"/>
      <c r="K879"/>
      <c r="L879"/>
      <c r="M879"/>
      <c r="N879"/>
      <c r="O879"/>
      <c r="P879"/>
      <c r="Q879"/>
    </row>
    <row r="880" spans="1:17" ht="14.25" customHeight="1">
      <c r="A880" s="171" t="s">
        <v>3965</v>
      </c>
      <c r="B880" s="169">
        <v>11.1</v>
      </c>
      <c r="C880" s="173" t="s">
        <v>3972</v>
      </c>
      <c r="D880" s="187">
        <v>3</v>
      </c>
      <c r="E880" s="7">
        <v>1.3</v>
      </c>
      <c r="F880"/>
      <c r="G880"/>
      <c r="H880"/>
      <c r="I880"/>
      <c r="J880"/>
      <c r="K880"/>
      <c r="L880"/>
      <c r="M880"/>
      <c r="N880"/>
      <c r="O880"/>
      <c r="P880"/>
      <c r="Q880"/>
    </row>
    <row r="881" spans="1:17" ht="14.25" customHeight="1">
      <c r="A881" s="171" t="s">
        <v>3977</v>
      </c>
      <c r="B881" s="169">
        <v>7.7</v>
      </c>
      <c r="C881" s="173" t="s">
        <v>3975</v>
      </c>
      <c r="D881" s="187">
        <v>3</v>
      </c>
      <c r="E881" s="7">
        <v>0.65</v>
      </c>
      <c r="F881"/>
      <c r="G881"/>
      <c r="H881"/>
      <c r="I881"/>
      <c r="J881"/>
      <c r="K881"/>
      <c r="L881"/>
      <c r="M881"/>
      <c r="N881"/>
      <c r="O881"/>
      <c r="P881"/>
      <c r="Q881"/>
    </row>
    <row r="882" spans="1:17" ht="14.25" customHeight="1">
      <c r="A882" s="171" t="s">
        <v>3978</v>
      </c>
      <c r="B882" s="169">
        <v>7.5</v>
      </c>
      <c r="C882" s="173" t="s">
        <v>3976</v>
      </c>
      <c r="D882" s="187">
        <v>3</v>
      </c>
      <c r="E882" s="7">
        <v>0.65</v>
      </c>
      <c r="F882"/>
      <c r="G882"/>
      <c r="H882"/>
      <c r="I882"/>
      <c r="J882"/>
      <c r="K882"/>
      <c r="L882"/>
      <c r="M882"/>
      <c r="N882"/>
      <c r="O882"/>
      <c r="P882"/>
      <c r="Q882"/>
    </row>
    <row r="883" spans="1:17" ht="14.25" customHeight="1">
      <c r="A883" s="171" t="s">
        <v>3979</v>
      </c>
      <c r="B883" s="169">
        <v>12.8</v>
      </c>
      <c r="C883" s="170" t="s">
        <v>5987</v>
      </c>
      <c r="D883" s="187">
        <v>3</v>
      </c>
      <c r="E883" s="7">
        <v>0.45</v>
      </c>
      <c r="F883"/>
      <c r="G883"/>
      <c r="H883"/>
      <c r="I883"/>
      <c r="J883"/>
      <c r="K883"/>
      <c r="L883"/>
      <c r="M883"/>
      <c r="N883"/>
      <c r="O883"/>
      <c r="P883"/>
      <c r="Q883"/>
    </row>
    <row r="884" spans="1:17" ht="14.25" customHeight="1">
      <c r="A884" s="171" t="s">
        <v>3980</v>
      </c>
      <c r="B884" s="169">
        <v>14.2</v>
      </c>
      <c r="C884" s="170" t="s">
        <v>3983</v>
      </c>
      <c r="D884" s="187">
        <v>3</v>
      </c>
      <c r="E884" s="7">
        <v>0.36</v>
      </c>
      <c r="F884"/>
      <c r="G884"/>
      <c r="H884"/>
      <c r="I884"/>
      <c r="J884"/>
      <c r="K884"/>
      <c r="L884"/>
      <c r="M884"/>
      <c r="N884"/>
      <c r="O884"/>
      <c r="P884"/>
      <c r="Q884"/>
    </row>
    <row r="885" spans="1:17" ht="14.25" customHeight="1">
      <c r="A885" s="171" t="s">
        <v>3981</v>
      </c>
      <c r="B885" s="169">
        <v>9.3000000000000007</v>
      </c>
      <c r="C885" s="170" t="s">
        <v>3984</v>
      </c>
      <c r="D885" s="187">
        <v>3</v>
      </c>
      <c r="E885" s="7">
        <v>0.23</v>
      </c>
      <c r="F885"/>
      <c r="G885"/>
      <c r="H885"/>
      <c r="I885"/>
      <c r="J885"/>
      <c r="K885"/>
      <c r="L885"/>
      <c r="M885"/>
      <c r="N885"/>
      <c r="O885"/>
      <c r="P885"/>
      <c r="Q885"/>
    </row>
    <row r="886" spans="1:17" ht="14.25" customHeight="1">
      <c r="A886" s="171" t="s">
        <v>3562</v>
      </c>
      <c r="B886" s="169">
        <f>24.5/3</f>
        <v>8.1666666666666661</v>
      </c>
      <c r="C886" s="170" t="s">
        <v>3939</v>
      </c>
      <c r="D886" s="187">
        <v>3</v>
      </c>
      <c r="E886" s="7">
        <v>0.55000000000000004</v>
      </c>
      <c r="F886"/>
      <c r="G886"/>
      <c r="H886"/>
      <c r="I886"/>
      <c r="J886"/>
      <c r="K886"/>
      <c r="L886"/>
      <c r="M886"/>
      <c r="N886"/>
      <c r="O886"/>
      <c r="P886"/>
      <c r="Q886"/>
    </row>
    <row r="887" spans="1:17" ht="14.25" customHeight="1">
      <c r="A887" s="171" t="s">
        <v>3563</v>
      </c>
      <c r="B887" s="169">
        <f>35.9/3</f>
        <v>11.966666666666667</v>
      </c>
      <c r="C887" s="170" t="s">
        <v>3873</v>
      </c>
      <c r="D887" s="187">
        <v>3</v>
      </c>
      <c r="E887" s="7">
        <v>0.8</v>
      </c>
      <c r="F887"/>
      <c r="G887"/>
      <c r="H887"/>
      <c r="I887"/>
      <c r="J887"/>
      <c r="K887"/>
      <c r="L887"/>
      <c r="M887"/>
      <c r="N887"/>
      <c r="O887"/>
      <c r="P887"/>
      <c r="Q887"/>
    </row>
    <row r="888" spans="1:17" ht="14.25" customHeight="1">
      <c r="A888" s="171" t="s">
        <v>3564</v>
      </c>
      <c r="B888" s="169">
        <f>49.3/3</f>
        <v>16.433333333333334</v>
      </c>
      <c r="C888" s="170" t="s">
        <v>3874</v>
      </c>
      <c r="D888" s="187">
        <v>3</v>
      </c>
      <c r="E888" s="7">
        <v>1.6</v>
      </c>
      <c r="F888"/>
      <c r="G888"/>
      <c r="H888"/>
      <c r="I888"/>
      <c r="J888"/>
      <c r="K888"/>
      <c r="L888"/>
      <c r="M888"/>
      <c r="N888"/>
      <c r="O888"/>
      <c r="P888"/>
      <c r="Q888"/>
    </row>
    <row r="889" spans="1:17" ht="14.25" customHeight="1">
      <c r="A889" s="171" t="s">
        <v>3565</v>
      </c>
      <c r="B889" s="169">
        <v>67.900000000000006</v>
      </c>
      <c r="C889" s="170" t="s">
        <v>3872</v>
      </c>
      <c r="D889" s="187">
        <v>3</v>
      </c>
      <c r="E889" s="7">
        <v>1.1000000000000001</v>
      </c>
      <c r="F889"/>
      <c r="G889"/>
      <c r="H889"/>
      <c r="I889"/>
      <c r="J889"/>
      <c r="K889"/>
      <c r="L889"/>
      <c r="M889"/>
      <c r="N889"/>
      <c r="O889"/>
      <c r="P889"/>
      <c r="Q889"/>
    </row>
    <row r="890" spans="1:17" ht="14.25" customHeight="1">
      <c r="A890" s="171" t="s">
        <v>3576</v>
      </c>
      <c r="B890" s="169">
        <f>30.7/5</f>
        <v>6.14</v>
      </c>
      <c r="C890" s="170" t="s">
        <v>3468</v>
      </c>
      <c r="D890" s="187">
        <v>5</v>
      </c>
      <c r="E890" s="7">
        <v>0.8</v>
      </c>
      <c r="F890"/>
      <c r="G890"/>
      <c r="H890"/>
      <c r="I890"/>
      <c r="J890"/>
      <c r="K890"/>
      <c r="L890"/>
      <c r="M890"/>
      <c r="N890"/>
      <c r="O890"/>
      <c r="P890"/>
      <c r="Q890"/>
    </row>
    <row r="891" spans="1:17" ht="14.25" customHeight="1">
      <c r="A891" s="171" t="s">
        <v>3577</v>
      </c>
      <c r="B891" s="169">
        <f>31.3/5</f>
        <v>6.26</v>
      </c>
      <c r="C891" s="170" t="s">
        <v>3469</v>
      </c>
      <c r="D891" s="187">
        <v>5</v>
      </c>
      <c r="E891" s="7">
        <v>0.45</v>
      </c>
      <c r="F891"/>
      <c r="G891"/>
      <c r="H891"/>
      <c r="I891"/>
      <c r="J891"/>
      <c r="K891"/>
      <c r="L891"/>
      <c r="M891"/>
      <c r="N891"/>
      <c r="O891"/>
      <c r="P891"/>
      <c r="Q891"/>
    </row>
    <row r="892" spans="1:17" ht="14.25" customHeight="1">
      <c r="A892" s="171" t="s">
        <v>3578</v>
      </c>
      <c r="B892" s="169">
        <v>50.1</v>
      </c>
      <c r="C892" s="170" t="s">
        <v>3871</v>
      </c>
      <c r="D892" s="187">
        <v>3</v>
      </c>
      <c r="E892" s="7">
        <v>1.1000000000000001</v>
      </c>
      <c r="F892"/>
      <c r="G892"/>
      <c r="H892"/>
      <c r="I892"/>
      <c r="J892"/>
      <c r="K892"/>
      <c r="L892"/>
      <c r="M892"/>
      <c r="N892"/>
      <c r="O892"/>
      <c r="P892"/>
      <c r="Q892"/>
    </row>
    <row r="893" spans="1:17" ht="14.25" customHeight="1">
      <c r="A893" s="171" t="s">
        <v>3579</v>
      </c>
      <c r="B893" s="169">
        <f>38.1/5</f>
        <v>7.62</v>
      </c>
      <c r="C893" s="170" t="s">
        <v>3477</v>
      </c>
      <c r="D893" s="187">
        <v>5</v>
      </c>
      <c r="E893" s="7">
        <v>0.5</v>
      </c>
      <c r="F893"/>
      <c r="G893"/>
      <c r="H893"/>
      <c r="I893"/>
      <c r="J893"/>
      <c r="K893"/>
      <c r="L893"/>
      <c r="M893"/>
      <c r="N893"/>
      <c r="O893"/>
      <c r="P893"/>
      <c r="Q893"/>
    </row>
    <row r="894" spans="1:17" ht="14.25" customHeight="1">
      <c r="A894" s="171" t="s">
        <v>3580</v>
      </c>
      <c r="B894" s="169">
        <f>37.4/5</f>
        <v>7.4799999999999995</v>
      </c>
      <c r="C894" s="170" t="s">
        <v>3438</v>
      </c>
      <c r="D894" s="187">
        <v>5</v>
      </c>
      <c r="E894" s="7">
        <v>0.85</v>
      </c>
      <c r="F894"/>
      <c r="G894"/>
      <c r="H894"/>
      <c r="I894"/>
      <c r="J894"/>
      <c r="K894"/>
      <c r="L894"/>
      <c r="M894"/>
      <c r="N894"/>
      <c r="O894"/>
      <c r="P894"/>
      <c r="Q894"/>
    </row>
    <row r="895" spans="1:17" ht="14.25" customHeight="1">
      <c r="A895" s="171" t="s">
        <v>3581</v>
      </c>
      <c r="B895" s="169">
        <f>34.8/5</f>
        <v>6.9599999999999991</v>
      </c>
      <c r="C895" s="170" t="s">
        <v>3437</v>
      </c>
      <c r="D895" s="187">
        <v>5</v>
      </c>
      <c r="E895" s="7">
        <v>0.46</v>
      </c>
      <c r="F895"/>
      <c r="G895"/>
      <c r="H895"/>
      <c r="I895"/>
      <c r="J895"/>
      <c r="K895"/>
      <c r="L895"/>
      <c r="M895"/>
      <c r="N895"/>
      <c r="O895"/>
      <c r="P895"/>
      <c r="Q895"/>
    </row>
    <row r="896" spans="1:17" ht="14.25" customHeight="1">
      <c r="A896" s="171" t="s">
        <v>3582</v>
      </c>
      <c r="B896" s="169">
        <f>52.2/10</f>
        <v>5.2200000000000006</v>
      </c>
      <c r="C896" s="173" t="s">
        <v>3415</v>
      </c>
      <c r="D896" s="187">
        <v>10</v>
      </c>
      <c r="E896" s="7">
        <v>0.33</v>
      </c>
      <c r="F896"/>
      <c r="G896"/>
      <c r="H896"/>
      <c r="I896"/>
      <c r="J896"/>
      <c r="K896"/>
      <c r="L896"/>
      <c r="M896"/>
      <c r="N896"/>
      <c r="O896"/>
      <c r="P896"/>
      <c r="Q896"/>
    </row>
    <row r="897" spans="1:17" ht="14.25" customHeight="1">
      <c r="A897" s="171" t="s">
        <v>3583</v>
      </c>
      <c r="B897" s="169">
        <f>31.2/5</f>
        <v>6.24</v>
      </c>
      <c r="C897" s="170" t="s">
        <v>3414</v>
      </c>
      <c r="D897" s="187">
        <v>5</v>
      </c>
      <c r="E897" s="7">
        <v>1</v>
      </c>
      <c r="F897"/>
      <c r="G897"/>
      <c r="H897"/>
      <c r="I897"/>
      <c r="J897"/>
      <c r="K897"/>
      <c r="L897"/>
      <c r="M897"/>
      <c r="N897"/>
      <c r="O897"/>
      <c r="P897"/>
      <c r="Q897"/>
    </row>
    <row r="898" spans="1:17" ht="14.25" customHeight="1">
      <c r="A898" s="171" t="s">
        <v>3584</v>
      </c>
      <c r="B898" s="169">
        <f>29.1/5</f>
        <v>5.82</v>
      </c>
      <c r="C898" s="170" t="s">
        <v>3406</v>
      </c>
      <c r="D898" s="187">
        <v>5</v>
      </c>
      <c r="E898" s="7">
        <v>0.75</v>
      </c>
      <c r="F898"/>
      <c r="G898"/>
      <c r="H898"/>
      <c r="I898"/>
      <c r="J898"/>
      <c r="K898"/>
      <c r="L898"/>
      <c r="M898"/>
      <c r="N898"/>
      <c r="O898"/>
      <c r="P898"/>
      <c r="Q898"/>
    </row>
    <row r="899" spans="1:17" ht="14.25" customHeight="1">
      <c r="A899" s="175" t="s">
        <v>3985</v>
      </c>
      <c r="B899" s="169">
        <f>157.3/5</f>
        <v>31.46</v>
      </c>
      <c r="C899" s="177" t="s">
        <v>3987</v>
      </c>
      <c r="D899" s="187">
        <v>5</v>
      </c>
      <c r="E899" s="7">
        <v>2.1</v>
      </c>
      <c r="F899"/>
      <c r="G899"/>
      <c r="H899"/>
      <c r="I899"/>
      <c r="J899"/>
      <c r="K899"/>
      <c r="L899"/>
      <c r="M899"/>
      <c r="N899"/>
      <c r="O899"/>
      <c r="P899"/>
      <c r="Q899"/>
    </row>
    <row r="900" spans="1:17" ht="14.25" customHeight="1">
      <c r="A900" s="175" t="s">
        <v>3988</v>
      </c>
      <c r="B900" s="169">
        <f>91.5/3</f>
        <v>30.5</v>
      </c>
      <c r="C900" s="177" t="s">
        <v>3986</v>
      </c>
      <c r="D900" s="187">
        <v>3</v>
      </c>
      <c r="E900" s="7">
        <v>1.4</v>
      </c>
      <c r="F900"/>
      <c r="G900"/>
      <c r="H900"/>
      <c r="I900"/>
      <c r="J900"/>
      <c r="K900"/>
      <c r="L900"/>
      <c r="M900"/>
      <c r="N900"/>
      <c r="O900"/>
      <c r="P900"/>
      <c r="Q900"/>
    </row>
    <row r="901" spans="1:17" ht="14.25" customHeight="1">
      <c r="A901" s="175" t="s">
        <v>3990</v>
      </c>
      <c r="B901" s="169">
        <f>172.1/5</f>
        <v>34.42</v>
      </c>
      <c r="C901" s="177" t="s">
        <v>3989</v>
      </c>
      <c r="D901" s="187">
        <v>5</v>
      </c>
      <c r="E901" s="7">
        <v>3.3</v>
      </c>
      <c r="F901"/>
      <c r="G901"/>
      <c r="H901"/>
      <c r="I901"/>
      <c r="J901"/>
      <c r="K901"/>
      <c r="L901"/>
      <c r="M901"/>
      <c r="N901"/>
      <c r="O901"/>
      <c r="P901"/>
      <c r="Q901"/>
    </row>
    <row r="902" spans="1:17" ht="14.25" customHeight="1">
      <c r="A902" s="175" t="s">
        <v>3992</v>
      </c>
      <c r="B902" s="169">
        <f>157/5</f>
        <v>31.4</v>
      </c>
      <c r="C902" s="177" t="s">
        <v>3991</v>
      </c>
      <c r="D902" s="187">
        <v>5</v>
      </c>
      <c r="E902" s="7">
        <v>2.2000000000000002</v>
      </c>
      <c r="F902"/>
      <c r="G902"/>
      <c r="H902"/>
      <c r="I902"/>
      <c r="J902"/>
      <c r="K902"/>
      <c r="L902"/>
      <c r="M902"/>
      <c r="N902"/>
      <c r="O902"/>
      <c r="P902"/>
      <c r="Q902"/>
    </row>
    <row r="903" spans="1:17" ht="14.25" customHeight="1">
      <c r="A903" s="175" t="s">
        <v>3994</v>
      </c>
      <c r="B903" s="169">
        <f>92.8/3</f>
        <v>30.933333333333334</v>
      </c>
      <c r="C903" s="177" t="s">
        <v>3993</v>
      </c>
      <c r="D903" s="187">
        <v>3</v>
      </c>
      <c r="E903" s="7">
        <v>1.38</v>
      </c>
      <c r="F903"/>
      <c r="G903"/>
      <c r="H903"/>
      <c r="I903"/>
      <c r="J903"/>
      <c r="K903"/>
      <c r="L903"/>
      <c r="M903"/>
      <c r="N903"/>
      <c r="O903"/>
      <c r="P903"/>
      <c r="Q903"/>
    </row>
    <row r="904" spans="1:17" ht="14.25" customHeight="1">
      <c r="A904" s="175" t="s">
        <v>3996</v>
      </c>
      <c r="B904" s="169">
        <f>151.8/5</f>
        <v>30.360000000000003</v>
      </c>
      <c r="C904" s="177" t="s">
        <v>3999</v>
      </c>
      <c r="D904" s="187">
        <v>5</v>
      </c>
      <c r="E904" s="7">
        <v>1.5</v>
      </c>
      <c r="F904"/>
      <c r="G904"/>
      <c r="H904"/>
      <c r="I904"/>
      <c r="J904"/>
      <c r="K904"/>
      <c r="L904"/>
      <c r="M904"/>
      <c r="N904"/>
      <c r="O904"/>
      <c r="P904"/>
      <c r="Q904"/>
    </row>
    <row r="905" spans="1:17" ht="14.25" customHeight="1">
      <c r="A905" s="175" t="s">
        <v>4001</v>
      </c>
      <c r="B905" s="169">
        <f>195.2/6</f>
        <v>32.533333333333331</v>
      </c>
      <c r="C905" s="173" t="s">
        <v>3995</v>
      </c>
      <c r="D905" s="187">
        <v>3</v>
      </c>
      <c r="E905" s="7">
        <v>2.2000000000000002</v>
      </c>
      <c r="F905"/>
      <c r="G905"/>
      <c r="H905"/>
      <c r="I905"/>
      <c r="J905"/>
      <c r="K905"/>
      <c r="L905"/>
      <c r="M905"/>
      <c r="N905"/>
      <c r="O905"/>
      <c r="P905"/>
      <c r="Q905"/>
    </row>
    <row r="906" spans="1:17" ht="14.25" customHeight="1">
      <c r="A906" s="175" t="s">
        <v>4002</v>
      </c>
      <c r="B906" s="169">
        <f>168.3/5</f>
        <v>33.660000000000004</v>
      </c>
      <c r="C906" s="170" t="s">
        <v>3478</v>
      </c>
      <c r="D906" s="187">
        <v>5</v>
      </c>
      <c r="E906" s="7">
        <v>2.7</v>
      </c>
      <c r="F906"/>
      <c r="G906"/>
      <c r="H906"/>
      <c r="I906"/>
      <c r="J906"/>
      <c r="K906"/>
      <c r="L906"/>
      <c r="M906"/>
      <c r="N906"/>
      <c r="O906"/>
      <c r="P906"/>
      <c r="Q906"/>
    </row>
    <row r="907" spans="1:17" ht="14.25" customHeight="1">
      <c r="A907" s="171" t="s">
        <v>3515</v>
      </c>
      <c r="B907" s="169">
        <v>8.5</v>
      </c>
      <c r="C907" s="170" t="s">
        <v>3424</v>
      </c>
      <c r="D907" s="187">
        <v>5</v>
      </c>
      <c r="E907" s="7">
        <v>0.75</v>
      </c>
      <c r="F907"/>
      <c r="G907"/>
      <c r="H907"/>
      <c r="I907"/>
      <c r="J907"/>
      <c r="K907"/>
      <c r="L907"/>
      <c r="M907"/>
      <c r="N907"/>
      <c r="O907"/>
      <c r="P907"/>
      <c r="Q907"/>
    </row>
    <row r="908" spans="1:17" ht="14.25" customHeight="1">
      <c r="A908" s="171" t="s">
        <v>3516</v>
      </c>
      <c r="B908" s="169">
        <v>8.1</v>
      </c>
      <c r="C908" s="170" t="s">
        <v>3411</v>
      </c>
      <c r="D908" s="187">
        <v>5</v>
      </c>
      <c r="E908" s="7">
        <v>0.86</v>
      </c>
      <c r="F908"/>
      <c r="G908"/>
      <c r="H908"/>
      <c r="I908"/>
      <c r="J908"/>
      <c r="K908"/>
      <c r="L908"/>
      <c r="M908"/>
      <c r="N908"/>
      <c r="O908"/>
      <c r="P908"/>
      <c r="Q908"/>
    </row>
    <row r="909" spans="1:17" ht="14.25" customHeight="1">
      <c r="A909" s="171" t="s">
        <v>3517</v>
      </c>
      <c r="B909" s="169">
        <v>24.2</v>
      </c>
      <c r="C909" s="170" t="s">
        <v>3472</v>
      </c>
      <c r="D909" s="187">
        <v>3</v>
      </c>
      <c r="E909" s="7">
        <v>0.88</v>
      </c>
      <c r="F909"/>
      <c r="G909"/>
      <c r="H909"/>
      <c r="I909"/>
      <c r="J909"/>
      <c r="K909"/>
      <c r="L909"/>
      <c r="M909"/>
      <c r="N909"/>
      <c r="O909"/>
      <c r="P909"/>
      <c r="Q909"/>
    </row>
    <row r="910" spans="1:17" ht="14.25" customHeight="1">
      <c r="A910" s="171" t="s">
        <v>3518</v>
      </c>
      <c r="B910" s="169">
        <v>66</v>
      </c>
      <c r="C910" s="170" t="s">
        <v>3926</v>
      </c>
      <c r="D910" s="187">
        <v>3</v>
      </c>
      <c r="E910" s="7">
        <v>1.82</v>
      </c>
      <c r="F910"/>
      <c r="G910"/>
      <c r="H910"/>
      <c r="I910"/>
      <c r="J910"/>
      <c r="K910"/>
      <c r="L910"/>
      <c r="M910"/>
      <c r="N910"/>
      <c r="O910"/>
      <c r="P910"/>
      <c r="Q910"/>
    </row>
    <row r="911" spans="1:17" ht="14.25" customHeight="1">
      <c r="A911" s="171" t="s">
        <v>3519</v>
      </c>
      <c r="B911" s="169">
        <v>49.5</v>
      </c>
      <c r="C911" s="170" t="s">
        <v>3924</v>
      </c>
      <c r="D911" s="187">
        <v>3</v>
      </c>
      <c r="E911" s="7">
        <v>2.5</v>
      </c>
      <c r="F911"/>
      <c r="G911"/>
      <c r="H911"/>
      <c r="I911"/>
      <c r="J911"/>
      <c r="K911"/>
      <c r="L911"/>
      <c r="M911"/>
      <c r="N911"/>
      <c r="O911"/>
      <c r="P911"/>
      <c r="Q911"/>
    </row>
    <row r="912" spans="1:17" ht="14.25" customHeight="1">
      <c r="A912" s="171" t="s">
        <v>3520</v>
      </c>
      <c r="B912" s="169">
        <v>71</v>
      </c>
      <c r="C912" s="170" t="s">
        <v>3925</v>
      </c>
      <c r="D912" s="187">
        <v>3</v>
      </c>
      <c r="E912" s="7">
        <v>1.6</v>
      </c>
      <c r="F912"/>
      <c r="G912"/>
      <c r="H912"/>
      <c r="I912"/>
      <c r="J912"/>
      <c r="K912"/>
      <c r="L912"/>
      <c r="M912"/>
      <c r="N912"/>
      <c r="O912"/>
      <c r="P912"/>
      <c r="Q912"/>
    </row>
    <row r="913" spans="1:17" ht="14.25" customHeight="1">
      <c r="A913" s="115">
        <v>352.01</v>
      </c>
      <c r="B913" s="9">
        <v>55</v>
      </c>
      <c r="C913" s="7" t="s">
        <v>4183</v>
      </c>
      <c r="D913" s="187">
        <v>20</v>
      </c>
      <c r="E913" s="7">
        <v>2.8</v>
      </c>
    </row>
    <row r="914" spans="1:17" ht="14.25" customHeight="1">
      <c r="A914" s="115">
        <v>352.02</v>
      </c>
      <c r="B914" s="9">
        <v>81.5</v>
      </c>
      <c r="C914" s="79" t="s">
        <v>4184</v>
      </c>
      <c r="D914" s="187">
        <v>40</v>
      </c>
      <c r="E914" s="7">
        <f>(3.5+4)/2</f>
        <v>3.75</v>
      </c>
    </row>
    <row r="915" spans="1:17" s="4" customFormat="1" ht="14.25" customHeight="1">
      <c r="A915" s="115">
        <v>352.03</v>
      </c>
      <c r="B915" s="9">
        <v>63</v>
      </c>
      <c r="C915" s="7" t="s">
        <v>4185</v>
      </c>
      <c r="D915" s="187">
        <v>20</v>
      </c>
      <c r="E915" s="7">
        <v>3.5</v>
      </c>
      <c r="F915" s="7"/>
      <c r="G915" s="7"/>
      <c r="H915" s="7"/>
      <c r="I915" s="7"/>
      <c r="J915" s="7"/>
      <c r="K915" s="7"/>
      <c r="L915" s="7"/>
      <c r="M915" s="7"/>
      <c r="N915" s="7"/>
      <c r="O915" s="7"/>
      <c r="P915" s="7"/>
    </row>
    <row r="916" spans="1:17" ht="14.25" customHeight="1">
      <c r="A916" s="115">
        <v>352.04</v>
      </c>
      <c r="B916" s="9">
        <v>73</v>
      </c>
      <c r="C916" s="7" t="s">
        <v>4186</v>
      </c>
      <c r="D916" s="187">
        <v>20</v>
      </c>
      <c r="E916" s="7">
        <v>4</v>
      </c>
    </row>
    <row r="917" spans="1:17" s="4" customFormat="1" ht="14.25" customHeight="1">
      <c r="A917" s="115">
        <v>352.05</v>
      </c>
      <c r="B917" s="9">
        <v>72</v>
      </c>
      <c r="C917" s="7" t="s">
        <v>4187</v>
      </c>
      <c r="D917" s="187">
        <v>20</v>
      </c>
      <c r="E917" s="7">
        <v>3.5</v>
      </c>
      <c r="F917" s="7"/>
      <c r="G917" s="7"/>
      <c r="H917" s="7"/>
      <c r="I917" s="7"/>
      <c r="J917" s="7"/>
      <c r="K917" s="7"/>
      <c r="L917" s="7"/>
      <c r="M917" s="7"/>
      <c r="N917" s="7"/>
      <c r="O917" s="7"/>
      <c r="P917" s="7"/>
      <c r="Q917" s="7"/>
    </row>
    <row r="918" spans="1:17" ht="14.25" customHeight="1">
      <c r="A918" s="115">
        <v>352.06</v>
      </c>
      <c r="B918" s="9">
        <v>64.5</v>
      </c>
      <c r="C918" s="7" t="s">
        <v>4188</v>
      </c>
      <c r="D918" s="187">
        <v>20</v>
      </c>
      <c r="E918" s="7">
        <v>2.6</v>
      </c>
    </row>
    <row r="919" spans="1:17" ht="14.25" customHeight="1">
      <c r="A919" s="128">
        <v>352.07</v>
      </c>
      <c r="B919" s="9">
        <v>50</v>
      </c>
      <c r="C919" s="7" t="s">
        <v>4189</v>
      </c>
      <c r="D919" s="187">
        <v>39</v>
      </c>
      <c r="E919" s="7">
        <v>3.3</v>
      </c>
    </row>
    <row r="920" spans="1:17" ht="14.25" customHeight="1">
      <c r="A920" s="128">
        <v>352.08</v>
      </c>
      <c r="B920" s="9">
        <v>49</v>
      </c>
      <c r="C920" s="105" t="s">
        <v>4190</v>
      </c>
      <c r="D920" s="187">
        <v>20</v>
      </c>
      <c r="E920" s="7">
        <v>2.98</v>
      </c>
    </row>
    <row r="921" spans="1:17" ht="14.25" customHeight="1">
      <c r="A921" s="152" t="s">
        <v>3136</v>
      </c>
      <c r="B921" s="9">
        <v>17</v>
      </c>
      <c r="C921" s="7" t="s">
        <v>4191</v>
      </c>
      <c r="D921" s="187">
        <v>3</v>
      </c>
      <c r="E921" s="7">
        <v>0.64</v>
      </c>
    </row>
    <row r="922" spans="1:17" ht="14.25" customHeight="1">
      <c r="A922" s="152" t="s">
        <v>3137</v>
      </c>
      <c r="B922" s="9">
        <v>17</v>
      </c>
      <c r="C922" s="7" t="s">
        <v>4192</v>
      </c>
      <c r="D922" s="187">
        <v>3</v>
      </c>
      <c r="E922" s="7">
        <v>0.64</v>
      </c>
    </row>
    <row r="923" spans="1:17" ht="14.25" customHeight="1">
      <c r="A923" s="152" t="s">
        <v>3138</v>
      </c>
      <c r="B923" s="9">
        <v>17</v>
      </c>
      <c r="C923" s="7" t="s">
        <v>4193</v>
      </c>
      <c r="D923" s="187">
        <v>3</v>
      </c>
      <c r="E923" s="7">
        <v>0.64</v>
      </c>
    </row>
    <row r="924" spans="1:17" ht="14.25" customHeight="1">
      <c r="A924" s="152" t="s">
        <v>3139</v>
      </c>
      <c r="B924" s="9">
        <v>17</v>
      </c>
      <c r="C924" s="7" t="s">
        <v>4194</v>
      </c>
      <c r="D924" s="187">
        <v>3</v>
      </c>
      <c r="E924" s="7">
        <v>0.64</v>
      </c>
    </row>
    <row r="925" spans="1:17" ht="14.25" customHeight="1">
      <c r="A925" s="152" t="s">
        <v>3140</v>
      </c>
      <c r="B925" s="9">
        <v>17</v>
      </c>
      <c r="C925" s="7" t="s">
        <v>4195</v>
      </c>
      <c r="D925" s="187">
        <v>3</v>
      </c>
      <c r="E925" s="7">
        <v>0.64</v>
      </c>
    </row>
    <row r="926" spans="1:17" ht="14.25" customHeight="1">
      <c r="A926" s="152" t="s">
        <v>3141</v>
      </c>
      <c r="B926" s="9">
        <v>17</v>
      </c>
      <c r="C926" s="7" t="s">
        <v>4196</v>
      </c>
      <c r="D926" s="187">
        <v>3</v>
      </c>
      <c r="E926" s="7">
        <v>0.64</v>
      </c>
      <c r="Q926" s="4"/>
    </row>
    <row r="927" spans="1:17" ht="14.25" customHeight="1">
      <c r="A927" s="152" t="s">
        <v>3142</v>
      </c>
      <c r="B927" s="9">
        <v>17</v>
      </c>
      <c r="C927" s="7" t="s">
        <v>4197</v>
      </c>
      <c r="D927" s="190">
        <v>5</v>
      </c>
      <c r="E927" s="7">
        <v>0.64</v>
      </c>
    </row>
    <row r="928" spans="1:17" ht="14.25" customHeight="1">
      <c r="A928" s="171" t="s">
        <v>3585</v>
      </c>
      <c r="B928" s="169">
        <f>24.9/3</f>
        <v>8.2999999999999989</v>
      </c>
      <c r="C928" s="170" t="s">
        <v>3929</v>
      </c>
      <c r="D928" s="187">
        <v>3</v>
      </c>
      <c r="E928" s="7">
        <v>1.45</v>
      </c>
      <c r="F928"/>
      <c r="G928"/>
      <c r="H928"/>
      <c r="I928"/>
      <c r="J928"/>
      <c r="K928"/>
      <c r="L928"/>
      <c r="M928"/>
      <c r="N928"/>
      <c r="O928"/>
      <c r="P928"/>
      <c r="Q928"/>
    </row>
    <row r="929" spans="1:17" ht="14.25" customHeight="1">
      <c r="A929" s="171" t="s">
        <v>3586</v>
      </c>
      <c r="B929" s="169">
        <f>25.2/3</f>
        <v>8.4</v>
      </c>
      <c r="C929" s="170" t="s">
        <v>3930</v>
      </c>
      <c r="D929" s="187">
        <v>3</v>
      </c>
      <c r="E929" s="7">
        <v>1.45</v>
      </c>
      <c r="F929"/>
      <c r="G929"/>
      <c r="H929"/>
      <c r="I929"/>
      <c r="J929"/>
      <c r="K929"/>
      <c r="L929"/>
      <c r="M929"/>
      <c r="N929"/>
      <c r="O929"/>
      <c r="P929"/>
      <c r="Q929"/>
    </row>
    <row r="930" spans="1:17" ht="14.25" customHeight="1">
      <c r="A930" s="171" t="s">
        <v>3587</v>
      </c>
      <c r="B930" s="196">
        <f>30.7/3</f>
        <v>10.233333333333333</v>
      </c>
      <c r="C930" s="170" t="s">
        <v>3931</v>
      </c>
      <c r="D930" s="187">
        <v>3</v>
      </c>
      <c r="E930" s="7">
        <v>1.45</v>
      </c>
      <c r="F930"/>
      <c r="G930"/>
      <c r="H930"/>
      <c r="I930"/>
      <c r="J930"/>
      <c r="K930"/>
      <c r="L930"/>
      <c r="M930"/>
      <c r="N930"/>
      <c r="O930"/>
      <c r="P930"/>
      <c r="Q930"/>
    </row>
    <row r="931" spans="1:17" ht="14.25" customHeight="1">
      <c r="A931" s="171" t="s">
        <v>3588</v>
      </c>
      <c r="B931" s="196">
        <f>24.7/3</f>
        <v>8.2333333333333325</v>
      </c>
      <c r="C931" s="170" t="s">
        <v>3428</v>
      </c>
      <c r="D931" s="187">
        <v>3</v>
      </c>
      <c r="E931" s="7">
        <v>1.6</v>
      </c>
      <c r="F931"/>
      <c r="G931"/>
      <c r="H931"/>
      <c r="I931"/>
      <c r="J931"/>
      <c r="K931"/>
      <c r="L931"/>
      <c r="M931"/>
      <c r="N931"/>
      <c r="O931"/>
      <c r="P931"/>
      <c r="Q931"/>
    </row>
    <row r="932" spans="1:17" ht="14.25" customHeight="1">
      <c r="A932" s="171" t="s">
        <v>3589</v>
      </c>
      <c r="B932" s="169">
        <f>24.6/3</f>
        <v>8.2000000000000011</v>
      </c>
      <c r="C932" s="170" t="s">
        <v>3426</v>
      </c>
      <c r="D932" s="187">
        <v>3</v>
      </c>
      <c r="E932" s="7">
        <v>1.6</v>
      </c>
      <c r="F932"/>
      <c r="G932"/>
      <c r="H932"/>
      <c r="I932"/>
      <c r="J932"/>
      <c r="K932"/>
      <c r="L932"/>
      <c r="M932"/>
      <c r="N932"/>
      <c r="O932"/>
      <c r="P932"/>
      <c r="Q932"/>
    </row>
    <row r="933" spans="1:17" ht="14.25" customHeight="1">
      <c r="A933" s="171" t="s">
        <v>3590</v>
      </c>
      <c r="B933" s="197">
        <f>30.1/3</f>
        <v>10.033333333333333</v>
      </c>
      <c r="C933" s="170" t="s">
        <v>3427</v>
      </c>
      <c r="D933" s="187">
        <v>3</v>
      </c>
      <c r="E933" s="7">
        <v>1.5</v>
      </c>
      <c r="F933"/>
      <c r="G933"/>
      <c r="H933"/>
      <c r="I933"/>
      <c r="J933"/>
      <c r="K933"/>
      <c r="L933"/>
      <c r="M933"/>
      <c r="N933"/>
      <c r="O933"/>
      <c r="P933"/>
      <c r="Q933"/>
    </row>
    <row r="934" spans="1:17" ht="14.25" customHeight="1">
      <c r="A934" s="152" t="s">
        <v>3300</v>
      </c>
      <c r="B934" s="9">
        <f>7.8/10</f>
        <v>0.78</v>
      </c>
      <c r="C934" s="201" t="s">
        <v>5943</v>
      </c>
      <c r="D934" s="188">
        <v>1000</v>
      </c>
      <c r="E934" s="25">
        <f>27/1000</f>
        <v>2.7E-2</v>
      </c>
    </row>
    <row r="935" spans="1:17" ht="14.25" customHeight="1">
      <c r="A935" s="151" t="s">
        <v>3637</v>
      </c>
      <c r="B935" s="9">
        <v>6.9</v>
      </c>
      <c r="C935" s="201" t="s">
        <v>5944</v>
      </c>
      <c r="D935" s="188">
        <v>5</v>
      </c>
      <c r="E935" s="6">
        <v>1.2</v>
      </c>
    </row>
    <row r="936" spans="1:17" ht="14.25" customHeight="1">
      <c r="A936" s="151" t="s">
        <v>3301</v>
      </c>
      <c r="B936" s="9">
        <v>9.1</v>
      </c>
      <c r="C936" s="201" t="s">
        <v>5945</v>
      </c>
      <c r="D936" s="188">
        <v>5</v>
      </c>
      <c r="E936" s="6">
        <v>1.5</v>
      </c>
    </row>
    <row r="937" spans="1:17" ht="14.25" customHeight="1">
      <c r="A937" s="151" t="s">
        <v>3302</v>
      </c>
      <c r="B937" s="9">
        <v>7.7</v>
      </c>
      <c r="C937" s="201" t="s">
        <v>5946</v>
      </c>
      <c r="D937" s="188">
        <v>5</v>
      </c>
      <c r="E937" s="6">
        <v>0.4</v>
      </c>
    </row>
    <row r="938" spans="1:17" ht="14.25" customHeight="1">
      <c r="A938" s="151" t="s">
        <v>3303</v>
      </c>
      <c r="B938" s="9">
        <v>12.7</v>
      </c>
      <c r="C938" s="201" t="s">
        <v>5947</v>
      </c>
      <c r="D938" s="188">
        <v>5</v>
      </c>
      <c r="E938" s="6">
        <v>1.3</v>
      </c>
    </row>
    <row r="939" spans="1:17" ht="14.25" customHeight="1">
      <c r="A939" s="151" t="s">
        <v>3304</v>
      </c>
      <c r="B939" s="9">
        <v>20.8</v>
      </c>
      <c r="C939" s="201" t="s">
        <v>5948</v>
      </c>
      <c r="D939" s="188">
        <v>5</v>
      </c>
      <c r="E939" s="6">
        <v>2.5</v>
      </c>
      <c r="Q939" s="4"/>
    </row>
    <row r="940" spans="1:17" ht="14.25" customHeight="1">
      <c r="A940" s="151" t="s">
        <v>3305</v>
      </c>
      <c r="B940" s="9">
        <v>16.100000000000001</v>
      </c>
      <c r="C940" s="201" t="s">
        <v>5949</v>
      </c>
      <c r="D940" s="188">
        <v>5</v>
      </c>
      <c r="E940" s="6">
        <v>2</v>
      </c>
    </row>
    <row r="941" spans="1:17" ht="14.25" customHeight="1">
      <c r="A941" s="151" t="s">
        <v>3306</v>
      </c>
      <c r="B941" s="9">
        <v>31.4</v>
      </c>
      <c r="C941" s="201" t="s">
        <v>5950</v>
      </c>
      <c r="D941" s="188">
        <v>5</v>
      </c>
      <c r="E941" s="6">
        <v>2.9</v>
      </c>
    </row>
    <row r="942" spans="1:17" ht="14.25" customHeight="1">
      <c r="A942" s="151" t="s">
        <v>3307</v>
      </c>
      <c r="B942" s="9">
        <v>7.2</v>
      </c>
      <c r="C942" s="201" t="s">
        <v>5952</v>
      </c>
      <c r="D942" s="188">
        <v>5</v>
      </c>
      <c r="E942" s="6">
        <v>0.6</v>
      </c>
    </row>
    <row r="943" spans="1:17" ht="14.25" customHeight="1">
      <c r="A943" s="151" t="s">
        <v>3638</v>
      </c>
      <c r="B943" s="9">
        <f>42.7-6.6</f>
        <v>36.1</v>
      </c>
      <c r="C943" s="201" t="s">
        <v>5953</v>
      </c>
      <c r="D943" s="188">
        <v>5</v>
      </c>
      <c r="E943" s="6">
        <v>4</v>
      </c>
    </row>
    <row r="944" spans="1:17" ht="14.25" customHeight="1">
      <c r="A944" s="194" t="s">
        <v>3755</v>
      </c>
      <c r="B944" s="9">
        <v>4.3</v>
      </c>
      <c r="C944" s="31" t="s">
        <v>3856</v>
      </c>
      <c r="D944" s="187">
        <v>5</v>
      </c>
      <c r="E944" s="7">
        <v>0.8</v>
      </c>
      <c r="F944"/>
      <c r="G944"/>
      <c r="H944"/>
      <c r="I944"/>
      <c r="J944"/>
      <c r="K944"/>
      <c r="L944"/>
      <c r="M944"/>
      <c r="N944"/>
      <c r="O944"/>
      <c r="P944"/>
      <c r="Q944"/>
    </row>
    <row r="945" spans="1:17" ht="14.25" customHeight="1">
      <c r="A945" s="194" t="s">
        <v>3756</v>
      </c>
      <c r="B945" s="9">
        <v>3.9</v>
      </c>
      <c r="C945" s="161" t="s">
        <v>3695</v>
      </c>
      <c r="D945" s="187">
        <v>5</v>
      </c>
      <c r="E945" s="7">
        <v>0.32</v>
      </c>
      <c r="F945"/>
      <c r="G945"/>
      <c r="H945"/>
      <c r="I945"/>
      <c r="J945"/>
      <c r="K945"/>
      <c r="L945"/>
      <c r="M945"/>
      <c r="N945"/>
      <c r="O945"/>
      <c r="P945"/>
      <c r="Q945"/>
    </row>
    <row r="946" spans="1:17" ht="14.25" customHeight="1">
      <c r="A946" s="194" t="s">
        <v>3757</v>
      </c>
      <c r="B946" s="9">
        <v>4.4000000000000004</v>
      </c>
      <c r="C946" s="161" t="s">
        <v>3684</v>
      </c>
      <c r="D946" s="187">
        <v>50</v>
      </c>
      <c r="E946" s="7">
        <v>0.28999999999999998</v>
      </c>
      <c r="F946"/>
      <c r="G946"/>
      <c r="H946"/>
      <c r="I946"/>
      <c r="J946"/>
      <c r="K946"/>
      <c r="L946"/>
      <c r="M946"/>
      <c r="N946"/>
      <c r="O946"/>
      <c r="P946"/>
      <c r="Q946"/>
    </row>
    <row r="947" spans="1:17" ht="14.25" customHeight="1">
      <c r="A947" s="194" t="s">
        <v>3758</v>
      </c>
      <c r="B947" s="9">
        <v>2.7</v>
      </c>
      <c r="C947" s="161" t="s">
        <v>3750</v>
      </c>
      <c r="D947" s="187">
        <v>10</v>
      </c>
      <c r="E947" s="7">
        <v>0.5</v>
      </c>
      <c r="F947"/>
      <c r="G947"/>
      <c r="H947"/>
      <c r="I947"/>
      <c r="J947"/>
      <c r="K947"/>
      <c r="L947"/>
      <c r="M947"/>
      <c r="N947"/>
      <c r="O947"/>
      <c r="P947"/>
      <c r="Q947"/>
    </row>
    <row r="948" spans="1:17" ht="14.25" customHeight="1">
      <c r="A948" s="194" t="s">
        <v>3759</v>
      </c>
      <c r="B948" s="9">
        <v>4.5999999999999996</v>
      </c>
      <c r="C948" s="161" t="s">
        <v>3692</v>
      </c>
      <c r="D948" s="187">
        <v>5</v>
      </c>
      <c r="E948" s="7">
        <v>0.7</v>
      </c>
      <c r="F948"/>
      <c r="G948"/>
      <c r="H948"/>
      <c r="I948"/>
      <c r="J948"/>
      <c r="K948"/>
      <c r="L948"/>
      <c r="M948"/>
      <c r="N948"/>
      <c r="O948"/>
      <c r="P948"/>
      <c r="Q948"/>
    </row>
    <row r="949" spans="1:17" ht="14.25" customHeight="1">
      <c r="A949" s="194" t="s">
        <v>3760</v>
      </c>
      <c r="B949" s="9">
        <v>4.4000000000000004</v>
      </c>
      <c r="C949" s="161" t="s">
        <v>3687</v>
      </c>
      <c r="D949" s="187">
        <v>10</v>
      </c>
      <c r="E949" s="7">
        <v>0.22</v>
      </c>
      <c r="F949"/>
      <c r="G949"/>
      <c r="H949"/>
      <c r="I949"/>
      <c r="J949"/>
      <c r="K949"/>
      <c r="L949"/>
      <c r="M949"/>
      <c r="N949"/>
      <c r="O949"/>
      <c r="P949"/>
      <c r="Q949"/>
    </row>
    <row r="950" spans="1:17" ht="14.25" customHeight="1">
      <c r="A950" s="194" t="s">
        <v>3761</v>
      </c>
      <c r="B950" s="9">
        <v>4</v>
      </c>
      <c r="C950" s="161" t="s">
        <v>3688</v>
      </c>
      <c r="D950" s="187">
        <v>5</v>
      </c>
      <c r="E950" s="7">
        <v>0.65</v>
      </c>
      <c r="F950"/>
      <c r="G950"/>
      <c r="H950"/>
      <c r="I950"/>
      <c r="J950"/>
      <c r="K950"/>
      <c r="L950"/>
      <c r="M950"/>
      <c r="N950"/>
      <c r="O950"/>
      <c r="P950"/>
      <c r="Q950"/>
    </row>
    <row r="951" spans="1:17" ht="14.25" customHeight="1">
      <c r="A951" s="194" t="s">
        <v>3762</v>
      </c>
      <c r="B951" s="9">
        <v>6.8</v>
      </c>
      <c r="C951" s="161" t="s">
        <v>3685</v>
      </c>
      <c r="D951" s="187">
        <v>10</v>
      </c>
      <c r="E951" s="7">
        <v>0.94</v>
      </c>
      <c r="F951"/>
      <c r="G951"/>
      <c r="H951"/>
      <c r="I951"/>
      <c r="J951"/>
      <c r="K951"/>
      <c r="L951"/>
      <c r="M951"/>
      <c r="N951"/>
      <c r="O951"/>
      <c r="P951"/>
      <c r="Q951"/>
    </row>
    <row r="952" spans="1:17" ht="14.25" customHeight="1">
      <c r="A952" s="194" t="s">
        <v>3763</v>
      </c>
      <c r="B952" s="9">
        <v>7.7</v>
      </c>
      <c r="C952" s="161" t="s">
        <v>3699</v>
      </c>
      <c r="D952" s="187">
        <v>3</v>
      </c>
      <c r="E952" s="7">
        <v>1.9</v>
      </c>
      <c r="F952"/>
      <c r="G952"/>
      <c r="H952"/>
      <c r="I952"/>
      <c r="J952"/>
      <c r="K952"/>
      <c r="L952"/>
      <c r="M952"/>
      <c r="N952"/>
      <c r="O952"/>
      <c r="P952"/>
      <c r="Q952"/>
    </row>
    <row r="953" spans="1:17" ht="14.25" customHeight="1">
      <c r="A953" s="194" t="s">
        <v>3764</v>
      </c>
      <c r="B953" s="9">
        <v>3.3</v>
      </c>
      <c r="C953" s="161" t="s">
        <v>3749</v>
      </c>
      <c r="D953" s="187">
        <v>3</v>
      </c>
      <c r="E953" s="7">
        <v>1.2</v>
      </c>
      <c r="F953"/>
      <c r="G953"/>
      <c r="H953"/>
      <c r="I953"/>
      <c r="J953"/>
      <c r="K953"/>
      <c r="L953"/>
      <c r="M953"/>
      <c r="N953"/>
      <c r="O953"/>
      <c r="P953"/>
      <c r="Q953"/>
    </row>
    <row r="954" spans="1:17" ht="14.25" customHeight="1">
      <c r="A954" s="194" t="s">
        <v>3765</v>
      </c>
      <c r="B954" s="9">
        <v>6.6</v>
      </c>
      <c r="C954" s="161" t="s">
        <v>3689</v>
      </c>
      <c r="D954" s="187">
        <v>3</v>
      </c>
      <c r="E954" s="7">
        <v>1</v>
      </c>
      <c r="F954"/>
      <c r="G954"/>
      <c r="H954"/>
      <c r="I954"/>
      <c r="J954"/>
      <c r="K954"/>
      <c r="L954"/>
      <c r="M954"/>
      <c r="N954"/>
      <c r="O954"/>
      <c r="P954"/>
      <c r="Q954"/>
    </row>
    <row r="955" spans="1:17" customFormat="1" ht="14.25" customHeight="1">
      <c r="A955" s="194" t="s">
        <v>3766</v>
      </c>
      <c r="B955" s="9">
        <v>6.2</v>
      </c>
      <c r="C955" s="161" t="s">
        <v>3691</v>
      </c>
      <c r="D955" s="187">
        <v>3</v>
      </c>
      <c r="E955" s="7">
        <v>0.65</v>
      </c>
    </row>
    <row r="956" spans="1:17" customFormat="1" ht="14.25" customHeight="1">
      <c r="A956" s="194" t="s">
        <v>3767</v>
      </c>
      <c r="B956" s="9">
        <v>13.7</v>
      </c>
      <c r="C956" s="161" t="s">
        <v>3686</v>
      </c>
      <c r="D956" s="187">
        <v>3</v>
      </c>
      <c r="E956" s="7">
        <v>0.8</v>
      </c>
    </row>
    <row r="957" spans="1:17" customFormat="1" ht="14.25" customHeight="1">
      <c r="A957" s="194" t="s">
        <v>3768</v>
      </c>
      <c r="B957" s="9">
        <v>5.0999999999999996</v>
      </c>
      <c r="C957" s="161" t="s">
        <v>3751</v>
      </c>
      <c r="D957" s="187">
        <v>3</v>
      </c>
      <c r="E957" s="7">
        <v>1.5</v>
      </c>
    </row>
    <row r="958" spans="1:17" customFormat="1" ht="14.25" customHeight="1">
      <c r="A958" s="194" t="s">
        <v>3769</v>
      </c>
      <c r="B958" s="9">
        <v>7.2</v>
      </c>
      <c r="C958" s="161" t="s">
        <v>3698</v>
      </c>
      <c r="D958" s="187">
        <v>3</v>
      </c>
      <c r="E958" s="7">
        <v>1.5</v>
      </c>
    </row>
    <row r="959" spans="1:17" customFormat="1" ht="14.25" customHeight="1">
      <c r="A959" s="194" t="s">
        <v>3770</v>
      </c>
      <c r="B959" s="9">
        <v>7.3</v>
      </c>
      <c r="C959" s="161" t="s">
        <v>3696</v>
      </c>
      <c r="D959" s="187">
        <v>3</v>
      </c>
      <c r="E959" s="7">
        <v>0.59</v>
      </c>
    </row>
    <row r="960" spans="1:17" customFormat="1" ht="14.25" customHeight="1">
      <c r="A960" s="194" t="s">
        <v>3771</v>
      </c>
      <c r="B960" s="9">
        <v>9</v>
      </c>
      <c r="C960" s="161" t="s">
        <v>3694</v>
      </c>
      <c r="D960" s="188">
        <v>10</v>
      </c>
      <c r="E960" s="7">
        <v>0.89</v>
      </c>
    </row>
    <row r="961" spans="1:5" customFormat="1" ht="14.25" customHeight="1">
      <c r="A961" s="194" t="s">
        <v>3772</v>
      </c>
      <c r="B961" s="9">
        <v>14.1</v>
      </c>
      <c r="C961" s="161" t="s">
        <v>3690</v>
      </c>
      <c r="D961" s="187">
        <v>3</v>
      </c>
      <c r="E961" s="7">
        <v>1.8</v>
      </c>
    </row>
    <row r="962" spans="1:5" customFormat="1" ht="14.25" customHeight="1">
      <c r="A962" s="194" t="s">
        <v>3773</v>
      </c>
      <c r="B962" s="9">
        <v>8.9</v>
      </c>
      <c r="C962" s="161" t="s">
        <v>3697</v>
      </c>
      <c r="D962" s="187">
        <v>3</v>
      </c>
      <c r="E962" s="7">
        <v>1.6</v>
      </c>
    </row>
    <row r="963" spans="1:5" customFormat="1" ht="14.25" customHeight="1">
      <c r="A963" s="194" t="s">
        <v>3774</v>
      </c>
      <c r="B963" s="9">
        <v>6.8</v>
      </c>
      <c r="C963" s="161" t="s">
        <v>3693</v>
      </c>
      <c r="D963" s="187">
        <v>3</v>
      </c>
      <c r="E963" s="7">
        <v>0.8</v>
      </c>
    </row>
    <row r="964" spans="1:5" customFormat="1" ht="14.25" customHeight="1">
      <c r="A964" s="194" t="s">
        <v>3855</v>
      </c>
      <c r="B964" s="9">
        <v>5.9</v>
      </c>
      <c r="C964" s="161" t="s">
        <v>3674</v>
      </c>
      <c r="D964" s="187">
        <v>10</v>
      </c>
      <c r="E964" s="7">
        <v>0.45</v>
      </c>
    </row>
    <row r="965" spans="1:5" customFormat="1" ht="14.25" customHeight="1">
      <c r="A965" s="194" t="s">
        <v>3775</v>
      </c>
      <c r="B965" s="9">
        <v>4.8</v>
      </c>
      <c r="C965" s="31" t="s">
        <v>3857</v>
      </c>
      <c r="D965" s="187">
        <v>5</v>
      </c>
      <c r="E965" s="7">
        <v>0.8</v>
      </c>
    </row>
    <row r="966" spans="1:5" customFormat="1" ht="14.25" customHeight="1">
      <c r="A966" s="194" t="s">
        <v>3776</v>
      </c>
      <c r="B966" s="9">
        <v>3.5</v>
      </c>
      <c r="C966" s="161" t="s">
        <v>3669</v>
      </c>
      <c r="D966" s="187">
        <v>6</v>
      </c>
      <c r="E966" s="7">
        <v>0.2</v>
      </c>
    </row>
    <row r="967" spans="1:5" customFormat="1" ht="14.25" customHeight="1">
      <c r="A967" s="195" t="s">
        <v>3777</v>
      </c>
      <c r="B967" s="9">
        <v>5</v>
      </c>
      <c r="C967" s="162" t="s">
        <v>3708</v>
      </c>
      <c r="D967" s="187">
        <v>100</v>
      </c>
      <c r="E967" s="203">
        <v>0.3</v>
      </c>
    </row>
    <row r="968" spans="1:5" customFormat="1" ht="14.25" customHeight="1">
      <c r="A968" s="194" t="s">
        <v>3778</v>
      </c>
      <c r="B968" s="9">
        <v>7</v>
      </c>
      <c r="C968" s="161" t="s">
        <v>3673</v>
      </c>
      <c r="D968" s="187">
        <v>3</v>
      </c>
      <c r="E968" s="7">
        <v>1.3</v>
      </c>
    </row>
    <row r="969" spans="1:5" customFormat="1" ht="14.25" customHeight="1">
      <c r="A969" s="194" t="s">
        <v>3779</v>
      </c>
      <c r="B969" s="9">
        <v>3.2</v>
      </c>
      <c r="C969" s="161" t="s">
        <v>3675</v>
      </c>
      <c r="D969" s="187">
        <v>50</v>
      </c>
      <c r="E969" s="7">
        <v>0.22</v>
      </c>
    </row>
    <row r="970" spans="1:5" customFormat="1" ht="14.25" customHeight="1">
      <c r="A970" s="194" t="s">
        <v>3780</v>
      </c>
      <c r="B970" s="9">
        <v>4.9000000000000004</v>
      </c>
      <c r="C970" s="161" t="s">
        <v>3672</v>
      </c>
      <c r="D970" s="187">
        <v>5</v>
      </c>
      <c r="E970" s="7">
        <v>0.7</v>
      </c>
    </row>
    <row r="971" spans="1:5" customFormat="1" ht="14.25" customHeight="1">
      <c r="A971" s="195" t="s">
        <v>3781</v>
      </c>
      <c r="B971" s="9">
        <v>5</v>
      </c>
      <c r="C971" s="162" t="s">
        <v>3742</v>
      </c>
      <c r="D971" s="187">
        <v>100</v>
      </c>
      <c r="E971" s="203">
        <v>0.3</v>
      </c>
    </row>
    <row r="972" spans="1:5" customFormat="1" ht="14.25" customHeight="1">
      <c r="A972" s="195" t="s">
        <v>3782</v>
      </c>
      <c r="B972" s="9">
        <v>8</v>
      </c>
      <c r="C972" s="162" t="s">
        <v>3746</v>
      </c>
      <c r="D972" s="187">
        <v>100</v>
      </c>
      <c r="E972" s="203">
        <v>0.4</v>
      </c>
    </row>
    <row r="973" spans="1:5" customFormat="1" ht="14.25" customHeight="1">
      <c r="A973" s="194" t="s">
        <v>3783</v>
      </c>
      <c r="B973" s="9">
        <v>7.7</v>
      </c>
      <c r="C973" s="161" t="s">
        <v>3678</v>
      </c>
      <c r="D973" s="187">
        <v>5</v>
      </c>
      <c r="E973" s="7">
        <v>1.2</v>
      </c>
    </row>
    <row r="974" spans="1:5" customFormat="1" ht="14.25" customHeight="1">
      <c r="A974" s="194" t="s">
        <v>3784</v>
      </c>
      <c r="B974" s="9">
        <v>7.2</v>
      </c>
      <c r="C974" s="161" t="s">
        <v>3677</v>
      </c>
      <c r="D974" s="193">
        <v>5</v>
      </c>
      <c r="E974" s="7">
        <v>1.1000000000000001</v>
      </c>
    </row>
    <row r="975" spans="1:5" customFormat="1" ht="14.25" customHeight="1">
      <c r="A975" s="194" t="s">
        <v>3785</v>
      </c>
      <c r="B975" s="9">
        <v>7</v>
      </c>
      <c r="C975" s="161" t="s">
        <v>3668</v>
      </c>
      <c r="D975" s="187">
        <v>5</v>
      </c>
      <c r="E975" s="7">
        <v>0.5</v>
      </c>
    </row>
    <row r="976" spans="1:5" customFormat="1" ht="14.25" customHeight="1">
      <c r="A976" s="194" t="s">
        <v>3786</v>
      </c>
      <c r="B976" s="9">
        <v>6.2</v>
      </c>
      <c r="C976" s="161" t="s">
        <v>3680</v>
      </c>
      <c r="D976" s="187">
        <v>3</v>
      </c>
      <c r="E976" s="7">
        <v>1.3</v>
      </c>
    </row>
    <row r="977" spans="1:5" customFormat="1" ht="14.25" customHeight="1">
      <c r="A977" s="194" t="s">
        <v>3787</v>
      </c>
      <c r="B977" s="9">
        <v>7.2</v>
      </c>
      <c r="C977" s="161" t="s">
        <v>3681</v>
      </c>
      <c r="D977" s="187">
        <v>5</v>
      </c>
      <c r="E977" s="7">
        <v>1.1000000000000001</v>
      </c>
    </row>
    <row r="978" spans="1:5" customFormat="1" ht="14.25" customHeight="1">
      <c r="A978" s="194" t="s">
        <v>3788</v>
      </c>
      <c r="B978" s="9">
        <v>8.9</v>
      </c>
      <c r="C978" s="161" t="s">
        <v>3679</v>
      </c>
      <c r="D978" s="187">
        <v>3</v>
      </c>
      <c r="E978" s="7">
        <v>1.6</v>
      </c>
    </row>
    <row r="979" spans="1:5" customFormat="1" ht="14.25" customHeight="1">
      <c r="A979" s="194" t="s">
        <v>3789</v>
      </c>
      <c r="B979" s="9">
        <v>7.5</v>
      </c>
      <c r="C979" s="161" t="s">
        <v>3671</v>
      </c>
      <c r="D979" s="187">
        <v>3</v>
      </c>
      <c r="E979" s="7">
        <v>0.9</v>
      </c>
    </row>
    <row r="980" spans="1:5" customFormat="1" ht="14.25" customHeight="1">
      <c r="A980" s="194" t="s">
        <v>3790</v>
      </c>
      <c r="B980" s="9">
        <v>10.5</v>
      </c>
      <c r="C980" s="161" t="s">
        <v>3683</v>
      </c>
      <c r="D980" s="187">
        <v>10</v>
      </c>
      <c r="E980" s="7">
        <v>0.76</v>
      </c>
    </row>
    <row r="981" spans="1:5" customFormat="1" ht="14.25" customHeight="1">
      <c r="A981" s="194" t="s">
        <v>3791</v>
      </c>
      <c r="B981" s="9">
        <v>7.7</v>
      </c>
      <c r="C981" s="161" t="s">
        <v>3676</v>
      </c>
      <c r="D981" s="187">
        <v>5</v>
      </c>
      <c r="E981" s="7">
        <v>0.9</v>
      </c>
    </row>
    <row r="982" spans="1:5" customFormat="1" ht="14.25" customHeight="1">
      <c r="A982" s="194" t="s">
        <v>3792</v>
      </c>
      <c r="B982" s="9">
        <v>11</v>
      </c>
      <c r="C982" s="161" t="s">
        <v>3682</v>
      </c>
      <c r="D982" s="187">
        <v>3</v>
      </c>
      <c r="E982" s="7">
        <v>1.8</v>
      </c>
    </row>
    <row r="983" spans="1:5" customFormat="1" ht="14.25" customHeight="1">
      <c r="A983" s="194" t="s">
        <v>3793</v>
      </c>
      <c r="B983" s="9">
        <v>7.9</v>
      </c>
      <c r="C983" s="161" t="s">
        <v>3670</v>
      </c>
      <c r="D983" s="187">
        <v>3</v>
      </c>
      <c r="E983" s="7">
        <v>0.8</v>
      </c>
    </row>
    <row r="984" spans="1:5" customFormat="1" ht="14.25" customHeight="1">
      <c r="A984" s="195" t="s">
        <v>3794</v>
      </c>
      <c r="B984" s="9">
        <v>7</v>
      </c>
      <c r="C984" s="162" t="s">
        <v>3706</v>
      </c>
      <c r="D984" s="187">
        <v>100</v>
      </c>
      <c r="E984" s="203">
        <v>0.4</v>
      </c>
    </row>
    <row r="985" spans="1:5" customFormat="1" ht="14.25" customHeight="1">
      <c r="A985" s="194" t="s">
        <v>3795</v>
      </c>
      <c r="B985" s="9">
        <v>4.8</v>
      </c>
      <c r="C985" s="161" t="s">
        <v>3703</v>
      </c>
      <c r="D985" s="187">
        <v>10</v>
      </c>
      <c r="E985" s="7">
        <v>0.5</v>
      </c>
    </row>
    <row r="986" spans="1:5" customFormat="1" ht="14.25" customHeight="1">
      <c r="A986" s="117" t="s">
        <v>3861</v>
      </c>
      <c r="B986" s="9">
        <v>6</v>
      </c>
      <c r="C986" s="161" t="s">
        <v>3702</v>
      </c>
      <c r="D986" s="187">
        <v>10</v>
      </c>
      <c r="E986" s="7">
        <v>0.5</v>
      </c>
    </row>
    <row r="987" spans="1:5" customFormat="1" ht="14.25" customHeight="1">
      <c r="A987" s="194" t="s">
        <v>3796</v>
      </c>
      <c r="B987" s="9">
        <v>4.8</v>
      </c>
      <c r="C987" s="161" t="s">
        <v>3710</v>
      </c>
      <c r="D987" s="187">
        <v>10</v>
      </c>
      <c r="E987" s="7">
        <v>0.5</v>
      </c>
    </row>
    <row r="988" spans="1:5" customFormat="1" ht="14.25" customHeight="1">
      <c r="A988" s="117" t="s">
        <v>3860</v>
      </c>
      <c r="B988" s="9">
        <v>17.100000000000001</v>
      </c>
      <c r="C988" s="161" t="s">
        <v>3705</v>
      </c>
      <c r="D988" s="187">
        <v>5</v>
      </c>
      <c r="E988" s="7">
        <v>1.3</v>
      </c>
    </row>
    <row r="989" spans="1:5" customFormat="1" ht="14.25" customHeight="1">
      <c r="A989" s="194" t="s">
        <v>3797</v>
      </c>
      <c r="B989" s="9">
        <v>11.5</v>
      </c>
      <c r="C989" s="161" t="s">
        <v>3717</v>
      </c>
      <c r="D989" s="187">
        <v>3</v>
      </c>
      <c r="E989" s="7">
        <v>1.3</v>
      </c>
    </row>
    <row r="990" spans="1:5" customFormat="1" ht="14.25" customHeight="1">
      <c r="A990" s="194" t="s">
        <v>3798</v>
      </c>
      <c r="B990" s="9">
        <v>14.1</v>
      </c>
      <c r="C990" s="161" t="s">
        <v>3747</v>
      </c>
      <c r="D990" s="187">
        <v>5</v>
      </c>
      <c r="E990" s="7">
        <v>0.98</v>
      </c>
    </row>
    <row r="991" spans="1:5" customFormat="1" ht="14.25" customHeight="1">
      <c r="A991" s="194" t="s">
        <v>3799</v>
      </c>
      <c r="B991" s="9">
        <v>14.1</v>
      </c>
      <c r="C991" s="161" t="s">
        <v>3748</v>
      </c>
      <c r="D991" s="187">
        <v>3</v>
      </c>
      <c r="E991" s="7">
        <v>0.98</v>
      </c>
    </row>
    <row r="992" spans="1:5" customFormat="1" ht="14.25" customHeight="1">
      <c r="A992" s="194" t="s">
        <v>3800</v>
      </c>
      <c r="B992" s="9">
        <v>13.1</v>
      </c>
      <c r="C992" s="161" t="s">
        <v>3714</v>
      </c>
      <c r="D992" s="187">
        <v>3</v>
      </c>
      <c r="E992" s="7">
        <v>1.5</v>
      </c>
    </row>
    <row r="993" spans="1:5" customFormat="1" ht="14.25" customHeight="1">
      <c r="A993" s="194" t="s">
        <v>3801</v>
      </c>
      <c r="B993" s="9">
        <v>12.4</v>
      </c>
      <c r="C993" s="164" t="s">
        <v>3716</v>
      </c>
      <c r="D993" s="187">
        <v>3</v>
      </c>
      <c r="E993" s="7">
        <v>1.3</v>
      </c>
    </row>
    <row r="994" spans="1:5" customFormat="1" ht="14.25" customHeight="1">
      <c r="A994" s="194" t="s">
        <v>3802</v>
      </c>
      <c r="B994" s="9">
        <v>14.2</v>
      </c>
      <c r="C994" s="161" t="s">
        <v>3701</v>
      </c>
      <c r="D994" s="187">
        <v>5</v>
      </c>
      <c r="E994" s="7">
        <v>0.98</v>
      </c>
    </row>
    <row r="995" spans="1:5" customFormat="1" ht="14.25" customHeight="1">
      <c r="A995" s="194" t="s">
        <v>3803</v>
      </c>
      <c r="B995" s="9">
        <v>11.8</v>
      </c>
      <c r="C995" s="161" t="s">
        <v>3711</v>
      </c>
      <c r="D995" s="187">
        <v>3</v>
      </c>
      <c r="E995" s="7">
        <v>1.3</v>
      </c>
    </row>
    <row r="996" spans="1:5" customFormat="1" ht="14.25" customHeight="1">
      <c r="A996" s="194" t="s">
        <v>3804</v>
      </c>
      <c r="B996" s="9">
        <v>11</v>
      </c>
      <c r="C996" s="161" t="s">
        <v>3715</v>
      </c>
      <c r="D996" s="187">
        <v>3</v>
      </c>
      <c r="E996" s="7">
        <v>1.2</v>
      </c>
    </row>
    <row r="997" spans="1:5" customFormat="1" ht="14.25" customHeight="1">
      <c r="A997" s="194" t="s">
        <v>3805</v>
      </c>
      <c r="B997" s="9">
        <v>12.2</v>
      </c>
      <c r="C997" s="161" t="s">
        <v>3713</v>
      </c>
      <c r="D997" s="187">
        <v>3</v>
      </c>
      <c r="E997" s="7">
        <v>1.8</v>
      </c>
    </row>
    <row r="998" spans="1:5" customFormat="1" ht="14.25" customHeight="1">
      <c r="A998" s="194" t="s">
        <v>3806</v>
      </c>
      <c r="B998" s="9">
        <v>14.2</v>
      </c>
      <c r="C998" s="161" t="s">
        <v>3700</v>
      </c>
      <c r="D998" s="187">
        <v>5</v>
      </c>
      <c r="E998" s="7">
        <v>0.79</v>
      </c>
    </row>
    <row r="999" spans="1:5" customFormat="1" ht="14.25" customHeight="1">
      <c r="A999" s="194" t="s">
        <v>3807</v>
      </c>
      <c r="B999" s="9">
        <v>11.6</v>
      </c>
      <c r="C999" s="161" t="s">
        <v>3719</v>
      </c>
      <c r="D999" s="187">
        <v>3</v>
      </c>
      <c r="E999" s="7">
        <v>1.3</v>
      </c>
    </row>
    <row r="1000" spans="1:5" customFormat="1" ht="14.25" customHeight="1">
      <c r="A1000" s="194" t="s">
        <v>3808</v>
      </c>
      <c r="B1000" s="9">
        <v>12.1</v>
      </c>
      <c r="C1000" s="161" t="s">
        <v>3718</v>
      </c>
      <c r="D1000" s="187">
        <v>3</v>
      </c>
      <c r="E1000" s="7">
        <v>0.99</v>
      </c>
    </row>
    <row r="1001" spans="1:5" customFormat="1" ht="14.25" customHeight="1">
      <c r="A1001" s="194" t="s">
        <v>3809</v>
      </c>
      <c r="B1001" s="9">
        <v>12</v>
      </c>
      <c r="C1001" s="161" t="s">
        <v>3712</v>
      </c>
      <c r="D1001" s="187">
        <v>3</v>
      </c>
      <c r="E1001" s="7">
        <v>0.99</v>
      </c>
    </row>
    <row r="1002" spans="1:5" customFormat="1" ht="14.25" customHeight="1">
      <c r="A1002" s="195" t="s">
        <v>3810</v>
      </c>
      <c r="B1002" s="9">
        <v>7</v>
      </c>
      <c r="C1002" s="162" t="s">
        <v>3741</v>
      </c>
      <c r="D1002" s="187">
        <v>100</v>
      </c>
      <c r="E1002" s="203">
        <v>4</v>
      </c>
    </row>
    <row r="1003" spans="1:5" customFormat="1" ht="14.25" customHeight="1">
      <c r="A1003" s="117" t="s">
        <v>3859</v>
      </c>
      <c r="B1003" s="9">
        <v>5.9</v>
      </c>
      <c r="C1003" s="161" t="s">
        <v>3704</v>
      </c>
      <c r="D1003" s="187">
        <v>3</v>
      </c>
      <c r="E1003" s="7">
        <v>0.55000000000000004</v>
      </c>
    </row>
    <row r="1004" spans="1:5" customFormat="1" ht="14.25" customHeight="1">
      <c r="A1004" s="195" t="s">
        <v>3811</v>
      </c>
      <c r="B1004" s="9">
        <v>18</v>
      </c>
      <c r="C1004" s="162" t="s">
        <v>3722</v>
      </c>
      <c r="D1004" s="187">
        <v>100</v>
      </c>
      <c r="E1004" s="203">
        <v>1.5</v>
      </c>
    </row>
    <row r="1005" spans="1:5" customFormat="1" ht="14.25" customHeight="1">
      <c r="A1005" s="194" t="s">
        <v>3812</v>
      </c>
      <c r="B1005" s="9">
        <v>15.1</v>
      </c>
      <c r="C1005" s="161" t="s">
        <v>3725</v>
      </c>
      <c r="D1005" s="187">
        <v>3</v>
      </c>
      <c r="E1005" s="7">
        <v>1.6</v>
      </c>
    </row>
    <row r="1006" spans="1:5" customFormat="1" ht="14.25" customHeight="1">
      <c r="A1006" s="194" t="s">
        <v>3813</v>
      </c>
      <c r="B1006" s="9">
        <v>19.100000000000001</v>
      </c>
      <c r="C1006" s="161" t="s">
        <v>3721</v>
      </c>
      <c r="D1006" s="187">
        <v>5</v>
      </c>
      <c r="E1006" s="7">
        <v>1.9</v>
      </c>
    </row>
    <row r="1007" spans="1:5" customFormat="1" ht="14.25" customHeight="1">
      <c r="A1007" s="194" t="s">
        <v>3814</v>
      </c>
      <c r="B1007" s="9">
        <v>17.600000000000001</v>
      </c>
      <c r="C1007" s="161" t="s">
        <v>3724</v>
      </c>
      <c r="D1007" s="187">
        <v>3</v>
      </c>
      <c r="E1007" s="7">
        <v>2.8</v>
      </c>
    </row>
    <row r="1008" spans="1:5" customFormat="1" ht="14.25" customHeight="1">
      <c r="A1008" s="194" t="s">
        <v>3815</v>
      </c>
      <c r="B1008" s="9">
        <v>19.399999999999999</v>
      </c>
      <c r="C1008" s="161" t="s">
        <v>3726</v>
      </c>
      <c r="D1008" s="187">
        <v>3</v>
      </c>
      <c r="E1008" s="7">
        <v>2.8</v>
      </c>
    </row>
    <row r="1009" spans="1:5" customFormat="1" ht="14.25" customHeight="1">
      <c r="A1009" s="194" t="s">
        <v>3816</v>
      </c>
      <c r="B1009" s="9">
        <v>15.2</v>
      </c>
      <c r="C1009" s="161" t="s">
        <v>3728</v>
      </c>
      <c r="D1009" s="187">
        <v>3</v>
      </c>
      <c r="E1009" s="7">
        <v>1.19</v>
      </c>
    </row>
    <row r="1010" spans="1:5" customFormat="1" ht="14.25" customHeight="1">
      <c r="A1010" s="194" t="s">
        <v>3817</v>
      </c>
      <c r="B1010" s="9">
        <v>28.3</v>
      </c>
      <c r="C1010" s="163" t="s">
        <v>3752</v>
      </c>
      <c r="D1010" s="187">
        <v>3</v>
      </c>
      <c r="E1010" s="7">
        <v>3.3</v>
      </c>
    </row>
    <row r="1011" spans="1:5" customFormat="1" ht="14.25" customHeight="1">
      <c r="A1011" s="194" t="s">
        <v>3818</v>
      </c>
      <c r="B1011" s="9">
        <v>17</v>
      </c>
      <c r="C1011" s="161" t="s">
        <v>3731</v>
      </c>
      <c r="D1011" s="187">
        <v>3</v>
      </c>
      <c r="E1011" s="7">
        <v>2.6</v>
      </c>
    </row>
    <row r="1012" spans="1:5" customFormat="1" ht="14.25" customHeight="1">
      <c r="A1012" s="194" t="s">
        <v>3819</v>
      </c>
      <c r="B1012" s="9">
        <v>24.3</v>
      </c>
      <c r="C1012" s="161" t="s">
        <v>3730</v>
      </c>
      <c r="D1012" s="187">
        <v>3</v>
      </c>
      <c r="E1012" s="7">
        <v>3.9</v>
      </c>
    </row>
    <row r="1013" spans="1:5" customFormat="1" ht="14.25" customHeight="1">
      <c r="A1013" s="194" t="s">
        <v>3820</v>
      </c>
      <c r="B1013" s="9">
        <v>18.100000000000001</v>
      </c>
      <c r="C1013" s="161" t="s">
        <v>3733</v>
      </c>
      <c r="D1013" s="187">
        <v>3</v>
      </c>
      <c r="E1013" s="7">
        <v>2.5</v>
      </c>
    </row>
    <row r="1014" spans="1:5" customFormat="1" ht="14.25" customHeight="1">
      <c r="A1014" s="194" t="s">
        <v>3821</v>
      </c>
      <c r="B1014" s="9">
        <v>18.8</v>
      </c>
      <c r="C1014" s="161" t="s">
        <v>3732</v>
      </c>
      <c r="D1014" s="187">
        <v>3</v>
      </c>
      <c r="E1014" s="7">
        <v>2.8</v>
      </c>
    </row>
    <row r="1015" spans="1:5" customFormat="1" ht="14.25" customHeight="1">
      <c r="A1015" s="194" t="s">
        <v>3822</v>
      </c>
      <c r="B1015" s="9">
        <v>24.4</v>
      </c>
      <c r="C1015" s="161" t="s">
        <v>3727</v>
      </c>
      <c r="D1015" s="187">
        <v>3</v>
      </c>
      <c r="E1015" s="7">
        <v>3.9</v>
      </c>
    </row>
    <row r="1016" spans="1:5" customFormat="1" ht="14.25" customHeight="1">
      <c r="A1016" s="194" t="s">
        <v>3823</v>
      </c>
      <c r="B1016" s="9">
        <v>18</v>
      </c>
      <c r="C1016" s="161" t="s">
        <v>3736</v>
      </c>
      <c r="D1016" s="187">
        <v>3</v>
      </c>
      <c r="E1016" s="7">
        <v>1.88</v>
      </c>
    </row>
    <row r="1017" spans="1:5" customFormat="1" ht="14.25" customHeight="1">
      <c r="A1017" s="194" t="s">
        <v>3824</v>
      </c>
      <c r="B1017" s="9">
        <v>18</v>
      </c>
      <c r="C1017" s="163" t="s">
        <v>3738</v>
      </c>
      <c r="D1017" s="187">
        <v>3</v>
      </c>
      <c r="E1017" s="7">
        <v>2.8</v>
      </c>
    </row>
    <row r="1018" spans="1:5" customFormat="1" ht="14.25" customHeight="1">
      <c r="A1018" s="195" t="s">
        <v>3825</v>
      </c>
      <c r="B1018" s="9">
        <v>18</v>
      </c>
      <c r="C1018" s="204" t="s">
        <v>5954</v>
      </c>
      <c r="D1018" s="187">
        <v>100</v>
      </c>
      <c r="E1018" s="203">
        <v>3</v>
      </c>
    </row>
    <row r="1019" spans="1:5" customFormat="1" ht="14.25" customHeight="1">
      <c r="A1019" s="194" t="s">
        <v>3826</v>
      </c>
      <c r="B1019" s="9">
        <v>18</v>
      </c>
      <c r="C1019" s="161" t="s">
        <v>3740</v>
      </c>
      <c r="D1019" s="187">
        <v>3</v>
      </c>
      <c r="E1019" s="7">
        <v>3.2</v>
      </c>
    </row>
    <row r="1020" spans="1:5" customFormat="1" ht="14.25" customHeight="1">
      <c r="A1020" s="195" t="s">
        <v>3827</v>
      </c>
      <c r="B1020" s="9">
        <v>18</v>
      </c>
      <c r="C1020" s="162" t="s">
        <v>3832</v>
      </c>
      <c r="D1020" s="187">
        <v>100</v>
      </c>
      <c r="E1020" s="203">
        <v>3</v>
      </c>
    </row>
    <row r="1021" spans="1:5" customFormat="1" ht="14.25" customHeight="1">
      <c r="A1021" s="194" t="s">
        <v>3828</v>
      </c>
      <c r="B1021" s="9">
        <v>18</v>
      </c>
      <c r="C1021" s="161" t="s">
        <v>3739</v>
      </c>
      <c r="D1021" s="187">
        <v>3</v>
      </c>
      <c r="E1021" s="7">
        <v>3.2</v>
      </c>
    </row>
    <row r="1022" spans="1:5" customFormat="1" ht="14.25" customHeight="1">
      <c r="A1022" s="194" t="s">
        <v>3833</v>
      </c>
      <c r="B1022" s="9">
        <v>18</v>
      </c>
      <c r="C1022" s="161" t="s">
        <v>3737</v>
      </c>
      <c r="D1022" s="187">
        <v>3</v>
      </c>
      <c r="E1022" s="7">
        <v>2.9</v>
      </c>
    </row>
    <row r="1023" spans="1:5" customFormat="1" ht="14.25" customHeight="1">
      <c r="A1023" s="195" t="s">
        <v>3834</v>
      </c>
      <c r="B1023" s="9">
        <v>18</v>
      </c>
      <c r="C1023" s="162" t="s">
        <v>3835</v>
      </c>
      <c r="D1023" s="187">
        <v>100</v>
      </c>
      <c r="E1023" s="203">
        <v>3</v>
      </c>
    </row>
    <row r="1024" spans="1:5" customFormat="1" ht="14.25" customHeight="1">
      <c r="A1024" s="195" t="s">
        <v>3847</v>
      </c>
      <c r="B1024" s="9">
        <v>18</v>
      </c>
      <c r="C1024" s="162" t="s">
        <v>3836</v>
      </c>
      <c r="D1024" s="187">
        <v>100</v>
      </c>
      <c r="E1024" s="203">
        <v>3</v>
      </c>
    </row>
    <row r="1025" spans="1:17" customFormat="1" ht="14.25" customHeight="1">
      <c r="A1025" s="195" t="s">
        <v>3848</v>
      </c>
      <c r="B1025" s="9">
        <v>18</v>
      </c>
      <c r="C1025" s="162" t="s">
        <v>3837</v>
      </c>
      <c r="D1025" s="187">
        <v>100</v>
      </c>
      <c r="E1025" s="203">
        <v>3</v>
      </c>
    </row>
    <row r="1026" spans="1:17" customFormat="1" ht="14.25" customHeight="1">
      <c r="A1026" s="195" t="s">
        <v>3849</v>
      </c>
      <c r="B1026" s="9">
        <v>18</v>
      </c>
      <c r="C1026" s="162" t="s">
        <v>3838</v>
      </c>
      <c r="D1026" s="187">
        <v>100</v>
      </c>
      <c r="E1026" s="203">
        <v>3</v>
      </c>
    </row>
    <row r="1027" spans="1:17" customFormat="1" ht="14.25" customHeight="1">
      <c r="A1027" s="194" t="s">
        <v>3850</v>
      </c>
      <c r="B1027" s="9">
        <v>8</v>
      </c>
      <c r="C1027" s="161" t="s">
        <v>3735</v>
      </c>
      <c r="D1027" s="187">
        <v>5</v>
      </c>
      <c r="E1027" s="7">
        <v>0.33</v>
      </c>
    </row>
    <row r="1028" spans="1:17" customFormat="1" ht="14.25" customHeight="1">
      <c r="A1028" s="194" t="s">
        <v>3851</v>
      </c>
      <c r="B1028" s="9">
        <v>9.1999999999999993</v>
      </c>
      <c r="C1028" s="161" t="s">
        <v>3734</v>
      </c>
      <c r="D1028" s="187">
        <v>5</v>
      </c>
      <c r="E1028" s="7">
        <v>0.45</v>
      </c>
    </row>
    <row r="1029" spans="1:17" customFormat="1" ht="14.25" customHeight="1">
      <c r="A1029" s="195" t="s">
        <v>3852</v>
      </c>
      <c r="B1029" s="9">
        <v>9</v>
      </c>
      <c r="C1029" s="162" t="s">
        <v>3839</v>
      </c>
      <c r="D1029" s="187">
        <v>100</v>
      </c>
      <c r="E1029" s="203">
        <v>0.6</v>
      </c>
    </row>
    <row r="1030" spans="1:17" customFormat="1" ht="14.25" customHeight="1">
      <c r="A1030" s="195" t="s">
        <v>3853</v>
      </c>
      <c r="B1030" s="9">
        <v>12</v>
      </c>
      <c r="C1030" s="162" t="s">
        <v>3846</v>
      </c>
      <c r="D1030" s="187">
        <v>100</v>
      </c>
      <c r="E1030" s="203">
        <v>0.8</v>
      </c>
    </row>
    <row r="1031" spans="1:17" customFormat="1" ht="14.25" customHeight="1">
      <c r="A1031" s="194" t="s">
        <v>3854</v>
      </c>
      <c r="B1031" s="9">
        <v>55</v>
      </c>
      <c r="C1031" s="161" t="s">
        <v>3720</v>
      </c>
      <c r="D1031" s="187">
        <v>3</v>
      </c>
      <c r="E1031" s="7">
        <v>2.69</v>
      </c>
    </row>
    <row r="1032" spans="1:17" customFormat="1" ht="14.25" customHeight="1">
      <c r="A1032" s="128" t="s">
        <v>3096</v>
      </c>
      <c r="B1032" s="9">
        <v>40.5</v>
      </c>
      <c r="C1032" s="7" t="s">
        <v>1351</v>
      </c>
      <c r="D1032" s="187">
        <v>3</v>
      </c>
      <c r="E1032" s="7">
        <v>0.62</v>
      </c>
      <c r="F1032" s="7"/>
      <c r="G1032" s="7"/>
      <c r="H1032" s="7"/>
      <c r="I1032" s="7"/>
      <c r="J1032" s="7"/>
      <c r="K1032" s="7"/>
      <c r="L1032" s="7"/>
      <c r="M1032" s="7"/>
      <c r="N1032" s="7"/>
      <c r="O1032" s="7"/>
      <c r="P1032" s="7"/>
      <c r="Q1032" s="7"/>
    </row>
    <row r="1033" spans="1:17" customFormat="1" ht="14.25" customHeight="1">
      <c r="A1033" s="128" t="s">
        <v>3097</v>
      </c>
      <c r="B1033" s="9">
        <v>40.5</v>
      </c>
      <c r="C1033" s="7" t="s">
        <v>1374</v>
      </c>
      <c r="D1033" s="187">
        <v>3</v>
      </c>
      <c r="E1033" s="7">
        <v>0.62</v>
      </c>
      <c r="F1033" s="7"/>
      <c r="G1033" s="7"/>
      <c r="H1033" s="7"/>
      <c r="I1033" s="7"/>
      <c r="J1033" s="7"/>
      <c r="K1033" s="7"/>
      <c r="L1033" s="7"/>
      <c r="M1033" s="7"/>
      <c r="N1033" s="7"/>
      <c r="O1033" s="7"/>
      <c r="P1033" s="7"/>
      <c r="Q1033" s="7"/>
    </row>
    <row r="1034" spans="1:17" customFormat="1" ht="14.25" customHeight="1">
      <c r="A1034" s="128" t="s">
        <v>3098</v>
      </c>
      <c r="B1034" s="9">
        <v>40.5</v>
      </c>
      <c r="C1034" s="7" t="s">
        <v>5890</v>
      </c>
      <c r="D1034" s="187">
        <v>3</v>
      </c>
      <c r="E1034" s="7">
        <v>0.62</v>
      </c>
      <c r="F1034" s="7"/>
      <c r="G1034" s="7"/>
      <c r="H1034" s="7"/>
      <c r="I1034" s="7"/>
      <c r="J1034" s="7"/>
      <c r="K1034" s="7"/>
      <c r="L1034" s="7"/>
      <c r="M1034" s="7"/>
      <c r="N1034" s="7"/>
      <c r="O1034" s="7"/>
      <c r="P1034" s="7"/>
      <c r="Q1034" s="7"/>
    </row>
    <row r="1035" spans="1:17" customFormat="1" ht="14.25" customHeight="1">
      <c r="A1035" s="128" t="s">
        <v>3099</v>
      </c>
      <c r="B1035" s="9">
        <v>40.5</v>
      </c>
      <c r="C1035" s="7" t="s">
        <v>5891</v>
      </c>
      <c r="D1035" s="187">
        <v>3</v>
      </c>
      <c r="E1035" s="7">
        <v>0.62</v>
      </c>
      <c r="F1035" s="7"/>
      <c r="G1035" s="7"/>
      <c r="H1035" s="7"/>
      <c r="I1035" s="7"/>
      <c r="J1035" s="7"/>
      <c r="K1035" s="7"/>
      <c r="L1035" s="7"/>
      <c r="M1035" s="7"/>
      <c r="N1035" s="7"/>
      <c r="O1035" s="7"/>
      <c r="P1035" s="7"/>
      <c r="Q1035" s="7"/>
    </row>
    <row r="1036" spans="1:17" customFormat="1" ht="14.25" customHeight="1">
      <c r="A1036" s="128" t="s">
        <v>3100</v>
      </c>
      <c r="B1036" s="9">
        <v>40.5</v>
      </c>
      <c r="C1036" s="7" t="s">
        <v>5892</v>
      </c>
      <c r="D1036" s="187">
        <v>3</v>
      </c>
      <c r="E1036" s="7">
        <v>0.62</v>
      </c>
      <c r="F1036" s="7"/>
      <c r="G1036" s="7"/>
      <c r="H1036" s="7"/>
      <c r="I1036" s="7"/>
      <c r="J1036" s="7"/>
      <c r="K1036" s="7"/>
      <c r="L1036" s="7"/>
      <c r="M1036" s="7"/>
      <c r="N1036" s="7"/>
      <c r="O1036" s="7"/>
      <c r="P1036" s="7"/>
      <c r="Q1036" s="7"/>
    </row>
    <row r="1037" spans="1:17" customFormat="1" ht="14.25" customHeight="1">
      <c r="A1037" s="128" t="s">
        <v>3101</v>
      </c>
      <c r="B1037" s="9">
        <v>40.5</v>
      </c>
      <c r="C1037" s="7" t="s">
        <v>5893</v>
      </c>
      <c r="D1037" s="187">
        <v>3</v>
      </c>
      <c r="E1037" s="7">
        <v>0.62</v>
      </c>
      <c r="F1037" s="7"/>
      <c r="G1037" s="7"/>
      <c r="H1037" s="7"/>
      <c r="I1037" s="7"/>
      <c r="J1037" s="7"/>
      <c r="K1037" s="7"/>
      <c r="L1037" s="7"/>
      <c r="M1037" s="7"/>
      <c r="N1037" s="7"/>
      <c r="O1037" s="7"/>
      <c r="P1037" s="7"/>
      <c r="Q1037" s="7"/>
    </row>
    <row r="1038" spans="1:17" customFormat="1" ht="14.25" customHeight="1">
      <c r="A1038" s="128" t="s">
        <v>3102</v>
      </c>
      <c r="B1038" s="9">
        <v>40.5</v>
      </c>
      <c r="C1038" s="7" t="s">
        <v>5894</v>
      </c>
      <c r="D1038" s="187">
        <v>3</v>
      </c>
      <c r="E1038" s="7">
        <v>0.62</v>
      </c>
      <c r="F1038" s="7"/>
      <c r="G1038" s="7"/>
      <c r="H1038" s="7"/>
      <c r="I1038" s="7"/>
      <c r="J1038" s="7"/>
      <c r="K1038" s="7"/>
      <c r="L1038" s="7"/>
      <c r="M1038" s="7"/>
      <c r="N1038" s="7"/>
      <c r="O1038" s="7"/>
      <c r="P1038" s="7"/>
      <c r="Q1038" s="7"/>
    </row>
    <row r="1039" spans="1:17" customFormat="1" ht="14.25" customHeight="1">
      <c r="A1039" s="128" t="s">
        <v>3103</v>
      </c>
      <c r="B1039" s="9">
        <f>15.6+30.7</f>
        <v>46.3</v>
      </c>
      <c r="C1039" s="7" t="s">
        <v>1357</v>
      </c>
      <c r="D1039" s="187">
        <v>3</v>
      </c>
      <c r="E1039" s="7">
        <v>2.4</v>
      </c>
      <c r="F1039" s="7"/>
      <c r="G1039" s="7"/>
      <c r="H1039" s="7"/>
      <c r="I1039" s="7"/>
      <c r="J1039" s="7"/>
      <c r="K1039" s="7"/>
      <c r="L1039" s="7"/>
      <c r="M1039" s="7"/>
      <c r="N1039" s="7"/>
      <c r="O1039" s="7"/>
      <c r="P1039" s="7"/>
      <c r="Q1039" s="7"/>
    </row>
    <row r="1040" spans="1:17" customFormat="1" ht="14.25" customHeight="1">
      <c r="A1040" s="128" t="s">
        <v>3104</v>
      </c>
      <c r="B1040" s="9">
        <f>15.6+30.7</f>
        <v>46.3</v>
      </c>
      <c r="C1040" s="7" t="s">
        <v>5895</v>
      </c>
      <c r="D1040" s="187">
        <v>3</v>
      </c>
      <c r="E1040" s="7">
        <v>2.4</v>
      </c>
      <c r="F1040" s="7"/>
      <c r="G1040" s="7"/>
      <c r="H1040" s="7"/>
      <c r="I1040" s="7"/>
      <c r="J1040" s="7"/>
      <c r="K1040" s="7"/>
      <c r="L1040" s="7"/>
      <c r="M1040" s="7"/>
      <c r="N1040" s="7"/>
      <c r="O1040" s="7"/>
      <c r="P1040" s="7"/>
      <c r="Q1040" s="7"/>
    </row>
    <row r="1041" spans="1:17" customFormat="1" ht="14.25" customHeight="1">
      <c r="A1041" s="128" t="s">
        <v>3105</v>
      </c>
      <c r="B1041" s="9">
        <f>46-7</f>
        <v>39</v>
      </c>
      <c r="C1041" s="7" t="s">
        <v>5896</v>
      </c>
      <c r="D1041" s="187">
        <v>6</v>
      </c>
      <c r="E1041" s="7">
        <v>1.45</v>
      </c>
      <c r="F1041" s="7"/>
      <c r="G1041" s="7"/>
      <c r="H1041" s="7"/>
      <c r="I1041" s="7"/>
      <c r="J1041" s="7"/>
      <c r="K1041" s="7"/>
      <c r="L1041" s="7"/>
      <c r="M1041" s="7"/>
      <c r="N1041" s="7"/>
      <c r="O1041" s="7"/>
      <c r="P1041" s="7"/>
      <c r="Q1041" s="7"/>
    </row>
    <row r="1042" spans="1:17" customFormat="1" ht="14.25" customHeight="1">
      <c r="A1042" s="128" t="s">
        <v>3106</v>
      </c>
      <c r="B1042" s="9">
        <f>53.2-7</f>
        <v>46.2</v>
      </c>
      <c r="C1042" s="7" t="s">
        <v>5897</v>
      </c>
      <c r="D1042" s="187">
        <v>3</v>
      </c>
      <c r="E1042" s="7">
        <v>2.1</v>
      </c>
      <c r="F1042" s="7"/>
      <c r="G1042" s="7"/>
      <c r="H1042" s="7"/>
      <c r="I1042" s="7"/>
      <c r="J1042" s="7"/>
      <c r="K1042" s="7"/>
      <c r="L1042" s="7"/>
      <c r="M1042" s="7"/>
      <c r="N1042" s="7"/>
      <c r="O1042" s="7"/>
      <c r="P1042" s="7"/>
      <c r="Q1042" s="7"/>
    </row>
    <row r="1043" spans="1:17" customFormat="1" ht="14.25" customHeight="1">
      <c r="A1043" s="128" t="s">
        <v>3107</v>
      </c>
      <c r="B1043" s="9">
        <f>85.4-7</f>
        <v>78.400000000000006</v>
      </c>
      <c r="C1043" s="7" t="s">
        <v>5898</v>
      </c>
      <c r="D1043" s="187">
        <v>3</v>
      </c>
      <c r="E1043" s="7">
        <v>1.94</v>
      </c>
      <c r="F1043" s="7"/>
      <c r="G1043" s="7"/>
      <c r="H1043" s="7"/>
      <c r="I1043" s="7"/>
      <c r="J1043" s="7"/>
      <c r="K1043" s="7"/>
      <c r="L1043" s="7"/>
      <c r="M1043" s="7"/>
      <c r="N1043" s="7"/>
      <c r="O1043" s="7"/>
      <c r="P1043" s="7"/>
      <c r="Q1043" s="7"/>
    </row>
    <row r="1044" spans="1:17" customFormat="1" ht="14.25" customHeight="1">
      <c r="A1044" s="128" t="s">
        <v>3108</v>
      </c>
      <c r="B1044" s="9">
        <f>85.4-7</f>
        <v>78.400000000000006</v>
      </c>
      <c r="C1044" s="7" t="s">
        <v>5899</v>
      </c>
      <c r="D1044" s="187">
        <v>3</v>
      </c>
      <c r="E1044" s="7">
        <v>1.94</v>
      </c>
      <c r="F1044" s="7"/>
      <c r="G1044" s="7"/>
      <c r="H1044" s="7"/>
      <c r="I1044" s="7"/>
      <c r="J1044" s="7"/>
      <c r="K1044" s="7"/>
      <c r="L1044" s="7"/>
      <c r="M1044" s="7"/>
      <c r="N1044" s="7"/>
      <c r="O1044" s="7"/>
      <c r="P1044" s="7"/>
      <c r="Q1044" s="7"/>
    </row>
    <row r="1045" spans="1:17" customFormat="1" ht="14.25" customHeight="1">
      <c r="A1045" s="128" t="s">
        <v>3109</v>
      </c>
      <c r="B1045" s="9">
        <f>85.4-7</f>
        <v>78.400000000000006</v>
      </c>
      <c r="C1045" s="7" t="s">
        <v>5900</v>
      </c>
      <c r="D1045" s="187">
        <v>3</v>
      </c>
      <c r="E1045" s="7">
        <v>1.94</v>
      </c>
      <c r="F1045" s="7"/>
      <c r="G1045" s="7"/>
      <c r="H1045" s="7"/>
      <c r="I1045" s="7"/>
      <c r="J1045" s="7"/>
      <c r="K1045" s="7"/>
      <c r="L1045" s="7"/>
      <c r="M1045" s="7"/>
      <c r="N1045" s="7"/>
      <c r="O1045" s="7"/>
      <c r="P1045" s="7"/>
      <c r="Q1045" s="4"/>
    </row>
    <row r="1046" spans="1:17" customFormat="1" ht="14.25" customHeight="1">
      <c r="A1046" s="128" t="s">
        <v>3110</v>
      </c>
      <c r="B1046" s="9">
        <f>39.5-7</f>
        <v>32.5</v>
      </c>
      <c r="C1046" s="7" t="s">
        <v>5901</v>
      </c>
      <c r="D1046" s="187">
        <v>3</v>
      </c>
      <c r="E1046" s="7">
        <v>1.88</v>
      </c>
      <c r="F1046" s="7"/>
      <c r="G1046" s="7"/>
      <c r="H1046" s="7"/>
      <c r="I1046" s="7"/>
      <c r="J1046" s="7"/>
      <c r="K1046" s="7"/>
      <c r="L1046" s="7"/>
      <c r="M1046" s="7"/>
      <c r="N1046" s="7"/>
      <c r="O1046" s="7"/>
      <c r="P1046" s="7"/>
      <c r="Q1046" s="7"/>
    </row>
    <row r="1047" spans="1:17" customFormat="1" ht="14.25" customHeight="1">
      <c r="A1047" s="128" t="s">
        <v>3111</v>
      </c>
      <c r="B1047" s="9">
        <f>39.5-7</f>
        <v>32.5</v>
      </c>
      <c r="C1047" s="7" t="s">
        <v>5902</v>
      </c>
      <c r="D1047" s="187">
        <v>3</v>
      </c>
      <c r="E1047" s="7">
        <v>1.88</v>
      </c>
      <c r="F1047" s="7"/>
      <c r="G1047" s="7"/>
      <c r="H1047" s="7"/>
      <c r="I1047" s="7"/>
      <c r="J1047" s="7"/>
      <c r="K1047" s="7"/>
      <c r="L1047" s="7"/>
      <c r="M1047" s="7"/>
      <c r="N1047" s="7"/>
      <c r="O1047" s="7"/>
      <c r="P1047" s="7"/>
      <c r="Q1047" s="7"/>
    </row>
    <row r="1048" spans="1:17" customFormat="1" ht="14.25" customHeight="1">
      <c r="A1048" s="128" t="s">
        <v>3112</v>
      </c>
      <c r="B1048" s="9">
        <f>39.5-7</f>
        <v>32.5</v>
      </c>
      <c r="C1048" s="7" t="s">
        <v>1382</v>
      </c>
      <c r="D1048" s="187">
        <v>3</v>
      </c>
      <c r="E1048" s="7">
        <v>1.88</v>
      </c>
      <c r="F1048" s="7"/>
      <c r="G1048" s="7"/>
      <c r="H1048" s="7"/>
      <c r="I1048" s="7"/>
      <c r="J1048" s="7"/>
      <c r="K1048" s="7"/>
      <c r="L1048" s="7"/>
      <c r="M1048" s="7"/>
      <c r="N1048" s="7"/>
      <c r="O1048" s="7"/>
      <c r="P1048" s="7"/>
      <c r="Q1048" s="7"/>
    </row>
    <row r="1049" spans="1:17" customFormat="1" ht="14.25" customHeight="1">
      <c r="A1049" s="128" t="s">
        <v>3113</v>
      </c>
      <c r="B1049" s="9">
        <v>25.5</v>
      </c>
      <c r="C1049" s="7" t="s">
        <v>3183</v>
      </c>
      <c r="D1049" s="187">
        <v>6</v>
      </c>
      <c r="E1049" s="7">
        <v>1.49</v>
      </c>
      <c r="F1049" s="7"/>
      <c r="G1049" s="7"/>
      <c r="H1049" s="7"/>
      <c r="I1049" s="7"/>
      <c r="J1049" s="7"/>
      <c r="K1049" s="7"/>
      <c r="L1049" s="7"/>
      <c r="M1049" s="7"/>
      <c r="N1049" s="7"/>
      <c r="O1049" s="7"/>
      <c r="P1049" s="7"/>
      <c r="Q1049" s="7"/>
    </row>
    <row r="1050" spans="1:17" customFormat="1" ht="14.25" customHeight="1">
      <c r="A1050" s="128" t="s">
        <v>3114</v>
      </c>
      <c r="B1050" s="9">
        <v>24.5</v>
      </c>
      <c r="C1050" s="7" t="s">
        <v>1363</v>
      </c>
      <c r="D1050" s="187">
        <v>3</v>
      </c>
      <c r="E1050" s="7">
        <v>2.0699999999999998</v>
      </c>
      <c r="F1050" s="7"/>
      <c r="G1050" s="7"/>
      <c r="H1050" s="7"/>
      <c r="I1050" s="7"/>
      <c r="J1050" s="7"/>
      <c r="K1050" s="7"/>
      <c r="L1050" s="7"/>
      <c r="M1050" s="7"/>
      <c r="N1050" s="7"/>
      <c r="O1050" s="7"/>
      <c r="P1050" s="7"/>
      <c r="Q1050" s="7"/>
    </row>
    <row r="1051" spans="1:17" customFormat="1" ht="14.25" customHeight="1">
      <c r="A1051" s="128" t="s">
        <v>3115</v>
      </c>
      <c r="B1051" s="9">
        <v>24.5</v>
      </c>
      <c r="C1051" s="7" t="s">
        <v>5903</v>
      </c>
      <c r="D1051" s="187">
        <v>3</v>
      </c>
      <c r="E1051" s="7">
        <v>2.0699999999999998</v>
      </c>
      <c r="F1051" s="7"/>
      <c r="G1051" s="7"/>
      <c r="H1051" s="7"/>
      <c r="I1051" s="7"/>
      <c r="J1051" s="7"/>
      <c r="K1051" s="7"/>
      <c r="L1051" s="7"/>
      <c r="M1051" s="7"/>
      <c r="N1051" s="7"/>
      <c r="O1051" s="7"/>
      <c r="P1051" s="7"/>
      <c r="Q1051" s="7"/>
    </row>
    <row r="1052" spans="1:17" customFormat="1" ht="14.25" customHeight="1">
      <c r="A1052" s="128" t="s">
        <v>3116</v>
      </c>
      <c r="B1052" s="9">
        <v>24.5</v>
      </c>
      <c r="C1052" s="7" t="s">
        <v>1383</v>
      </c>
      <c r="D1052" s="187">
        <v>3</v>
      </c>
      <c r="E1052" s="7">
        <v>2.0699999999999998</v>
      </c>
      <c r="F1052" s="7"/>
      <c r="G1052" s="7"/>
      <c r="H1052" s="7"/>
      <c r="I1052" s="7"/>
      <c r="J1052" s="7"/>
      <c r="K1052" s="7"/>
      <c r="L1052" s="7"/>
      <c r="M1052" s="7"/>
      <c r="N1052" s="7"/>
      <c r="O1052" s="7"/>
      <c r="P1052" s="7"/>
      <c r="Q1052" s="7"/>
    </row>
    <row r="1053" spans="1:17" customFormat="1" ht="14.25" customHeight="1">
      <c r="A1053" s="128" t="s">
        <v>3117</v>
      </c>
      <c r="B1053" s="9">
        <v>28</v>
      </c>
      <c r="C1053" s="7" t="s">
        <v>1375</v>
      </c>
      <c r="D1053" s="187">
        <v>3</v>
      </c>
      <c r="E1053" s="7">
        <v>2.2200000000000002</v>
      </c>
      <c r="F1053" s="7"/>
      <c r="G1053" s="7"/>
      <c r="H1053" s="7"/>
      <c r="I1053" s="7"/>
      <c r="J1053" s="7"/>
      <c r="K1053" s="7"/>
      <c r="L1053" s="7"/>
      <c r="M1053" s="7"/>
      <c r="N1053" s="7"/>
      <c r="O1053" s="7"/>
      <c r="P1053" s="7"/>
      <c r="Q1053" s="7"/>
    </row>
    <row r="1054" spans="1:17" customFormat="1" ht="14.25" customHeight="1">
      <c r="A1054" s="128" t="s">
        <v>3118</v>
      </c>
      <c r="B1054" s="9">
        <v>28</v>
      </c>
      <c r="C1054" s="7" t="s">
        <v>5904</v>
      </c>
      <c r="D1054" s="187">
        <v>3</v>
      </c>
      <c r="E1054" s="7">
        <v>2.2200000000000002</v>
      </c>
      <c r="F1054" s="7"/>
      <c r="G1054" s="7"/>
      <c r="H1054" s="7"/>
      <c r="I1054" s="7"/>
      <c r="J1054" s="7"/>
      <c r="K1054" s="7"/>
      <c r="L1054" s="7"/>
      <c r="M1054" s="7"/>
      <c r="N1054" s="7"/>
      <c r="O1054" s="7"/>
      <c r="P1054" s="7"/>
      <c r="Q1054" s="7"/>
    </row>
    <row r="1055" spans="1:17" customFormat="1" ht="14.25" customHeight="1">
      <c r="A1055" s="128" t="s">
        <v>3119</v>
      </c>
      <c r="B1055" s="9">
        <v>28</v>
      </c>
      <c r="C1055" s="7" t="s">
        <v>1378</v>
      </c>
      <c r="D1055" s="187">
        <v>3</v>
      </c>
      <c r="E1055" s="7">
        <v>2.2200000000000002</v>
      </c>
      <c r="F1055" s="7"/>
      <c r="G1055" s="7"/>
      <c r="H1055" s="7"/>
      <c r="I1055" s="7"/>
      <c r="J1055" s="7"/>
      <c r="K1055" s="7"/>
      <c r="L1055" s="7"/>
      <c r="M1055" s="7"/>
      <c r="N1055" s="7"/>
      <c r="O1055" s="7"/>
      <c r="P1055" s="7"/>
      <c r="Q1055" s="7"/>
    </row>
    <row r="1056" spans="1:17" customFormat="1" ht="14.25" customHeight="1">
      <c r="A1056" s="152" t="s">
        <v>3383</v>
      </c>
      <c r="B1056" s="9">
        <v>16.5</v>
      </c>
      <c r="C1056" s="203" t="s">
        <v>5962</v>
      </c>
      <c r="D1056" s="187">
        <v>5</v>
      </c>
      <c r="E1056" s="7">
        <v>0.28000000000000003</v>
      </c>
      <c r="F1056" s="7"/>
      <c r="G1056" s="7"/>
      <c r="H1056" s="7"/>
      <c r="I1056" s="7"/>
      <c r="J1056" s="7"/>
      <c r="K1056" s="7"/>
      <c r="L1056" s="7"/>
      <c r="M1056" s="7"/>
      <c r="N1056" s="7"/>
      <c r="O1056" s="7"/>
      <c r="P1056" s="7"/>
      <c r="Q1056" s="7"/>
    </row>
    <row r="1057" spans="1:17" customFormat="1" ht="14.25" customHeight="1">
      <c r="A1057" s="152" t="s">
        <v>3384</v>
      </c>
      <c r="B1057" s="9">
        <v>9.1999999999999993</v>
      </c>
      <c r="C1057" s="203" t="s">
        <v>5989</v>
      </c>
      <c r="D1057" s="190">
        <v>5</v>
      </c>
      <c r="E1057" s="7">
        <v>0.32</v>
      </c>
      <c r="F1057" s="7"/>
      <c r="G1057" s="7"/>
      <c r="H1057" s="7"/>
      <c r="I1057" s="7"/>
      <c r="J1057" s="7"/>
      <c r="K1057" s="7"/>
      <c r="L1057" s="7"/>
      <c r="M1057" s="7"/>
      <c r="N1057" s="7"/>
      <c r="O1057" s="7"/>
      <c r="P1057" s="7"/>
      <c r="Q1057" s="7"/>
    </row>
    <row r="1058" spans="1:17" customFormat="1" ht="14.25" customHeight="1">
      <c r="A1058" s="151" t="s">
        <v>3651</v>
      </c>
      <c r="B1058" s="9">
        <v>22.2</v>
      </c>
      <c r="C1058" s="203" t="s">
        <v>5961</v>
      </c>
      <c r="D1058" s="190">
        <v>5</v>
      </c>
      <c r="E1058" s="7">
        <v>0.9</v>
      </c>
      <c r="F1058" s="7"/>
      <c r="G1058" s="7"/>
      <c r="H1058" s="7"/>
      <c r="I1058" s="7"/>
      <c r="J1058" s="7"/>
      <c r="K1058" s="7"/>
      <c r="L1058" s="7"/>
      <c r="M1058" s="7"/>
      <c r="N1058" s="7"/>
      <c r="O1058" s="7"/>
      <c r="P1058" s="7"/>
      <c r="Q1058" s="7"/>
    </row>
    <row r="1059" spans="1:17" customFormat="1" ht="14.25" customHeight="1">
      <c r="A1059" s="151" t="s">
        <v>3656</v>
      </c>
      <c r="B1059" s="9">
        <v>31.5</v>
      </c>
      <c r="C1059" s="203" t="s">
        <v>5960</v>
      </c>
      <c r="D1059" s="187">
        <v>5</v>
      </c>
      <c r="E1059" s="7">
        <v>1</v>
      </c>
      <c r="F1059" s="7"/>
      <c r="G1059" s="7"/>
      <c r="H1059" s="7"/>
      <c r="I1059" s="7"/>
      <c r="J1059" s="7"/>
      <c r="K1059" s="7"/>
      <c r="L1059" s="7"/>
      <c r="M1059" s="7"/>
      <c r="N1059" s="7"/>
      <c r="O1059" s="7"/>
      <c r="P1059" s="7"/>
      <c r="Q1059" s="4"/>
    </row>
    <row r="1060" spans="1:17" customFormat="1" ht="14.25" customHeight="1">
      <c r="A1060" s="151" t="s">
        <v>3387</v>
      </c>
      <c r="B1060" s="9">
        <v>31.5</v>
      </c>
      <c r="C1060" s="203" t="s">
        <v>5959</v>
      </c>
      <c r="D1060" s="187">
        <v>3</v>
      </c>
      <c r="E1060" s="7">
        <v>1</v>
      </c>
      <c r="F1060" s="7"/>
      <c r="G1060" s="7"/>
      <c r="H1060" s="7"/>
      <c r="I1060" s="7"/>
      <c r="J1060" s="7"/>
      <c r="K1060" s="7"/>
      <c r="L1060" s="7"/>
      <c r="M1060" s="7"/>
      <c r="N1060" s="7"/>
      <c r="O1060" s="7"/>
      <c r="P1060" s="7"/>
      <c r="Q1060" s="7"/>
    </row>
    <row r="1061" spans="1:17" customFormat="1" ht="14.25" customHeight="1">
      <c r="A1061" s="151" t="s">
        <v>3388</v>
      </c>
      <c r="B1061" s="9">
        <v>31.5</v>
      </c>
      <c r="C1061" s="203" t="s">
        <v>5955</v>
      </c>
      <c r="D1061" s="187">
        <v>3</v>
      </c>
      <c r="E1061" s="7">
        <v>1</v>
      </c>
      <c r="F1061" s="7"/>
      <c r="G1061" s="7"/>
      <c r="H1061" s="7"/>
      <c r="I1061" s="7"/>
      <c r="J1061" s="7"/>
      <c r="K1061" s="7"/>
      <c r="L1061" s="7"/>
      <c r="M1061" s="7"/>
      <c r="N1061" s="7"/>
      <c r="O1061" s="7"/>
      <c r="P1061" s="7"/>
      <c r="Q1061" s="7"/>
    </row>
    <row r="1062" spans="1:17" customFormat="1" ht="14.25" customHeight="1">
      <c r="A1062" s="151" t="s">
        <v>3389</v>
      </c>
      <c r="B1062" s="9">
        <v>31.5</v>
      </c>
      <c r="C1062" s="203" t="s">
        <v>5956</v>
      </c>
      <c r="D1062" s="187">
        <v>2</v>
      </c>
      <c r="E1062" s="7">
        <v>1</v>
      </c>
      <c r="F1062" s="7"/>
      <c r="G1062" s="7"/>
      <c r="H1062" s="7"/>
      <c r="I1062" s="7"/>
      <c r="J1062" s="7"/>
      <c r="K1062" s="7"/>
      <c r="L1062" s="7"/>
      <c r="M1062" s="7"/>
      <c r="N1062" s="7"/>
      <c r="O1062" s="7"/>
      <c r="P1062" s="7"/>
      <c r="Q1062" s="7"/>
    </row>
    <row r="1063" spans="1:17" customFormat="1" ht="14.25" customHeight="1">
      <c r="A1063" s="151" t="s">
        <v>3390</v>
      </c>
      <c r="B1063" s="9">
        <v>31.5</v>
      </c>
      <c r="C1063" s="203" t="s">
        <v>5957</v>
      </c>
      <c r="D1063" s="187">
        <v>1</v>
      </c>
      <c r="E1063" s="7">
        <v>1</v>
      </c>
      <c r="F1063" s="7"/>
      <c r="G1063" s="7"/>
      <c r="H1063" s="7"/>
      <c r="I1063" s="7"/>
      <c r="J1063" s="7"/>
      <c r="K1063" s="7"/>
      <c r="L1063" s="7"/>
      <c r="M1063" s="7"/>
      <c r="N1063" s="7"/>
      <c r="O1063" s="7"/>
      <c r="P1063" s="7"/>
      <c r="Q1063" s="7"/>
    </row>
    <row r="1064" spans="1:17" customFormat="1" ht="14.25" customHeight="1">
      <c r="A1064" s="151" t="s">
        <v>3662</v>
      </c>
      <c r="B1064" s="9">
        <v>31.5</v>
      </c>
      <c r="C1064" s="203" t="s">
        <v>5958</v>
      </c>
      <c r="D1064" s="187">
        <v>1</v>
      </c>
      <c r="E1064" s="7">
        <v>1</v>
      </c>
      <c r="F1064" s="7"/>
      <c r="G1064" s="7"/>
      <c r="H1064" s="7"/>
      <c r="I1064" s="7"/>
      <c r="J1064" s="7"/>
      <c r="K1064" s="7"/>
      <c r="L1064" s="7"/>
      <c r="M1064" s="7"/>
      <c r="N1064" s="7"/>
      <c r="O1064" s="7"/>
      <c r="P1064" s="7"/>
      <c r="Q1064" s="7"/>
    </row>
    <row r="1065" spans="1:17" customFormat="1" ht="14.25" customHeight="1">
      <c r="A1065" s="128" t="s">
        <v>4101</v>
      </c>
      <c r="B1065" s="9">
        <f>140.8-35.4</f>
        <v>105.4</v>
      </c>
      <c r="C1065" s="7" t="s">
        <v>1134</v>
      </c>
      <c r="D1065" s="187">
        <v>30</v>
      </c>
      <c r="E1065" s="7">
        <v>2.62</v>
      </c>
      <c r="F1065" s="7"/>
      <c r="G1065" s="7"/>
      <c r="H1065" s="7"/>
      <c r="I1065" s="7"/>
      <c r="J1065" s="7"/>
      <c r="K1065" s="7"/>
      <c r="L1065" s="7"/>
      <c r="M1065" s="7"/>
      <c r="N1065" s="7"/>
      <c r="O1065" s="7"/>
      <c r="P1065" s="7"/>
      <c r="Q1065" s="7"/>
    </row>
    <row r="1066" spans="1:17" customFormat="1" ht="14.25" customHeight="1">
      <c r="A1066" s="128" t="s">
        <v>2851</v>
      </c>
      <c r="B1066" s="9">
        <v>29.1</v>
      </c>
      <c r="C1066" s="7" t="s">
        <v>1209</v>
      </c>
      <c r="D1066" s="187">
        <v>30</v>
      </c>
      <c r="E1066" s="7">
        <f>1.8-0.03</f>
        <v>1.77</v>
      </c>
      <c r="F1066" s="7"/>
      <c r="G1066" s="7"/>
      <c r="H1066" s="7"/>
      <c r="I1066" s="7"/>
      <c r="J1066" s="7"/>
      <c r="K1066" s="7"/>
      <c r="L1066" s="7"/>
      <c r="M1066" s="7"/>
      <c r="N1066" s="7"/>
      <c r="O1066" s="7"/>
      <c r="P1066" s="7"/>
      <c r="Q1066" s="7"/>
    </row>
    <row r="1067" spans="1:17" customFormat="1" ht="14.25" customHeight="1">
      <c r="A1067" s="119" t="s">
        <v>3121</v>
      </c>
      <c r="B1067" s="9">
        <v>17</v>
      </c>
      <c r="C1067" s="1" t="s">
        <v>1857</v>
      </c>
      <c r="D1067" s="188">
        <v>5</v>
      </c>
      <c r="E1067" s="6">
        <v>0.6</v>
      </c>
      <c r="F1067" s="7"/>
      <c r="G1067" s="7"/>
      <c r="H1067" s="7"/>
      <c r="I1067" s="7"/>
      <c r="J1067" s="7"/>
      <c r="K1067" s="7"/>
      <c r="L1067" s="7"/>
      <c r="M1067" s="7"/>
      <c r="N1067" s="7"/>
      <c r="O1067" s="7"/>
      <c r="P1067" s="7"/>
      <c r="Q1067" s="7"/>
    </row>
    <row r="1068" spans="1:17" customFormat="1" ht="14.25" customHeight="1">
      <c r="A1068" s="119" t="s">
        <v>3122</v>
      </c>
      <c r="B1068" s="9">
        <v>17</v>
      </c>
      <c r="C1068" s="1" t="s">
        <v>1858</v>
      </c>
      <c r="D1068" s="188">
        <v>3</v>
      </c>
      <c r="E1068" s="6">
        <v>0.6</v>
      </c>
      <c r="F1068" s="7"/>
      <c r="G1068" s="7"/>
      <c r="H1068" s="7"/>
      <c r="I1068" s="7"/>
      <c r="J1068" s="7"/>
      <c r="K1068" s="7"/>
      <c r="L1068" s="7"/>
      <c r="M1068" s="7"/>
      <c r="N1068" s="7"/>
      <c r="O1068" s="7"/>
      <c r="P1068" s="7"/>
      <c r="Q1068" s="7"/>
    </row>
    <row r="1069" spans="1:17" customFormat="1" ht="14.25" customHeight="1">
      <c r="A1069" s="119" t="s">
        <v>3123</v>
      </c>
      <c r="B1069" s="9">
        <v>17</v>
      </c>
      <c r="C1069" s="1" t="s">
        <v>1859</v>
      </c>
      <c r="D1069" s="188">
        <v>3</v>
      </c>
      <c r="E1069" s="6">
        <v>0.6</v>
      </c>
      <c r="F1069" s="7"/>
      <c r="G1069" s="7"/>
      <c r="H1069" s="7"/>
      <c r="I1069" s="7"/>
      <c r="J1069" s="7"/>
      <c r="K1069" s="7"/>
      <c r="L1069" s="7"/>
      <c r="M1069" s="7"/>
      <c r="N1069" s="7"/>
      <c r="O1069" s="7"/>
      <c r="P1069" s="7"/>
      <c r="Q1069" s="7"/>
    </row>
    <row r="1070" spans="1:17" customFormat="1" ht="14.25" customHeight="1">
      <c r="A1070" s="119" t="s">
        <v>3150</v>
      </c>
      <c r="B1070" s="9">
        <v>17</v>
      </c>
      <c r="C1070" s="1" t="s">
        <v>1860</v>
      </c>
      <c r="D1070" s="188">
        <v>3</v>
      </c>
      <c r="E1070" s="6">
        <v>0.6</v>
      </c>
      <c r="F1070" s="7"/>
      <c r="G1070" s="7"/>
      <c r="H1070" s="7"/>
      <c r="I1070" s="7"/>
      <c r="J1070" s="7"/>
      <c r="K1070" s="7"/>
      <c r="L1070" s="7"/>
      <c r="M1070" s="7"/>
      <c r="N1070" s="7"/>
      <c r="O1070" s="7"/>
      <c r="P1070" s="7"/>
      <c r="Q1070" s="4"/>
    </row>
    <row r="1071" spans="1:17" customFormat="1" ht="14.25" customHeight="1">
      <c r="A1071" s="119" t="s">
        <v>3124</v>
      </c>
      <c r="B1071" s="9">
        <v>17</v>
      </c>
      <c r="C1071" s="1" t="s">
        <v>1861</v>
      </c>
      <c r="D1071" s="188">
        <v>3</v>
      </c>
      <c r="E1071" s="6">
        <v>0.6</v>
      </c>
      <c r="F1071" s="7"/>
      <c r="G1071" s="7"/>
      <c r="H1071" s="7"/>
      <c r="I1071" s="7"/>
      <c r="J1071" s="7"/>
      <c r="K1071" s="7"/>
      <c r="L1071" s="7"/>
      <c r="M1071" s="7"/>
      <c r="N1071" s="7"/>
      <c r="O1071" s="7"/>
      <c r="P1071" s="7"/>
      <c r="Q1071" s="7"/>
    </row>
    <row r="1072" spans="1:17" customFormat="1" ht="14.25" customHeight="1">
      <c r="A1072" s="119" t="s">
        <v>3125</v>
      </c>
      <c r="B1072" s="9">
        <v>32</v>
      </c>
      <c r="C1072" s="1" t="s">
        <v>1862</v>
      </c>
      <c r="D1072" s="188">
        <v>3</v>
      </c>
      <c r="E1072" s="6">
        <v>1.75</v>
      </c>
      <c r="F1072" s="7"/>
      <c r="G1072" s="7"/>
      <c r="H1072" s="7"/>
      <c r="I1072" s="7"/>
      <c r="J1072" s="7"/>
      <c r="K1072" s="7"/>
      <c r="L1072" s="7"/>
      <c r="M1072" s="7"/>
      <c r="N1072" s="7"/>
      <c r="O1072" s="7"/>
      <c r="P1072" s="7"/>
      <c r="Q1072" s="7"/>
    </row>
    <row r="1073" spans="1:17" customFormat="1" ht="14.25" customHeight="1">
      <c r="A1073" s="119" t="s">
        <v>3126</v>
      </c>
      <c r="B1073" s="9">
        <v>32</v>
      </c>
      <c r="C1073" s="1" t="s">
        <v>1863</v>
      </c>
      <c r="D1073" s="188">
        <v>3</v>
      </c>
      <c r="E1073" s="6">
        <v>1.75</v>
      </c>
      <c r="F1073" s="7"/>
      <c r="G1073" s="7"/>
      <c r="H1073" s="7"/>
      <c r="I1073" s="7"/>
      <c r="J1073" s="7"/>
      <c r="K1073" s="7"/>
      <c r="L1073" s="7"/>
      <c r="M1073" s="7"/>
      <c r="N1073" s="7"/>
      <c r="O1073" s="7"/>
      <c r="P1073" s="7"/>
      <c r="Q1073" s="7"/>
    </row>
    <row r="1074" spans="1:17" customFormat="1" ht="14.25" customHeight="1">
      <c r="A1074" s="119" t="s">
        <v>3127</v>
      </c>
      <c r="B1074" s="9">
        <v>32</v>
      </c>
      <c r="C1074" s="1" t="s">
        <v>1864</v>
      </c>
      <c r="D1074" s="188">
        <v>3</v>
      </c>
      <c r="E1074" s="6">
        <v>1.75</v>
      </c>
      <c r="F1074" s="7"/>
      <c r="G1074" s="7"/>
      <c r="H1074" s="7"/>
      <c r="I1074" s="7"/>
      <c r="J1074" s="7"/>
      <c r="K1074" s="7"/>
      <c r="L1074" s="7"/>
      <c r="M1074" s="7"/>
      <c r="N1074" s="7"/>
      <c r="O1074" s="7"/>
      <c r="P1074" s="7"/>
      <c r="Q1074" s="7"/>
    </row>
    <row r="1075" spans="1:17" customFormat="1" ht="14.25" customHeight="1">
      <c r="A1075" s="119" t="s">
        <v>3128</v>
      </c>
      <c r="B1075" s="9">
        <v>32</v>
      </c>
      <c r="C1075" s="1" t="s">
        <v>1865</v>
      </c>
      <c r="D1075" s="188">
        <v>3</v>
      </c>
      <c r="E1075" s="6">
        <v>1.75</v>
      </c>
      <c r="F1075" s="7"/>
      <c r="G1075" s="7"/>
      <c r="H1075" s="7"/>
      <c r="I1075" s="7"/>
      <c r="J1075" s="7"/>
      <c r="K1075" s="7"/>
      <c r="L1075" s="7"/>
      <c r="M1075" s="7"/>
      <c r="N1075" s="7"/>
      <c r="O1075" s="7"/>
      <c r="P1075" s="7"/>
      <c r="Q1075" s="7"/>
    </row>
    <row r="1076" spans="1:17" customFormat="1" ht="14.25" customHeight="1">
      <c r="A1076" s="119" t="s">
        <v>3129</v>
      </c>
      <c r="B1076" s="9">
        <v>30</v>
      </c>
      <c r="C1076" s="1" t="s">
        <v>1867</v>
      </c>
      <c r="D1076" s="188">
        <v>5</v>
      </c>
      <c r="E1076" s="6">
        <v>1</v>
      </c>
      <c r="F1076" s="7"/>
      <c r="G1076" s="7"/>
      <c r="H1076" s="7"/>
      <c r="I1076" s="7"/>
      <c r="J1076" s="7"/>
      <c r="K1076" s="7"/>
      <c r="L1076" s="7"/>
      <c r="M1076" s="7"/>
      <c r="N1076" s="7"/>
      <c r="O1076" s="7"/>
      <c r="P1076" s="7"/>
      <c r="Q1076" s="4"/>
    </row>
    <row r="1077" spans="1:17" customFormat="1" ht="14.25" customHeight="1">
      <c r="A1077" s="119" t="s">
        <v>3149</v>
      </c>
      <c r="B1077" s="9">
        <v>24.4</v>
      </c>
      <c r="C1077" s="1" t="s">
        <v>1866</v>
      </c>
      <c r="D1077" s="188">
        <v>20</v>
      </c>
      <c r="E1077" s="6">
        <v>0.6</v>
      </c>
      <c r="F1077" s="7"/>
      <c r="G1077" s="7"/>
      <c r="H1077" s="7"/>
      <c r="I1077" s="7"/>
      <c r="J1077" s="7"/>
      <c r="K1077" s="7"/>
      <c r="L1077" s="7"/>
      <c r="M1077" s="7"/>
      <c r="N1077" s="7"/>
      <c r="O1077" s="7"/>
      <c r="P1077" s="7"/>
      <c r="Q1077" s="7"/>
    </row>
    <row r="1078" spans="1:17" customFormat="1" ht="14.25" customHeight="1">
      <c r="A1078" s="119" t="s">
        <v>3130</v>
      </c>
      <c r="B1078" s="9">
        <v>26</v>
      </c>
      <c r="C1078" s="1" t="s">
        <v>1868</v>
      </c>
      <c r="D1078" s="188">
        <v>10</v>
      </c>
      <c r="E1078" s="6">
        <v>0.6</v>
      </c>
      <c r="F1078" s="7"/>
      <c r="G1078" s="7"/>
      <c r="H1078" s="7"/>
      <c r="I1078" s="7"/>
      <c r="J1078" s="7"/>
      <c r="K1078" s="7"/>
      <c r="L1078" s="7"/>
      <c r="M1078" s="7"/>
      <c r="N1078" s="7"/>
      <c r="O1078" s="7"/>
      <c r="P1078" s="7"/>
      <c r="Q1078" s="7"/>
    </row>
    <row r="1079" spans="1:17" customFormat="1" ht="14.25" customHeight="1">
      <c r="A1079" s="119" t="s">
        <v>3131</v>
      </c>
      <c r="B1079" s="9">
        <v>26.9</v>
      </c>
      <c r="C1079" s="1" t="s">
        <v>1869</v>
      </c>
      <c r="D1079" s="188">
        <v>10</v>
      </c>
      <c r="E1079" s="6">
        <v>0.6</v>
      </c>
      <c r="F1079" s="7"/>
      <c r="G1079" s="7"/>
      <c r="H1079" s="7"/>
      <c r="I1079" s="7"/>
      <c r="J1079" s="7"/>
      <c r="K1079" s="7"/>
      <c r="L1079" s="7"/>
      <c r="M1079" s="7"/>
      <c r="N1079" s="7"/>
      <c r="O1079" s="7"/>
      <c r="P1079" s="7"/>
      <c r="Q1079" s="7"/>
    </row>
    <row r="1080" spans="1:17" customFormat="1" ht="14.25" customHeight="1">
      <c r="A1080" s="119" t="s">
        <v>3132</v>
      </c>
      <c r="B1080" s="9">
        <v>25.2</v>
      </c>
      <c r="C1080" s="1" t="s">
        <v>1870</v>
      </c>
      <c r="D1080" s="188">
        <v>10</v>
      </c>
      <c r="E1080" s="6">
        <v>0.6</v>
      </c>
      <c r="F1080" s="7"/>
      <c r="G1080" s="7"/>
      <c r="H1080" s="7"/>
      <c r="I1080" s="7"/>
      <c r="J1080" s="7"/>
      <c r="K1080" s="7"/>
      <c r="L1080" s="7"/>
      <c r="M1080" s="7"/>
      <c r="N1080" s="7"/>
      <c r="O1080" s="7"/>
      <c r="P1080" s="7"/>
      <c r="Q1080" s="7"/>
    </row>
    <row r="1081" spans="1:17" customFormat="1" ht="14.25" customHeight="1">
      <c r="A1081" s="119" t="s">
        <v>3133</v>
      </c>
      <c r="B1081" s="9">
        <v>19.3</v>
      </c>
      <c r="C1081" s="1" t="s">
        <v>1871</v>
      </c>
      <c r="D1081" s="188">
        <v>5</v>
      </c>
      <c r="E1081" s="6">
        <v>1.1000000000000001</v>
      </c>
      <c r="F1081" s="7"/>
      <c r="G1081" s="7"/>
      <c r="H1081" s="7"/>
      <c r="I1081" s="7"/>
      <c r="J1081" s="7"/>
      <c r="K1081" s="7"/>
      <c r="L1081" s="7"/>
      <c r="M1081" s="7"/>
      <c r="N1081" s="7"/>
      <c r="O1081" s="7"/>
      <c r="P1081" s="7"/>
      <c r="Q1081" s="4"/>
    </row>
    <row r="1082" spans="1:17" customFormat="1" ht="14.25" customHeight="1">
      <c r="A1082" s="119" t="s">
        <v>3134</v>
      </c>
      <c r="B1082" s="9">
        <v>20</v>
      </c>
      <c r="C1082" s="1" t="s">
        <v>1872</v>
      </c>
      <c r="D1082" s="188">
        <v>5</v>
      </c>
      <c r="E1082" s="6">
        <v>1.1000000000000001</v>
      </c>
      <c r="F1082" s="7"/>
      <c r="G1082" s="7"/>
      <c r="H1082" s="7"/>
      <c r="I1082" s="7"/>
      <c r="J1082" s="7"/>
      <c r="K1082" s="7"/>
      <c r="L1082" s="7"/>
      <c r="M1082" s="7"/>
      <c r="N1082" s="7"/>
      <c r="O1082" s="7"/>
      <c r="P1082" s="7"/>
      <c r="Q1082" s="7"/>
    </row>
    <row r="1083" spans="1:17" customFormat="1" ht="14.25" customHeight="1">
      <c r="A1083" s="119" t="s">
        <v>3135</v>
      </c>
      <c r="B1083" s="9">
        <v>57</v>
      </c>
      <c r="C1083" s="1" t="s">
        <v>1873</v>
      </c>
      <c r="D1083" s="188">
        <v>20</v>
      </c>
      <c r="E1083" s="6">
        <v>1.2</v>
      </c>
      <c r="F1083" s="7"/>
      <c r="G1083" s="7"/>
      <c r="H1083" s="7"/>
      <c r="I1083" s="7"/>
      <c r="J1083" s="7"/>
      <c r="K1083" s="7"/>
      <c r="L1083" s="7"/>
      <c r="M1083" s="7"/>
      <c r="N1083" s="7"/>
      <c r="O1083" s="7"/>
      <c r="P1083" s="7"/>
      <c r="Q1083" s="4"/>
    </row>
    <row r="1084" spans="1:17" customFormat="1" ht="14.25" customHeight="1">
      <c r="A1084" s="152" t="s">
        <v>3385</v>
      </c>
      <c r="B1084" s="9">
        <v>12.5</v>
      </c>
      <c r="C1084" s="203" t="s">
        <v>5963</v>
      </c>
      <c r="D1084" s="187">
        <v>5</v>
      </c>
      <c r="E1084" s="7">
        <v>0.45</v>
      </c>
      <c r="F1084" s="7"/>
      <c r="G1084" s="7"/>
      <c r="H1084" s="7"/>
      <c r="I1084" s="7"/>
      <c r="J1084" s="7"/>
      <c r="K1084" s="7"/>
      <c r="L1084" s="7"/>
      <c r="M1084" s="7"/>
      <c r="N1084" s="7"/>
      <c r="O1084" s="7"/>
      <c r="P1084" s="7"/>
      <c r="Q1084" s="7"/>
    </row>
    <row r="1085" spans="1:17" customFormat="1" ht="14.25" customHeight="1">
      <c r="A1085" s="152" t="s">
        <v>3386</v>
      </c>
      <c r="B1085" s="9">
        <v>9.8000000000000007</v>
      </c>
      <c r="C1085" s="203" t="s">
        <v>5964</v>
      </c>
      <c r="D1085" s="187">
        <v>5</v>
      </c>
      <c r="E1085" s="7">
        <v>0.36</v>
      </c>
      <c r="F1085" s="7"/>
      <c r="G1085" s="7"/>
      <c r="H1085" s="7"/>
      <c r="I1085" s="7"/>
      <c r="J1085" s="7"/>
      <c r="K1085" s="7"/>
      <c r="L1085" s="7"/>
      <c r="M1085" s="7"/>
      <c r="N1085" s="7"/>
      <c r="O1085" s="7"/>
      <c r="P1085" s="7"/>
      <c r="Q1085" s="7"/>
    </row>
    <row r="1086" spans="1:17" customFormat="1" ht="14.25" customHeight="1">
      <c r="A1086" s="152" t="s">
        <v>3381</v>
      </c>
      <c r="B1086" s="9">
        <v>18.600000000000001</v>
      </c>
      <c r="C1086" s="203" t="s">
        <v>5965</v>
      </c>
      <c r="D1086" s="187">
        <v>3</v>
      </c>
      <c r="E1086" s="7">
        <v>0.95</v>
      </c>
      <c r="F1086" s="7"/>
      <c r="G1086" s="7"/>
      <c r="H1086" s="7"/>
      <c r="I1086" s="7"/>
      <c r="J1086" s="7"/>
      <c r="K1086" s="7"/>
      <c r="L1086" s="7"/>
      <c r="M1086" s="7"/>
      <c r="N1086" s="7"/>
      <c r="O1086" s="7"/>
      <c r="P1086" s="7"/>
      <c r="Q1086" s="7"/>
    </row>
    <row r="1087" spans="1:17" customFormat="1" ht="14.25" customHeight="1">
      <c r="A1087" s="152" t="s">
        <v>3646</v>
      </c>
      <c r="B1087" s="9">
        <v>18.600000000000001</v>
      </c>
      <c r="C1087" s="203" t="s">
        <v>5966</v>
      </c>
      <c r="D1087" s="187">
        <v>3</v>
      </c>
      <c r="E1087" s="7">
        <v>0.95</v>
      </c>
      <c r="F1087" s="7"/>
      <c r="G1087" s="7"/>
      <c r="H1087" s="7"/>
      <c r="I1087" s="7"/>
      <c r="J1087" s="7"/>
      <c r="K1087" s="7"/>
      <c r="L1087" s="7"/>
      <c r="M1087" s="7"/>
      <c r="N1087" s="7"/>
      <c r="O1087" s="7"/>
      <c r="P1087" s="7"/>
      <c r="Q1087" s="7"/>
    </row>
    <row r="1088" spans="1:17" customFormat="1" ht="14.25" customHeight="1">
      <c r="A1088" s="119" t="s">
        <v>2831</v>
      </c>
      <c r="B1088" s="9">
        <v>23</v>
      </c>
      <c r="C1088" s="7" t="s">
        <v>1188</v>
      </c>
      <c r="D1088" s="187">
        <v>6</v>
      </c>
      <c r="E1088" s="7">
        <v>3</v>
      </c>
      <c r="F1088" s="7"/>
      <c r="G1088" s="7"/>
      <c r="H1088" s="7"/>
      <c r="I1088" s="7"/>
      <c r="J1088" s="7"/>
      <c r="K1088" s="7"/>
      <c r="L1088" s="7"/>
      <c r="M1088" s="7"/>
      <c r="N1088" s="7"/>
      <c r="O1088" s="7"/>
      <c r="P1088" s="7"/>
      <c r="Q1088" s="7"/>
    </row>
    <row r="1089" spans="1:17" customFormat="1" ht="14.25" customHeight="1">
      <c r="A1089" s="119" t="s">
        <v>2832</v>
      </c>
      <c r="B1089" s="9">
        <v>23</v>
      </c>
      <c r="C1089" s="7" t="s">
        <v>1189</v>
      </c>
      <c r="D1089" s="187">
        <v>5</v>
      </c>
      <c r="E1089" s="7">
        <v>3</v>
      </c>
      <c r="F1089" s="7"/>
      <c r="G1089" s="7"/>
      <c r="H1089" s="7"/>
      <c r="I1089" s="7"/>
      <c r="J1089" s="7"/>
      <c r="K1089" s="7"/>
      <c r="L1089" s="7"/>
      <c r="M1089" s="7"/>
      <c r="N1089" s="7"/>
      <c r="O1089" s="7"/>
      <c r="P1089" s="7"/>
      <c r="Q1089" s="7"/>
    </row>
    <row r="1090" spans="1:17" customFormat="1" ht="14.25" customHeight="1">
      <c r="A1090" s="119" t="s">
        <v>2833</v>
      </c>
      <c r="B1090" s="9">
        <v>23</v>
      </c>
      <c r="C1090" s="7" t="s">
        <v>1190</v>
      </c>
      <c r="D1090" s="187">
        <v>5</v>
      </c>
      <c r="E1090" s="7">
        <v>3</v>
      </c>
      <c r="F1090" s="7"/>
      <c r="G1090" s="7"/>
      <c r="H1090" s="7"/>
      <c r="I1090" s="7"/>
      <c r="J1090" s="7"/>
      <c r="K1090" s="7"/>
      <c r="L1090" s="7"/>
      <c r="M1090" s="7"/>
      <c r="N1090" s="7"/>
      <c r="O1090" s="7"/>
      <c r="P1090" s="7"/>
      <c r="Q1090" s="7"/>
    </row>
    <row r="1091" spans="1:17" customFormat="1" ht="14.25" customHeight="1">
      <c r="A1091" s="119" t="s">
        <v>2834</v>
      </c>
      <c r="B1091" s="9">
        <v>23</v>
      </c>
      <c r="C1091" s="7" t="s">
        <v>1191</v>
      </c>
      <c r="D1091" s="187">
        <v>5</v>
      </c>
      <c r="E1091" s="7">
        <v>3</v>
      </c>
      <c r="F1091" s="7"/>
      <c r="G1091" s="7"/>
      <c r="H1091" s="7"/>
      <c r="I1091" s="7"/>
      <c r="J1091" s="7"/>
      <c r="K1091" s="7"/>
      <c r="L1091" s="7"/>
      <c r="M1091" s="7"/>
      <c r="N1091" s="7"/>
      <c r="O1091" s="7"/>
      <c r="P1091" s="7"/>
      <c r="Q1091" s="7"/>
    </row>
    <row r="1092" spans="1:17" customFormat="1" ht="14.25" customHeight="1">
      <c r="A1092" s="119" t="s">
        <v>2835</v>
      </c>
      <c r="B1092" s="9">
        <v>23</v>
      </c>
      <c r="C1092" s="7" t="s">
        <v>1193</v>
      </c>
      <c r="D1092" s="187">
        <v>3</v>
      </c>
      <c r="E1092" s="7">
        <v>3</v>
      </c>
      <c r="F1092" s="7"/>
      <c r="G1092" s="7"/>
      <c r="H1092" s="7"/>
      <c r="I1092" s="7"/>
      <c r="J1092" s="7"/>
      <c r="K1092" s="7"/>
      <c r="L1092" s="7"/>
      <c r="M1092" s="7"/>
      <c r="N1092" s="7"/>
      <c r="O1092" s="7"/>
      <c r="P1092" s="7"/>
      <c r="Q1092" s="7"/>
    </row>
    <row r="1093" spans="1:17" customFormat="1" ht="14.25" customHeight="1">
      <c r="A1093" s="119" t="s">
        <v>2836</v>
      </c>
      <c r="B1093" s="9">
        <v>23</v>
      </c>
      <c r="C1093" s="7" t="s">
        <v>1192</v>
      </c>
      <c r="D1093" s="187">
        <v>3</v>
      </c>
      <c r="E1093" s="7">
        <v>3</v>
      </c>
      <c r="F1093" s="7"/>
      <c r="G1093" s="7"/>
      <c r="H1093" s="7"/>
      <c r="I1093" s="7"/>
      <c r="J1093" s="7"/>
      <c r="K1093" s="7"/>
      <c r="L1093" s="7"/>
      <c r="M1093" s="7"/>
      <c r="N1093" s="7"/>
      <c r="O1093" s="7"/>
      <c r="P1093" s="7"/>
      <c r="Q1093" s="7"/>
    </row>
    <row r="1094" spans="1:17" customFormat="1" ht="14.25" customHeight="1">
      <c r="A1094" s="119" t="s">
        <v>2837</v>
      </c>
      <c r="B1094" s="9">
        <v>22</v>
      </c>
      <c r="C1094" s="7" t="s">
        <v>1194</v>
      </c>
      <c r="D1094" s="187">
        <v>3</v>
      </c>
      <c r="E1094" s="7">
        <v>1.7</v>
      </c>
      <c r="F1094" s="7"/>
      <c r="G1094" s="7"/>
      <c r="H1094" s="7"/>
      <c r="I1094" s="7"/>
      <c r="J1094" s="7"/>
      <c r="K1094" s="7"/>
      <c r="L1094" s="7"/>
      <c r="M1094" s="7"/>
      <c r="N1094" s="7"/>
      <c r="O1094" s="7"/>
      <c r="P1094" s="7"/>
      <c r="Q1094" s="7"/>
    </row>
    <row r="1095" spans="1:17" customFormat="1" ht="14.25" customHeight="1">
      <c r="A1095" s="119" t="s">
        <v>2838</v>
      </c>
      <c r="B1095" s="9">
        <v>22</v>
      </c>
      <c r="C1095" s="7" t="s">
        <v>1195</v>
      </c>
      <c r="D1095" s="187">
        <v>3</v>
      </c>
      <c r="E1095" s="7">
        <v>1.7</v>
      </c>
      <c r="F1095" s="7"/>
      <c r="G1095" s="7"/>
      <c r="H1095" s="7"/>
      <c r="I1095" s="7"/>
      <c r="J1095" s="7"/>
      <c r="K1095" s="7"/>
      <c r="L1095" s="7"/>
      <c r="M1095" s="7"/>
      <c r="N1095" s="7"/>
      <c r="O1095" s="7"/>
      <c r="P1095" s="7"/>
      <c r="Q1095" s="7"/>
    </row>
    <row r="1096" spans="1:17" customFormat="1" ht="14.25" customHeight="1">
      <c r="A1096" s="119" t="s">
        <v>2839</v>
      </c>
      <c r="B1096" s="9">
        <v>22</v>
      </c>
      <c r="C1096" s="7" t="s">
        <v>1196</v>
      </c>
      <c r="D1096" s="187">
        <v>3</v>
      </c>
      <c r="E1096" s="7">
        <v>1.7</v>
      </c>
      <c r="F1096" s="7"/>
      <c r="G1096" s="7"/>
      <c r="H1096" s="7"/>
      <c r="I1096" s="7"/>
      <c r="J1096" s="7"/>
      <c r="K1096" s="7"/>
      <c r="L1096" s="7"/>
      <c r="M1096" s="7"/>
      <c r="N1096" s="7"/>
      <c r="O1096" s="7"/>
      <c r="P1096" s="7"/>
      <c r="Q1096" s="4"/>
    </row>
    <row r="1097" spans="1:17" customFormat="1" ht="14.25" customHeight="1">
      <c r="A1097" s="119" t="s">
        <v>2840</v>
      </c>
      <c r="B1097" s="9">
        <v>22</v>
      </c>
      <c r="C1097" s="7" t="s">
        <v>1197</v>
      </c>
      <c r="D1097" s="187">
        <v>3</v>
      </c>
      <c r="E1097" s="7">
        <v>1.7</v>
      </c>
      <c r="F1097" s="7"/>
      <c r="G1097" s="7"/>
      <c r="H1097" s="7"/>
      <c r="I1097" s="7"/>
      <c r="J1097" s="7"/>
      <c r="K1097" s="7"/>
      <c r="L1097" s="7"/>
      <c r="M1097" s="7"/>
      <c r="N1097" s="7"/>
      <c r="O1097" s="7"/>
      <c r="P1097" s="7"/>
      <c r="Q1097" s="7"/>
    </row>
    <row r="1098" spans="1:17" customFormat="1" ht="14.25" customHeight="1">
      <c r="A1098" s="119" t="s">
        <v>2841</v>
      </c>
      <c r="B1098" s="9">
        <v>22</v>
      </c>
      <c r="C1098" s="7" t="s">
        <v>1198</v>
      </c>
      <c r="D1098" s="187">
        <v>3</v>
      </c>
      <c r="E1098" s="7">
        <v>1.7</v>
      </c>
      <c r="F1098" s="7"/>
      <c r="G1098" s="7"/>
      <c r="H1098" s="7"/>
      <c r="I1098" s="7"/>
      <c r="J1098" s="7"/>
      <c r="K1098" s="7"/>
      <c r="L1098" s="7"/>
      <c r="M1098" s="7"/>
      <c r="N1098" s="7"/>
      <c r="O1098" s="7"/>
      <c r="P1098" s="7"/>
      <c r="Q1098" s="7"/>
    </row>
    <row r="1099" spans="1:17" customFormat="1" ht="14.25" customHeight="1">
      <c r="A1099" s="119" t="s">
        <v>2842</v>
      </c>
      <c r="B1099" s="9">
        <v>22</v>
      </c>
      <c r="C1099" s="7" t="s">
        <v>1199</v>
      </c>
      <c r="D1099" s="187">
        <v>2</v>
      </c>
      <c r="E1099" s="7">
        <v>1.7</v>
      </c>
      <c r="F1099" s="7"/>
      <c r="G1099" s="7"/>
      <c r="H1099" s="7"/>
      <c r="I1099" s="7"/>
      <c r="J1099" s="7"/>
      <c r="K1099" s="7"/>
      <c r="L1099" s="7"/>
      <c r="M1099" s="7"/>
      <c r="N1099" s="7"/>
      <c r="O1099" s="7"/>
      <c r="P1099" s="7"/>
      <c r="Q1099" s="7"/>
    </row>
    <row r="1100" spans="1:17" customFormat="1" ht="14.25" customHeight="1">
      <c r="A1100" s="119" t="s">
        <v>2843</v>
      </c>
      <c r="B1100" s="9">
        <v>22</v>
      </c>
      <c r="C1100" s="7" t="s">
        <v>1200</v>
      </c>
      <c r="D1100" s="187">
        <v>2</v>
      </c>
      <c r="E1100" s="7">
        <v>1.7</v>
      </c>
      <c r="F1100" s="7"/>
      <c r="G1100" s="7"/>
      <c r="H1100" s="7"/>
      <c r="I1100" s="7"/>
      <c r="J1100" s="7"/>
      <c r="K1100" s="7"/>
      <c r="L1100" s="7"/>
      <c r="M1100" s="7"/>
      <c r="N1100" s="7"/>
      <c r="O1100" s="7"/>
      <c r="P1100" s="7"/>
      <c r="Q1100" s="7"/>
    </row>
    <row r="1101" spans="1:17" customFormat="1" ht="14.25" customHeight="1">
      <c r="A1101" s="119" t="s">
        <v>2844</v>
      </c>
      <c r="B1101" s="9">
        <v>21</v>
      </c>
      <c r="C1101" s="7" t="s">
        <v>1207</v>
      </c>
      <c r="D1101" s="187">
        <v>3</v>
      </c>
      <c r="E1101" s="7">
        <v>1.7</v>
      </c>
      <c r="F1101" s="7"/>
      <c r="G1101" s="7"/>
      <c r="H1101" s="7"/>
      <c r="I1101" s="7"/>
      <c r="J1101" s="7"/>
      <c r="K1101" s="7"/>
      <c r="L1101" s="7"/>
      <c r="M1101" s="7"/>
      <c r="N1101" s="7"/>
      <c r="O1101" s="7"/>
      <c r="P1101" s="7"/>
      <c r="Q1101" s="7"/>
    </row>
    <row r="1102" spans="1:17" customFormat="1" ht="14.25" customHeight="1">
      <c r="A1102" s="119" t="s">
        <v>2845</v>
      </c>
      <c r="B1102" s="9">
        <v>21</v>
      </c>
      <c r="C1102" s="7" t="s">
        <v>1201</v>
      </c>
      <c r="D1102" s="187">
        <v>3</v>
      </c>
      <c r="E1102" s="7">
        <v>1.7</v>
      </c>
      <c r="F1102" s="7"/>
      <c r="G1102" s="7"/>
      <c r="H1102" s="7"/>
      <c r="I1102" s="7"/>
      <c r="J1102" s="7"/>
      <c r="K1102" s="7"/>
      <c r="L1102" s="7"/>
      <c r="M1102" s="7"/>
      <c r="N1102" s="7"/>
      <c r="O1102" s="7"/>
      <c r="P1102" s="7"/>
      <c r="Q1102" s="7"/>
    </row>
    <row r="1103" spans="1:17" customFormat="1" ht="14.25" customHeight="1">
      <c r="A1103" s="119" t="s">
        <v>2846</v>
      </c>
      <c r="B1103" s="9">
        <v>21</v>
      </c>
      <c r="C1103" s="7" t="s">
        <v>1202</v>
      </c>
      <c r="D1103" s="187">
        <v>3</v>
      </c>
      <c r="E1103" s="7">
        <v>1.7</v>
      </c>
      <c r="F1103" s="7"/>
      <c r="G1103" s="7"/>
      <c r="H1103" s="7"/>
      <c r="I1103" s="7"/>
      <c r="J1103" s="7"/>
      <c r="K1103" s="7"/>
      <c r="L1103" s="7"/>
      <c r="M1103" s="7"/>
      <c r="N1103" s="7"/>
      <c r="O1103" s="7"/>
      <c r="P1103" s="7"/>
      <c r="Q1103" s="7"/>
    </row>
    <row r="1104" spans="1:17" customFormat="1" ht="14.25" customHeight="1">
      <c r="A1104" s="119" t="s">
        <v>2847</v>
      </c>
      <c r="B1104" s="9">
        <v>21</v>
      </c>
      <c r="C1104" s="7" t="s">
        <v>1203</v>
      </c>
      <c r="D1104" s="187">
        <v>3</v>
      </c>
      <c r="E1104" s="7">
        <v>1.7</v>
      </c>
      <c r="F1104" s="7"/>
      <c r="G1104" s="7"/>
      <c r="H1104" s="7"/>
      <c r="I1104" s="7"/>
      <c r="J1104" s="7"/>
      <c r="K1104" s="7"/>
      <c r="L1104" s="7"/>
      <c r="M1104" s="7"/>
      <c r="N1104" s="7"/>
      <c r="O1104" s="7"/>
      <c r="P1104" s="7"/>
      <c r="Q1104" s="7"/>
    </row>
    <row r="1105" spans="1:17" customFormat="1" ht="14.25" customHeight="1">
      <c r="A1105" s="119" t="s">
        <v>2848</v>
      </c>
      <c r="B1105" s="9">
        <v>21</v>
      </c>
      <c r="C1105" s="7" t="s">
        <v>1204</v>
      </c>
      <c r="D1105" s="187">
        <v>3</v>
      </c>
      <c r="E1105" s="7">
        <v>1.7</v>
      </c>
      <c r="F1105" s="7"/>
      <c r="G1105" s="7"/>
      <c r="H1105" s="7"/>
      <c r="I1105" s="7"/>
      <c r="J1105" s="7"/>
      <c r="K1105" s="7"/>
      <c r="L1105" s="7"/>
      <c r="M1105" s="7"/>
      <c r="N1105" s="7"/>
      <c r="O1105" s="7"/>
      <c r="P1105" s="7"/>
      <c r="Q1105" s="7"/>
    </row>
    <row r="1106" spans="1:17" customFormat="1" ht="14.25" customHeight="1">
      <c r="A1106" s="119" t="s">
        <v>2849</v>
      </c>
      <c r="B1106" s="9">
        <v>21</v>
      </c>
      <c r="C1106" s="7" t="s">
        <v>1205</v>
      </c>
      <c r="D1106" s="187">
        <v>2</v>
      </c>
      <c r="E1106" s="7">
        <v>1.7</v>
      </c>
      <c r="F1106" s="7"/>
      <c r="G1106" s="7"/>
      <c r="H1106" s="7"/>
      <c r="I1106" s="7"/>
      <c r="J1106" s="7"/>
      <c r="K1106" s="7"/>
      <c r="L1106" s="7"/>
      <c r="M1106" s="7"/>
      <c r="N1106" s="7"/>
      <c r="O1106" s="7"/>
      <c r="P1106" s="7"/>
      <c r="Q1106" s="7"/>
    </row>
    <row r="1107" spans="1:17" customFormat="1" ht="14.25" customHeight="1">
      <c r="A1107" s="119" t="s">
        <v>2850</v>
      </c>
      <c r="B1107" s="9">
        <v>21</v>
      </c>
      <c r="C1107" s="7" t="s">
        <v>1206</v>
      </c>
      <c r="D1107" s="187">
        <v>2</v>
      </c>
      <c r="E1107" s="7">
        <v>1.7</v>
      </c>
      <c r="F1107" s="7"/>
      <c r="G1107" s="7"/>
      <c r="H1107" s="7"/>
      <c r="I1107" s="7"/>
      <c r="J1107" s="7"/>
      <c r="K1107" s="7"/>
      <c r="L1107" s="7"/>
      <c r="M1107" s="7"/>
      <c r="N1107" s="7"/>
      <c r="O1107" s="7"/>
      <c r="P1107" s="7"/>
      <c r="Q1107" s="7"/>
    </row>
    <row r="1108" spans="1:17" customFormat="1" ht="14.25" customHeight="1">
      <c r="A1108" s="119" t="s">
        <v>2852</v>
      </c>
      <c r="B1108" s="9">
        <v>17</v>
      </c>
      <c r="C1108" s="7" t="s">
        <v>1672</v>
      </c>
      <c r="D1108" s="187">
        <v>3</v>
      </c>
      <c r="E1108" s="7">
        <v>1.6</v>
      </c>
      <c r="F1108" s="7"/>
      <c r="G1108" s="7"/>
      <c r="H1108" s="7"/>
      <c r="I1108" s="7"/>
      <c r="J1108" s="7"/>
      <c r="K1108" s="7"/>
      <c r="L1108" s="7"/>
      <c r="M1108" s="7"/>
      <c r="N1108" s="7"/>
      <c r="O1108" s="7"/>
      <c r="P1108" s="7"/>
      <c r="Q1108" s="7"/>
    </row>
    <row r="1109" spans="1:17" customFormat="1" ht="14.25" customHeight="1">
      <c r="A1109" s="119" t="s">
        <v>2853</v>
      </c>
      <c r="B1109" s="9">
        <v>17</v>
      </c>
      <c r="C1109" s="7" t="s">
        <v>1220</v>
      </c>
      <c r="D1109" s="187">
        <v>3</v>
      </c>
      <c r="E1109" s="7">
        <v>1.6</v>
      </c>
      <c r="F1109" s="7"/>
      <c r="G1109" s="7"/>
      <c r="H1109" s="7"/>
      <c r="I1109" s="7"/>
      <c r="J1109" s="7"/>
      <c r="K1109" s="7"/>
      <c r="L1109" s="7"/>
      <c r="M1109" s="7"/>
      <c r="N1109" s="7"/>
      <c r="O1109" s="7"/>
      <c r="P1109" s="7"/>
      <c r="Q1109" s="7"/>
    </row>
    <row r="1110" spans="1:17" customFormat="1" ht="14.25" customHeight="1">
      <c r="A1110" s="119" t="s">
        <v>2854</v>
      </c>
      <c r="B1110" s="9">
        <v>17</v>
      </c>
      <c r="C1110" s="7" t="s">
        <v>1221</v>
      </c>
      <c r="D1110" s="187">
        <v>3</v>
      </c>
      <c r="E1110" s="7">
        <v>1.6</v>
      </c>
      <c r="F1110" s="7"/>
      <c r="G1110" s="7"/>
      <c r="H1110" s="7"/>
      <c r="I1110" s="7"/>
      <c r="J1110" s="7"/>
      <c r="K1110" s="7"/>
      <c r="L1110" s="7"/>
      <c r="M1110" s="7"/>
      <c r="N1110" s="7"/>
      <c r="O1110" s="7"/>
      <c r="P1110" s="7"/>
      <c r="Q1110" s="7"/>
    </row>
    <row r="1111" spans="1:17" customFormat="1" ht="14.25" customHeight="1">
      <c r="A1111" s="119" t="s">
        <v>2855</v>
      </c>
      <c r="B1111" s="9">
        <v>17</v>
      </c>
      <c r="C1111" s="7" t="s">
        <v>1222</v>
      </c>
      <c r="D1111" s="187">
        <v>3</v>
      </c>
      <c r="E1111" s="7">
        <v>1.6</v>
      </c>
      <c r="F1111" s="7"/>
      <c r="G1111" s="7"/>
      <c r="H1111" s="7"/>
      <c r="I1111" s="7"/>
      <c r="J1111" s="7"/>
      <c r="K1111" s="7"/>
      <c r="L1111" s="7"/>
      <c r="M1111" s="7"/>
      <c r="N1111" s="7"/>
      <c r="O1111" s="7"/>
      <c r="P1111" s="7"/>
      <c r="Q1111" s="7"/>
    </row>
    <row r="1112" spans="1:17" customFormat="1" ht="14.25" customHeight="1">
      <c r="A1112" s="119" t="s">
        <v>2856</v>
      </c>
      <c r="B1112" s="9">
        <v>17</v>
      </c>
      <c r="C1112" s="7" t="s">
        <v>1223</v>
      </c>
      <c r="D1112" s="187">
        <v>3</v>
      </c>
      <c r="E1112" s="7">
        <v>1.6</v>
      </c>
      <c r="F1112" s="7"/>
      <c r="G1112" s="7"/>
      <c r="H1112" s="7"/>
      <c r="I1112" s="7"/>
      <c r="J1112" s="7"/>
      <c r="K1112" s="7"/>
      <c r="L1112" s="7"/>
      <c r="M1112" s="7"/>
      <c r="N1112" s="7"/>
      <c r="O1112" s="7"/>
      <c r="P1112" s="7"/>
      <c r="Q1112" s="7"/>
    </row>
    <row r="1113" spans="1:17" customFormat="1" ht="14.25" customHeight="1">
      <c r="A1113" s="119" t="s">
        <v>2857</v>
      </c>
      <c r="B1113" s="9">
        <v>17</v>
      </c>
      <c r="C1113" s="7" t="s">
        <v>1224</v>
      </c>
      <c r="D1113" s="187">
        <v>2</v>
      </c>
      <c r="E1113" s="7">
        <v>1.6</v>
      </c>
      <c r="F1113" s="7"/>
      <c r="G1113" s="7"/>
      <c r="H1113" s="7"/>
      <c r="I1113" s="7"/>
      <c r="J1113" s="7"/>
      <c r="K1113" s="7"/>
      <c r="L1113" s="7"/>
      <c r="M1113" s="7"/>
      <c r="N1113" s="7"/>
      <c r="O1113" s="7"/>
      <c r="P1113" s="7"/>
      <c r="Q1113" s="7"/>
    </row>
    <row r="1114" spans="1:17" customFormat="1" ht="14.25" customHeight="1">
      <c r="A1114" s="119" t="s">
        <v>2858</v>
      </c>
      <c r="B1114" s="9">
        <v>17</v>
      </c>
      <c r="C1114" s="7" t="s">
        <v>1225</v>
      </c>
      <c r="D1114" s="187">
        <v>2</v>
      </c>
      <c r="E1114" s="7">
        <v>1.6</v>
      </c>
      <c r="F1114" s="7"/>
      <c r="G1114" s="7"/>
      <c r="H1114" s="7"/>
      <c r="I1114" s="7"/>
      <c r="J1114" s="7"/>
      <c r="K1114" s="7"/>
      <c r="L1114" s="7"/>
      <c r="M1114" s="7"/>
      <c r="N1114" s="7"/>
      <c r="O1114" s="7"/>
      <c r="P1114" s="7"/>
      <c r="Q1114" s="7"/>
    </row>
    <row r="1115" spans="1:17" customFormat="1" ht="14.25" customHeight="1">
      <c r="A1115" s="120" t="s">
        <v>2884</v>
      </c>
      <c r="B1115" s="9">
        <v>23.5</v>
      </c>
      <c r="C1115" s="7" t="s">
        <v>1179</v>
      </c>
      <c r="D1115" s="187">
        <v>3</v>
      </c>
      <c r="E1115" s="7">
        <v>1.65</v>
      </c>
      <c r="F1115" s="7"/>
      <c r="G1115" s="7"/>
      <c r="H1115" s="7"/>
      <c r="I1115" s="7"/>
      <c r="J1115" s="7"/>
      <c r="K1115" s="7"/>
      <c r="L1115" s="7"/>
      <c r="M1115" s="7"/>
      <c r="N1115" s="7"/>
      <c r="O1115" s="7"/>
      <c r="P1115" s="7"/>
      <c r="Q1115" s="7"/>
    </row>
    <row r="1116" spans="1:17" customFormat="1" ht="14.25" customHeight="1">
      <c r="A1116" s="120" t="s">
        <v>2885</v>
      </c>
      <c r="B1116" s="9">
        <v>23.5</v>
      </c>
      <c r="C1116" s="7" t="s">
        <v>1181</v>
      </c>
      <c r="D1116" s="187">
        <v>3</v>
      </c>
      <c r="E1116" s="7">
        <v>1.65</v>
      </c>
      <c r="F1116" s="7"/>
      <c r="G1116" s="7"/>
      <c r="H1116" s="7"/>
      <c r="I1116" s="7"/>
      <c r="J1116" s="7"/>
      <c r="K1116" s="7"/>
      <c r="L1116" s="7"/>
      <c r="M1116" s="7"/>
      <c r="N1116" s="7"/>
      <c r="O1116" s="7"/>
      <c r="P1116" s="7"/>
      <c r="Q1116" s="7"/>
    </row>
    <row r="1117" spans="1:17" customFormat="1" ht="14.25" customHeight="1">
      <c r="A1117" s="120" t="s">
        <v>2886</v>
      </c>
      <c r="B1117" s="9">
        <v>23.8</v>
      </c>
      <c r="C1117" s="7" t="s">
        <v>1180</v>
      </c>
      <c r="D1117" s="187">
        <v>3</v>
      </c>
      <c r="E1117" s="7">
        <v>1.65</v>
      </c>
      <c r="F1117" s="7"/>
      <c r="G1117" s="7"/>
      <c r="H1117" s="7"/>
      <c r="I1117" s="7"/>
      <c r="J1117" s="7"/>
      <c r="K1117" s="7"/>
      <c r="L1117" s="7"/>
      <c r="M1117" s="7"/>
      <c r="N1117" s="7"/>
      <c r="O1117" s="7"/>
      <c r="P1117" s="7"/>
      <c r="Q1117" s="7"/>
    </row>
    <row r="1118" spans="1:17" customFormat="1" ht="14.25" customHeight="1">
      <c r="A1118" s="120" t="s">
        <v>2887</v>
      </c>
      <c r="B1118" s="9">
        <v>29.4</v>
      </c>
      <c r="C1118" s="7" t="s">
        <v>1182</v>
      </c>
      <c r="D1118" s="187">
        <v>3</v>
      </c>
      <c r="E1118" s="7">
        <v>1.65</v>
      </c>
      <c r="F1118" s="7"/>
      <c r="G1118" s="7"/>
      <c r="H1118" s="7"/>
      <c r="I1118" s="7"/>
      <c r="J1118" s="7"/>
      <c r="K1118" s="7"/>
      <c r="L1118" s="7"/>
      <c r="M1118" s="7"/>
      <c r="N1118" s="7"/>
      <c r="O1118" s="7"/>
      <c r="P1118" s="7"/>
      <c r="Q1118" s="7"/>
    </row>
    <row r="1119" spans="1:17" customFormat="1" ht="14.25" customHeight="1">
      <c r="A1119" s="120" t="s">
        <v>2888</v>
      </c>
      <c r="B1119" s="9">
        <v>27.2</v>
      </c>
      <c r="C1119" s="7" t="s">
        <v>1183</v>
      </c>
      <c r="D1119" s="187">
        <v>3</v>
      </c>
      <c r="E1119" s="7">
        <v>1.65</v>
      </c>
      <c r="F1119" s="7"/>
      <c r="G1119" s="7"/>
      <c r="H1119" s="7"/>
      <c r="I1119" s="7"/>
      <c r="J1119" s="7"/>
      <c r="K1119" s="7"/>
      <c r="L1119" s="7"/>
      <c r="M1119" s="7"/>
      <c r="N1119" s="7"/>
      <c r="O1119" s="7"/>
      <c r="P1119" s="7"/>
      <c r="Q1119" s="7"/>
    </row>
    <row r="1120" spans="1:17" customFormat="1" ht="14.25" customHeight="1">
      <c r="A1120" s="120" t="s">
        <v>2889</v>
      </c>
      <c r="B1120" s="9">
        <v>26.5</v>
      </c>
      <c r="C1120" s="7" t="s">
        <v>1184</v>
      </c>
      <c r="D1120" s="187">
        <v>3</v>
      </c>
      <c r="E1120" s="7">
        <v>1.65</v>
      </c>
      <c r="F1120" s="7"/>
      <c r="G1120" s="7"/>
      <c r="H1120" s="7"/>
      <c r="I1120" s="7"/>
      <c r="J1120" s="7"/>
      <c r="K1120" s="7"/>
      <c r="L1120" s="7"/>
      <c r="M1120" s="7"/>
      <c r="N1120" s="7"/>
      <c r="O1120" s="7"/>
      <c r="P1120" s="7"/>
      <c r="Q1120" s="7"/>
    </row>
    <row r="1121" spans="1:17" customFormat="1" ht="14.25" customHeight="1">
      <c r="A1121" s="120" t="s">
        <v>2890</v>
      </c>
      <c r="B1121" s="9">
        <v>26.8</v>
      </c>
      <c r="C1121" s="7" t="s">
        <v>1185</v>
      </c>
      <c r="D1121" s="187">
        <v>3</v>
      </c>
      <c r="E1121" s="7">
        <v>1.65</v>
      </c>
      <c r="F1121" s="7"/>
      <c r="G1121" s="7"/>
      <c r="H1121" s="7"/>
      <c r="I1121" s="7"/>
      <c r="J1121" s="7"/>
      <c r="K1121" s="7"/>
      <c r="L1121" s="7"/>
      <c r="M1121" s="7"/>
      <c r="N1121" s="7"/>
      <c r="O1121" s="7"/>
      <c r="P1121" s="7"/>
      <c r="Q1121" s="7"/>
    </row>
    <row r="1122" spans="1:17" customFormat="1" ht="14.25" customHeight="1">
      <c r="A1122" s="120" t="s">
        <v>2891</v>
      </c>
      <c r="B1122" s="9">
        <v>23.3</v>
      </c>
      <c r="C1122" s="7" t="s">
        <v>1186</v>
      </c>
      <c r="D1122" s="187">
        <v>3</v>
      </c>
      <c r="E1122" s="7">
        <v>1.65</v>
      </c>
      <c r="F1122" s="7"/>
      <c r="G1122" s="7"/>
      <c r="H1122" s="7"/>
      <c r="I1122" s="7"/>
      <c r="J1122" s="7"/>
      <c r="K1122" s="7"/>
      <c r="L1122" s="7"/>
      <c r="M1122" s="7"/>
      <c r="N1122" s="7"/>
      <c r="O1122" s="7"/>
      <c r="P1122" s="7"/>
      <c r="Q1122" s="7"/>
    </row>
    <row r="1123" spans="1:17" customFormat="1" ht="14.25" customHeight="1">
      <c r="A1123" s="120" t="s">
        <v>2893</v>
      </c>
      <c r="B1123" s="9">
        <v>23.6</v>
      </c>
      <c r="C1123" s="1" t="s">
        <v>2892</v>
      </c>
      <c r="D1123" s="187">
        <v>3</v>
      </c>
      <c r="E1123" s="7">
        <v>1.65</v>
      </c>
      <c r="F1123" s="7"/>
      <c r="G1123" s="7"/>
      <c r="H1123" s="7"/>
      <c r="I1123" s="7"/>
      <c r="J1123" s="7"/>
      <c r="K1123" s="7"/>
      <c r="L1123" s="7"/>
      <c r="M1123" s="7"/>
      <c r="N1123" s="7"/>
      <c r="O1123" s="7"/>
      <c r="P1123" s="7"/>
      <c r="Q1123" s="7"/>
    </row>
    <row r="1124" spans="1:17" customFormat="1" ht="14.25" customHeight="1">
      <c r="A1124" s="198" t="s">
        <v>4198</v>
      </c>
      <c r="B1124" s="9">
        <v>20.6</v>
      </c>
      <c r="C1124" s="7" t="s">
        <v>1147</v>
      </c>
      <c r="D1124" s="187">
        <v>3</v>
      </c>
      <c r="E1124" s="7">
        <v>1.75</v>
      </c>
      <c r="F1124" s="7"/>
      <c r="G1124" s="7"/>
      <c r="H1124" s="7"/>
      <c r="I1124" s="7"/>
      <c r="J1124" s="7"/>
      <c r="K1124" s="7"/>
      <c r="L1124" s="7"/>
      <c r="M1124" s="7"/>
      <c r="N1124" s="7"/>
      <c r="O1124" s="7"/>
      <c r="P1124" s="7"/>
      <c r="Q1124" s="7"/>
    </row>
    <row r="1125" spans="1:17" customFormat="1" ht="14.25" customHeight="1">
      <c r="A1125" s="198" t="s">
        <v>4200</v>
      </c>
      <c r="B1125" s="9">
        <v>19.7</v>
      </c>
      <c r="C1125" s="7" t="s">
        <v>1148</v>
      </c>
      <c r="D1125" s="187">
        <v>3</v>
      </c>
      <c r="E1125" s="7">
        <v>1.75</v>
      </c>
      <c r="F1125" s="7"/>
      <c r="G1125" s="7"/>
      <c r="H1125" s="7"/>
      <c r="I1125" s="7"/>
      <c r="J1125" s="7"/>
      <c r="K1125" s="7"/>
      <c r="L1125" s="7"/>
      <c r="M1125" s="7"/>
      <c r="N1125" s="7"/>
      <c r="O1125" s="7"/>
      <c r="P1125" s="7"/>
      <c r="Q1125" s="7"/>
    </row>
    <row r="1126" spans="1:17" customFormat="1" ht="14.25" customHeight="1">
      <c r="A1126" s="198" t="s">
        <v>4202</v>
      </c>
      <c r="B1126" s="9">
        <v>19.2</v>
      </c>
      <c r="C1126" s="7" t="s">
        <v>1149</v>
      </c>
      <c r="D1126" s="187">
        <v>3</v>
      </c>
      <c r="E1126" s="7">
        <v>1.75</v>
      </c>
      <c r="F1126" s="7"/>
      <c r="G1126" s="7"/>
      <c r="H1126" s="7"/>
      <c r="I1126" s="7"/>
      <c r="J1126" s="7"/>
      <c r="K1126" s="7"/>
      <c r="L1126" s="7"/>
      <c r="M1126" s="7"/>
      <c r="N1126" s="7"/>
      <c r="O1126" s="7"/>
      <c r="P1126" s="7"/>
      <c r="Q1126" s="7"/>
    </row>
    <row r="1127" spans="1:17" customFormat="1" ht="14.25" customHeight="1">
      <c r="A1127" s="198" t="s">
        <v>4204</v>
      </c>
      <c r="B1127" s="9">
        <v>19.2</v>
      </c>
      <c r="C1127" s="7" t="s">
        <v>1150</v>
      </c>
      <c r="D1127" s="187">
        <v>3</v>
      </c>
      <c r="E1127" s="7">
        <v>1.75</v>
      </c>
      <c r="F1127" s="7"/>
      <c r="G1127" s="7"/>
      <c r="H1127" s="7"/>
      <c r="I1127" s="7"/>
      <c r="J1127" s="7"/>
      <c r="K1127" s="7"/>
      <c r="L1127" s="7"/>
      <c r="M1127" s="7"/>
      <c r="N1127" s="7"/>
      <c r="O1127" s="7"/>
      <c r="P1127" s="7"/>
      <c r="Q1127" s="7"/>
    </row>
    <row r="1128" spans="1:17" customFormat="1" ht="14.25" customHeight="1">
      <c r="A1128" s="198" t="s">
        <v>4206</v>
      </c>
      <c r="B1128" s="9">
        <v>20.399999999999999</v>
      </c>
      <c r="C1128" s="7" t="s">
        <v>1151</v>
      </c>
      <c r="D1128" s="187">
        <v>3</v>
      </c>
      <c r="E1128" s="7">
        <v>1.75</v>
      </c>
      <c r="F1128" s="7"/>
      <c r="G1128" s="7"/>
      <c r="H1128" s="7"/>
      <c r="I1128" s="7"/>
      <c r="J1128" s="7"/>
      <c r="K1128" s="7"/>
      <c r="L1128" s="7"/>
      <c r="M1128" s="7"/>
      <c r="N1128" s="7"/>
      <c r="O1128" s="7"/>
      <c r="P1128" s="7"/>
      <c r="Q1128" s="7"/>
    </row>
    <row r="1129" spans="1:17" customFormat="1" ht="14.25" customHeight="1">
      <c r="A1129" s="198" t="s">
        <v>4208</v>
      </c>
      <c r="B1129" s="9">
        <v>20.8</v>
      </c>
      <c r="C1129" s="7" t="s">
        <v>1146</v>
      </c>
      <c r="D1129" s="187">
        <v>3</v>
      </c>
      <c r="E1129" s="7">
        <v>1.75</v>
      </c>
      <c r="F1129" s="7"/>
      <c r="G1129" s="7"/>
      <c r="H1129" s="7"/>
      <c r="I1129" s="7"/>
      <c r="J1129" s="7"/>
      <c r="K1129" s="7"/>
      <c r="L1129" s="7"/>
      <c r="M1129" s="7"/>
      <c r="N1129" s="7"/>
      <c r="O1129" s="7"/>
      <c r="P1129" s="7"/>
      <c r="Q1129" s="7"/>
    </row>
    <row r="1130" spans="1:17" customFormat="1" ht="14.25" customHeight="1">
      <c r="A1130" s="198" t="s">
        <v>4210</v>
      </c>
      <c r="B1130" s="9">
        <v>19.8</v>
      </c>
      <c r="C1130" s="7" t="s">
        <v>1152</v>
      </c>
      <c r="D1130" s="187">
        <v>3</v>
      </c>
      <c r="E1130" s="7">
        <v>1.7</v>
      </c>
      <c r="F1130" s="7"/>
      <c r="G1130" s="7"/>
      <c r="H1130" s="7"/>
      <c r="I1130" s="7"/>
      <c r="J1130" s="7"/>
      <c r="K1130" s="7"/>
      <c r="L1130" s="7"/>
      <c r="M1130" s="7"/>
      <c r="N1130" s="7"/>
      <c r="O1130" s="7"/>
      <c r="P1130" s="7"/>
      <c r="Q1130" s="7"/>
    </row>
    <row r="1131" spans="1:17" customFormat="1" ht="14.25" customHeight="1">
      <c r="A1131" s="198" t="s">
        <v>4212</v>
      </c>
      <c r="B1131" s="9">
        <v>20.8</v>
      </c>
      <c r="C1131" s="7" t="s">
        <v>1153</v>
      </c>
      <c r="D1131" s="187">
        <v>3</v>
      </c>
      <c r="E1131" s="7">
        <v>1.75</v>
      </c>
      <c r="F1131" s="7"/>
      <c r="G1131" s="7"/>
      <c r="H1131" s="7"/>
      <c r="I1131" s="7"/>
      <c r="J1131" s="7"/>
      <c r="K1131" s="7"/>
      <c r="L1131" s="7"/>
      <c r="M1131" s="7"/>
      <c r="N1131" s="7"/>
      <c r="O1131" s="7"/>
      <c r="P1131" s="7"/>
      <c r="Q1131" s="7"/>
    </row>
    <row r="1132" spans="1:17" customFormat="1" ht="14.25" customHeight="1">
      <c r="A1132" s="198" t="s">
        <v>4214</v>
      </c>
      <c r="B1132" s="9">
        <v>20.100000000000001</v>
      </c>
      <c r="C1132" s="7" t="s">
        <v>1154</v>
      </c>
      <c r="D1132" s="187">
        <v>3</v>
      </c>
      <c r="E1132" s="7">
        <v>1.75</v>
      </c>
      <c r="F1132" s="7"/>
      <c r="G1132" s="7"/>
      <c r="H1132" s="7"/>
      <c r="I1132" s="7"/>
      <c r="J1132" s="7"/>
      <c r="K1132" s="7"/>
      <c r="L1132" s="7"/>
      <c r="M1132" s="7"/>
      <c r="N1132" s="7"/>
      <c r="O1132" s="7"/>
      <c r="P1132" s="7"/>
      <c r="Q1132" s="7"/>
    </row>
    <row r="1133" spans="1:17" customFormat="1" ht="14.25" customHeight="1">
      <c r="A1133" s="198" t="s">
        <v>4216</v>
      </c>
      <c r="B1133" s="9">
        <v>19.600000000000001</v>
      </c>
      <c r="C1133" s="7" t="s">
        <v>1155</v>
      </c>
      <c r="D1133" s="187">
        <v>3</v>
      </c>
      <c r="E1133" s="7">
        <v>1.75</v>
      </c>
      <c r="F1133" s="7"/>
      <c r="G1133" s="7"/>
      <c r="H1133" s="7"/>
      <c r="I1133" s="7"/>
      <c r="J1133" s="7"/>
      <c r="K1133" s="7"/>
      <c r="L1133" s="7"/>
      <c r="M1133" s="7"/>
      <c r="N1133" s="7"/>
      <c r="O1133" s="7"/>
      <c r="P1133" s="7"/>
      <c r="Q1133" s="7"/>
    </row>
    <row r="1134" spans="1:17" customFormat="1" ht="14.25" customHeight="1">
      <c r="A1134" s="119" t="s">
        <v>2902</v>
      </c>
      <c r="B1134" s="9">
        <v>31.8</v>
      </c>
      <c r="C1134" s="7" t="s">
        <v>1156</v>
      </c>
      <c r="D1134" s="187">
        <v>3</v>
      </c>
      <c r="E1134" s="7">
        <v>1.25</v>
      </c>
      <c r="F1134" s="7"/>
      <c r="G1134" s="7"/>
      <c r="H1134" s="7"/>
      <c r="I1134" s="7"/>
      <c r="J1134" s="7"/>
      <c r="K1134" s="7"/>
      <c r="L1134" s="7"/>
      <c r="M1134" s="7"/>
      <c r="N1134" s="7"/>
      <c r="O1134" s="7"/>
      <c r="P1134" s="7"/>
      <c r="Q1134" s="7"/>
    </row>
    <row r="1135" spans="1:17" customFormat="1" ht="14.25" customHeight="1">
      <c r="A1135" s="119" t="s">
        <v>2903</v>
      </c>
      <c r="B1135" s="9">
        <v>30.2</v>
      </c>
      <c r="C1135" s="7" t="s">
        <v>1157</v>
      </c>
      <c r="D1135" s="187">
        <v>3</v>
      </c>
      <c r="E1135" s="7">
        <v>1.25</v>
      </c>
      <c r="F1135" s="7"/>
      <c r="G1135" s="7"/>
      <c r="H1135" s="7"/>
      <c r="I1135" s="7"/>
      <c r="J1135" s="7"/>
      <c r="K1135" s="7"/>
      <c r="L1135" s="7"/>
      <c r="M1135" s="7"/>
      <c r="N1135" s="7"/>
      <c r="O1135" s="7"/>
      <c r="P1135" s="7"/>
      <c r="Q1135" s="7"/>
    </row>
    <row r="1136" spans="1:17" customFormat="1" ht="14.25" customHeight="1">
      <c r="A1136" s="119" t="s">
        <v>2904</v>
      </c>
      <c r="B1136" s="9">
        <v>21.8</v>
      </c>
      <c r="C1136" s="7" t="s">
        <v>1158</v>
      </c>
      <c r="D1136" s="187">
        <v>3</v>
      </c>
      <c r="E1136" s="7">
        <v>1.25</v>
      </c>
      <c r="F1136" s="7"/>
      <c r="G1136" s="7"/>
      <c r="H1136" s="7"/>
      <c r="I1136" s="7"/>
      <c r="J1136" s="7"/>
      <c r="K1136" s="7"/>
      <c r="L1136" s="7"/>
      <c r="M1136" s="7"/>
      <c r="N1136" s="7"/>
      <c r="O1136" s="7"/>
      <c r="P1136" s="7"/>
      <c r="Q1136" s="7"/>
    </row>
    <row r="1137" spans="1:17" customFormat="1" ht="14.25" customHeight="1">
      <c r="A1137" s="119" t="s">
        <v>2905</v>
      </c>
      <c r="B1137" s="9">
        <v>31.1</v>
      </c>
      <c r="C1137" s="7" t="s">
        <v>1159</v>
      </c>
      <c r="D1137" s="187">
        <v>3</v>
      </c>
      <c r="E1137" s="7">
        <v>1.25</v>
      </c>
      <c r="F1137" s="7"/>
      <c r="G1137" s="7"/>
      <c r="H1137" s="7"/>
      <c r="I1137" s="7"/>
      <c r="J1137" s="7"/>
      <c r="K1137" s="7"/>
      <c r="L1137" s="7"/>
      <c r="M1137" s="7"/>
      <c r="N1137" s="7"/>
      <c r="O1137" s="7"/>
      <c r="P1137" s="7"/>
      <c r="Q1137" s="7"/>
    </row>
    <row r="1138" spans="1:17" customFormat="1" ht="14.25" customHeight="1">
      <c r="A1138" s="119" t="s">
        <v>2906</v>
      </c>
      <c r="B1138" s="9">
        <v>22.6</v>
      </c>
      <c r="C1138" s="7" t="s">
        <v>1160</v>
      </c>
      <c r="D1138" s="187">
        <v>3</v>
      </c>
      <c r="E1138" s="7">
        <v>2</v>
      </c>
      <c r="F1138" s="7"/>
      <c r="G1138" s="7"/>
      <c r="H1138" s="7"/>
      <c r="I1138" s="7"/>
      <c r="J1138" s="7"/>
      <c r="K1138" s="7"/>
      <c r="L1138" s="7"/>
      <c r="M1138" s="7"/>
      <c r="N1138" s="7"/>
      <c r="O1138" s="7"/>
      <c r="P1138" s="7"/>
      <c r="Q1138" s="7"/>
    </row>
    <row r="1139" spans="1:17" customFormat="1" ht="14.25" customHeight="1">
      <c r="A1139" s="119" t="s">
        <v>2907</v>
      </c>
      <c r="B1139" s="9">
        <v>23.1</v>
      </c>
      <c r="C1139" s="7" t="s">
        <v>1161</v>
      </c>
      <c r="D1139" s="187">
        <v>3</v>
      </c>
      <c r="E1139" s="7">
        <v>2</v>
      </c>
      <c r="F1139" s="7"/>
      <c r="G1139" s="7"/>
      <c r="H1139" s="7"/>
      <c r="I1139" s="7"/>
      <c r="J1139" s="7"/>
      <c r="K1139" s="7"/>
      <c r="L1139" s="7"/>
      <c r="M1139" s="7"/>
      <c r="N1139" s="7"/>
      <c r="O1139" s="7"/>
      <c r="P1139" s="7"/>
      <c r="Q1139" s="7"/>
    </row>
    <row r="1140" spans="1:17" customFormat="1" ht="14.25" customHeight="1">
      <c r="A1140" s="119" t="s">
        <v>2908</v>
      </c>
      <c r="B1140" s="9">
        <v>22.6</v>
      </c>
      <c r="C1140" s="7" t="s">
        <v>1162</v>
      </c>
      <c r="D1140" s="187">
        <v>3</v>
      </c>
      <c r="E1140" s="7">
        <v>1.9</v>
      </c>
      <c r="F1140" s="7"/>
      <c r="G1140" s="7"/>
      <c r="H1140" s="7"/>
      <c r="I1140" s="7"/>
      <c r="J1140" s="7"/>
      <c r="K1140" s="7"/>
      <c r="L1140" s="7"/>
      <c r="M1140" s="7"/>
      <c r="N1140" s="7"/>
      <c r="O1140" s="7"/>
      <c r="P1140" s="7"/>
      <c r="Q1140" s="7"/>
    </row>
    <row r="1141" spans="1:17" customFormat="1" ht="14.25" customHeight="1">
      <c r="A1141" s="119" t="s">
        <v>2870</v>
      </c>
      <c r="B1141" s="9">
        <v>22.5</v>
      </c>
      <c r="C1141" s="7" t="s">
        <v>1233</v>
      </c>
      <c r="D1141" s="187">
        <v>3</v>
      </c>
      <c r="E1141" s="7">
        <v>1.3</v>
      </c>
      <c r="F1141" s="7"/>
      <c r="G1141" s="7"/>
      <c r="H1141" s="7"/>
      <c r="I1141" s="7"/>
      <c r="J1141" s="7"/>
      <c r="K1141" s="7"/>
      <c r="L1141" s="7"/>
      <c r="M1141" s="7"/>
      <c r="N1141" s="7"/>
      <c r="O1141" s="7"/>
      <c r="P1141" s="7"/>
      <c r="Q1141" s="7"/>
    </row>
    <row r="1142" spans="1:17" customFormat="1" ht="14.25" customHeight="1">
      <c r="A1142" s="119" t="s">
        <v>2871</v>
      </c>
      <c r="B1142" s="9">
        <v>19.8</v>
      </c>
      <c r="C1142" s="7" t="s">
        <v>1165</v>
      </c>
      <c r="D1142" s="187">
        <v>3</v>
      </c>
      <c r="E1142" s="7">
        <v>1.3</v>
      </c>
      <c r="F1142" s="7"/>
      <c r="G1142" s="7"/>
      <c r="H1142" s="7"/>
      <c r="I1142" s="7"/>
      <c r="J1142" s="7"/>
      <c r="K1142" s="7"/>
      <c r="L1142" s="7"/>
      <c r="M1142" s="7"/>
      <c r="N1142" s="7"/>
      <c r="O1142" s="7"/>
      <c r="P1142" s="7"/>
      <c r="Q1142" s="7"/>
    </row>
    <row r="1143" spans="1:17" customFormat="1" ht="14.25" customHeight="1">
      <c r="A1143" s="119" t="s">
        <v>2872</v>
      </c>
      <c r="B1143" s="9">
        <v>19.8</v>
      </c>
      <c r="C1143" s="7" t="s">
        <v>1365</v>
      </c>
      <c r="D1143" s="187">
        <v>3</v>
      </c>
      <c r="E1143" s="7">
        <v>1.3</v>
      </c>
      <c r="F1143" s="7"/>
      <c r="G1143" s="7"/>
      <c r="H1143" s="7"/>
      <c r="I1143" s="7"/>
      <c r="J1143" s="7"/>
      <c r="K1143" s="7"/>
      <c r="L1143" s="7"/>
      <c r="M1143" s="7"/>
      <c r="N1143" s="7"/>
      <c r="O1143" s="7"/>
      <c r="P1143" s="7"/>
      <c r="Q1143" s="7"/>
    </row>
    <row r="1144" spans="1:17" customFormat="1" ht="14.25" customHeight="1">
      <c r="A1144" s="119" t="s">
        <v>2873</v>
      </c>
      <c r="B1144" s="9">
        <v>22.6</v>
      </c>
      <c r="C1144" s="7" t="s">
        <v>1176</v>
      </c>
      <c r="D1144" s="187">
        <v>3</v>
      </c>
      <c r="E1144" s="7">
        <v>1.8</v>
      </c>
      <c r="F1144" s="7"/>
      <c r="G1144" s="7"/>
      <c r="H1144" s="7"/>
      <c r="I1144" s="7"/>
      <c r="J1144" s="7"/>
      <c r="K1144" s="7"/>
      <c r="L1144" s="7"/>
      <c r="M1144" s="7"/>
      <c r="N1144" s="7"/>
      <c r="O1144" s="7"/>
      <c r="P1144" s="7"/>
      <c r="Q1144" s="7"/>
    </row>
    <row r="1145" spans="1:17" customFormat="1" ht="14.25" customHeight="1">
      <c r="A1145" s="119" t="s">
        <v>2874</v>
      </c>
      <c r="B1145" s="9">
        <v>22.9</v>
      </c>
      <c r="C1145" s="7" t="s">
        <v>1177</v>
      </c>
      <c r="D1145" s="187">
        <v>3</v>
      </c>
      <c r="E1145" s="7">
        <v>1.8</v>
      </c>
      <c r="F1145" s="7"/>
      <c r="G1145" s="7"/>
      <c r="H1145" s="7"/>
      <c r="I1145" s="7"/>
      <c r="J1145" s="7"/>
      <c r="K1145" s="7"/>
      <c r="L1145" s="7"/>
      <c r="M1145" s="7"/>
      <c r="N1145" s="7"/>
      <c r="O1145" s="7"/>
      <c r="P1145" s="7"/>
      <c r="Q1145" s="7"/>
    </row>
    <row r="1146" spans="1:17" customFormat="1" ht="14.25" customHeight="1">
      <c r="A1146" s="119" t="s">
        <v>2875</v>
      </c>
      <c r="B1146" s="9">
        <v>21.7</v>
      </c>
      <c r="C1146" s="7" t="s">
        <v>1178</v>
      </c>
      <c r="D1146" s="187">
        <v>3</v>
      </c>
      <c r="E1146" s="7">
        <v>1.8</v>
      </c>
      <c r="F1146" s="7"/>
      <c r="G1146" s="7"/>
      <c r="H1146" s="7"/>
      <c r="I1146" s="7"/>
      <c r="J1146" s="7"/>
      <c r="K1146" s="7"/>
      <c r="L1146" s="7"/>
      <c r="M1146" s="7"/>
      <c r="N1146" s="7"/>
      <c r="O1146" s="7"/>
      <c r="P1146" s="7"/>
      <c r="Q1146" s="7"/>
    </row>
    <row r="1147" spans="1:17" customFormat="1" ht="14.25" customHeight="1">
      <c r="A1147" s="119" t="s">
        <v>2876</v>
      </c>
      <c r="B1147" s="9">
        <v>17.2</v>
      </c>
      <c r="C1147" s="7" t="s">
        <v>1171</v>
      </c>
      <c r="D1147" s="187">
        <v>3</v>
      </c>
      <c r="E1147" s="7">
        <v>2</v>
      </c>
      <c r="F1147" s="7"/>
      <c r="G1147" s="7"/>
      <c r="H1147" s="7"/>
      <c r="I1147" s="7"/>
      <c r="J1147" s="7"/>
      <c r="K1147" s="7"/>
      <c r="L1147" s="7"/>
      <c r="M1147" s="7"/>
      <c r="N1147" s="7"/>
      <c r="O1147" s="7"/>
      <c r="P1147" s="7"/>
      <c r="Q1147" s="7"/>
    </row>
    <row r="1148" spans="1:17" customFormat="1" ht="14.25" customHeight="1">
      <c r="A1148" s="119" t="s">
        <v>2877</v>
      </c>
      <c r="B1148" s="9">
        <v>16.600000000000001</v>
      </c>
      <c r="C1148" s="7" t="s">
        <v>1170</v>
      </c>
      <c r="D1148" s="187">
        <v>3</v>
      </c>
      <c r="E1148" s="7">
        <v>2</v>
      </c>
      <c r="F1148" s="7"/>
      <c r="G1148" s="7"/>
      <c r="H1148" s="7"/>
      <c r="I1148" s="7"/>
      <c r="J1148" s="7"/>
      <c r="K1148" s="7"/>
      <c r="L1148" s="7"/>
      <c r="M1148" s="7"/>
      <c r="N1148" s="7"/>
      <c r="O1148" s="7"/>
      <c r="P1148" s="7"/>
      <c r="Q1148" s="7"/>
    </row>
    <row r="1149" spans="1:17" customFormat="1" ht="14.25" customHeight="1">
      <c r="A1149" s="119" t="s">
        <v>2878</v>
      </c>
      <c r="B1149" s="9">
        <v>17.399999999999999</v>
      </c>
      <c r="C1149" s="7" t="s">
        <v>1172</v>
      </c>
      <c r="D1149" s="187">
        <v>3</v>
      </c>
      <c r="E1149" s="7">
        <v>2</v>
      </c>
      <c r="F1149" s="7"/>
      <c r="G1149" s="7"/>
      <c r="H1149" s="7"/>
      <c r="I1149" s="7"/>
      <c r="J1149" s="7"/>
      <c r="K1149" s="7"/>
      <c r="L1149" s="7"/>
      <c r="M1149" s="7"/>
      <c r="N1149" s="7"/>
      <c r="O1149" s="7"/>
      <c r="P1149" s="7"/>
      <c r="Q1149" s="7"/>
    </row>
    <row r="1150" spans="1:17" customFormat="1" ht="14.25" customHeight="1">
      <c r="A1150" s="119" t="s">
        <v>3151</v>
      </c>
      <c r="B1150" s="9">
        <v>17.3</v>
      </c>
      <c r="C1150" s="7" t="s">
        <v>1174</v>
      </c>
      <c r="D1150" s="187">
        <v>3</v>
      </c>
      <c r="E1150" s="7">
        <v>2.1</v>
      </c>
      <c r="F1150" s="7"/>
      <c r="G1150" s="7"/>
      <c r="H1150" s="7"/>
      <c r="I1150" s="7"/>
      <c r="J1150" s="7"/>
      <c r="K1150" s="7"/>
      <c r="L1150" s="7"/>
      <c r="M1150" s="7"/>
      <c r="N1150" s="7"/>
      <c r="O1150" s="7"/>
      <c r="P1150" s="7"/>
      <c r="Q1150" s="7"/>
    </row>
    <row r="1151" spans="1:17" customFormat="1" ht="14.25" customHeight="1">
      <c r="A1151" s="119" t="s">
        <v>2879</v>
      </c>
      <c r="B1151" s="9">
        <v>19.600000000000001</v>
      </c>
      <c r="C1151" s="7" t="s">
        <v>1143</v>
      </c>
      <c r="D1151" s="187">
        <v>3</v>
      </c>
      <c r="E1151" s="7">
        <v>2.1</v>
      </c>
      <c r="F1151" s="7"/>
      <c r="G1151" s="7"/>
      <c r="H1151" s="7"/>
      <c r="I1151" s="7"/>
      <c r="J1151" s="7"/>
      <c r="K1151" s="7"/>
      <c r="L1151" s="7"/>
      <c r="M1151" s="7"/>
      <c r="N1151" s="7"/>
      <c r="O1151" s="7"/>
      <c r="P1151" s="7"/>
      <c r="Q1151" s="4"/>
    </row>
    <row r="1152" spans="1:17" customFormat="1" ht="14.25" customHeight="1">
      <c r="A1152" s="119" t="s">
        <v>2880</v>
      </c>
      <c r="B1152" s="9">
        <v>19</v>
      </c>
      <c r="C1152" s="7" t="s">
        <v>1145</v>
      </c>
      <c r="D1152" s="187">
        <v>3</v>
      </c>
      <c r="E1152" s="7">
        <v>2.1</v>
      </c>
      <c r="F1152" s="7"/>
      <c r="G1152" s="7"/>
      <c r="H1152" s="7"/>
      <c r="I1152" s="7"/>
      <c r="J1152" s="7"/>
      <c r="K1152" s="7"/>
      <c r="L1152" s="7"/>
      <c r="M1152" s="7"/>
      <c r="N1152" s="7"/>
      <c r="O1152" s="7"/>
      <c r="P1152" s="7"/>
      <c r="Q1152" s="7"/>
    </row>
    <row r="1153" spans="1:17" customFormat="1" ht="14.25" customHeight="1">
      <c r="A1153" s="119" t="s">
        <v>2881</v>
      </c>
      <c r="B1153" s="9">
        <v>19</v>
      </c>
      <c r="C1153" s="7" t="s">
        <v>1144</v>
      </c>
      <c r="D1153" s="187">
        <v>3</v>
      </c>
      <c r="E1153" s="7">
        <v>2.1</v>
      </c>
      <c r="F1153" s="7"/>
      <c r="G1153" s="7"/>
      <c r="H1153" s="7"/>
      <c r="I1153" s="7"/>
      <c r="J1153" s="7"/>
      <c r="K1153" s="7"/>
      <c r="L1153" s="7"/>
      <c r="M1153" s="7"/>
      <c r="N1153" s="7"/>
      <c r="O1153" s="7"/>
      <c r="P1153" s="7"/>
      <c r="Q1153" s="4"/>
    </row>
    <row r="1154" spans="1:17" customFormat="1" ht="14.25" customHeight="1">
      <c r="A1154" s="119" t="s">
        <v>2882</v>
      </c>
      <c r="B1154" s="9">
        <v>17.5</v>
      </c>
      <c r="C1154" s="7" t="s">
        <v>1141</v>
      </c>
      <c r="D1154" s="187">
        <v>3</v>
      </c>
      <c r="E1154" s="7">
        <v>2.1</v>
      </c>
      <c r="F1154" s="7"/>
      <c r="G1154" s="7"/>
      <c r="H1154" s="7"/>
      <c r="I1154" s="7"/>
      <c r="J1154" s="7"/>
      <c r="K1154" s="7"/>
      <c r="L1154" s="7"/>
      <c r="M1154" s="7"/>
      <c r="N1154" s="7"/>
      <c r="O1154" s="7"/>
      <c r="P1154" s="7"/>
      <c r="Q1154" s="7"/>
    </row>
    <row r="1155" spans="1:17" customFormat="1" ht="14.25" customHeight="1">
      <c r="A1155" s="119" t="s">
        <v>2883</v>
      </c>
      <c r="B1155" s="9">
        <v>20</v>
      </c>
      <c r="C1155" s="7" t="s">
        <v>1142</v>
      </c>
      <c r="D1155" s="187">
        <v>3</v>
      </c>
      <c r="E1155" s="7">
        <v>2.1</v>
      </c>
      <c r="F1155" s="7"/>
      <c r="G1155" s="7"/>
      <c r="H1155" s="7"/>
      <c r="I1155" s="7"/>
      <c r="J1155" s="7"/>
      <c r="K1155" s="7"/>
      <c r="L1155" s="7"/>
      <c r="M1155" s="7"/>
      <c r="N1155" s="7"/>
      <c r="O1155" s="7"/>
      <c r="P1155" s="7"/>
      <c r="Q1155" s="7"/>
    </row>
    <row r="1156" spans="1:17" customFormat="1" ht="14.25" customHeight="1">
      <c r="A1156" s="119" t="s">
        <v>3080</v>
      </c>
      <c r="B1156" s="9">
        <v>36</v>
      </c>
      <c r="C1156" s="7" t="s">
        <v>1214</v>
      </c>
      <c r="D1156" s="187">
        <v>3</v>
      </c>
      <c r="E1156" s="7">
        <v>1.5</v>
      </c>
      <c r="F1156" s="7"/>
      <c r="G1156" s="7"/>
      <c r="H1156" s="7"/>
      <c r="I1156" s="7"/>
      <c r="J1156" s="7"/>
      <c r="K1156" s="7"/>
      <c r="L1156" s="7"/>
      <c r="M1156" s="7"/>
      <c r="N1156" s="7"/>
      <c r="O1156" s="7"/>
      <c r="P1156" s="7"/>
      <c r="Q1156" s="7"/>
    </row>
    <row r="1157" spans="1:17" customFormat="1" ht="14.25" customHeight="1">
      <c r="A1157" s="119" t="s">
        <v>3081</v>
      </c>
      <c r="B1157" s="9">
        <v>36</v>
      </c>
      <c r="C1157" s="7" t="s">
        <v>1215</v>
      </c>
      <c r="D1157" s="187">
        <v>3</v>
      </c>
      <c r="E1157" s="7">
        <v>1.5</v>
      </c>
      <c r="F1157" s="7"/>
      <c r="G1157" s="7"/>
      <c r="H1157" s="7"/>
      <c r="I1157" s="7"/>
      <c r="J1157" s="7"/>
      <c r="K1157" s="7"/>
      <c r="L1157" s="7"/>
      <c r="M1157" s="7"/>
      <c r="N1157" s="7"/>
      <c r="O1157" s="7"/>
      <c r="P1157" s="7"/>
      <c r="Q1157" s="7"/>
    </row>
    <row r="1158" spans="1:17" customFormat="1" ht="14.25" customHeight="1">
      <c r="A1158" s="119" t="s">
        <v>3082</v>
      </c>
      <c r="B1158" s="9">
        <v>36</v>
      </c>
      <c r="C1158" s="7" t="s">
        <v>1216</v>
      </c>
      <c r="D1158" s="187">
        <v>6</v>
      </c>
      <c r="E1158" s="7">
        <v>1.5</v>
      </c>
      <c r="F1158" s="7"/>
      <c r="G1158" s="7"/>
      <c r="H1158" s="7"/>
      <c r="I1158" s="7"/>
      <c r="J1158" s="7"/>
      <c r="K1158" s="7"/>
      <c r="L1158" s="7"/>
      <c r="M1158" s="7"/>
      <c r="N1158" s="7"/>
      <c r="O1158" s="7"/>
      <c r="P1158" s="7"/>
      <c r="Q1158" s="7"/>
    </row>
    <row r="1159" spans="1:17" customFormat="1" ht="14.25" customHeight="1">
      <c r="A1159" s="119" t="s">
        <v>3083</v>
      </c>
      <c r="B1159" s="9">
        <v>36</v>
      </c>
      <c r="C1159" s="7" t="s">
        <v>3176</v>
      </c>
      <c r="D1159" s="187">
        <v>3</v>
      </c>
      <c r="E1159" s="7">
        <v>1.5</v>
      </c>
      <c r="F1159" s="7"/>
      <c r="G1159" s="7"/>
      <c r="H1159" s="7"/>
      <c r="I1159" s="7"/>
      <c r="J1159" s="7"/>
      <c r="K1159" s="7"/>
      <c r="L1159" s="7"/>
      <c r="M1159" s="7"/>
      <c r="N1159" s="7"/>
      <c r="O1159" s="7"/>
      <c r="P1159" s="7"/>
      <c r="Q1159" s="7"/>
    </row>
    <row r="1160" spans="1:17" customFormat="1" ht="14.25" customHeight="1">
      <c r="A1160" s="119" t="s">
        <v>3084</v>
      </c>
      <c r="B1160" s="9">
        <v>36</v>
      </c>
      <c r="C1160" s="7" t="s">
        <v>1218</v>
      </c>
      <c r="D1160" s="187">
        <v>3</v>
      </c>
      <c r="E1160" s="7">
        <v>1.5</v>
      </c>
      <c r="F1160" s="7"/>
      <c r="G1160" s="7"/>
      <c r="H1160" s="7"/>
      <c r="I1160" s="7"/>
      <c r="J1160" s="7"/>
      <c r="K1160" s="7"/>
      <c r="L1160" s="7"/>
      <c r="M1160" s="7"/>
      <c r="N1160" s="7"/>
      <c r="O1160" s="7"/>
      <c r="P1160" s="7"/>
      <c r="Q1160" s="7"/>
    </row>
    <row r="1161" spans="1:17" customFormat="1" ht="14.25" customHeight="1">
      <c r="A1161" s="128" t="s">
        <v>3085</v>
      </c>
      <c r="B1161" s="9">
        <v>17</v>
      </c>
      <c r="C1161" s="7" t="s">
        <v>1367</v>
      </c>
      <c r="D1161" s="187">
        <v>3</v>
      </c>
      <c r="E1161" s="7">
        <v>1.6</v>
      </c>
      <c r="F1161" s="7"/>
      <c r="G1161" s="7"/>
      <c r="H1161" s="7"/>
      <c r="I1161" s="7"/>
      <c r="J1161" s="7"/>
      <c r="K1161" s="7"/>
      <c r="L1161" s="7"/>
      <c r="M1161" s="7"/>
      <c r="N1161" s="7"/>
      <c r="O1161" s="7"/>
      <c r="P1161" s="7"/>
      <c r="Q1161" s="7"/>
    </row>
    <row r="1162" spans="1:17" customFormat="1" ht="14.25" customHeight="1">
      <c r="A1162" s="128" t="s">
        <v>3086</v>
      </c>
      <c r="B1162" s="9">
        <v>17</v>
      </c>
      <c r="C1162" s="7" t="s">
        <v>1227</v>
      </c>
      <c r="D1162" s="187">
        <v>3</v>
      </c>
      <c r="E1162" s="7">
        <v>1.6</v>
      </c>
      <c r="F1162" s="7"/>
      <c r="G1162" s="7"/>
      <c r="H1162" s="7"/>
      <c r="I1162" s="7"/>
      <c r="J1162" s="7"/>
      <c r="K1162" s="7"/>
      <c r="L1162" s="7"/>
      <c r="M1162" s="7"/>
      <c r="N1162" s="7"/>
      <c r="O1162" s="7"/>
      <c r="P1162" s="7"/>
      <c r="Q1162" s="7"/>
    </row>
    <row r="1163" spans="1:17" customFormat="1" ht="14.25" customHeight="1">
      <c r="A1163" s="128" t="s">
        <v>3087</v>
      </c>
      <c r="B1163" s="9">
        <v>17</v>
      </c>
      <c r="C1163" s="7" t="s">
        <v>1228</v>
      </c>
      <c r="D1163" s="187">
        <v>3</v>
      </c>
      <c r="E1163" s="7">
        <v>1.6</v>
      </c>
      <c r="F1163" s="7"/>
      <c r="G1163" s="7"/>
      <c r="H1163" s="7"/>
      <c r="I1163" s="7"/>
      <c r="J1163" s="7"/>
      <c r="K1163" s="7"/>
      <c r="L1163" s="7"/>
      <c r="M1163" s="7"/>
      <c r="N1163" s="7"/>
      <c r="O1163" s="7"/>
      <c r="P1163" s="7"/>
      <c r="Q1163" s="7"/>
    </row>
    <row r="1164" spans="1:17" customFormat="1" ht="14.25" customHeight="1">
      <c r="A1164" s="128" t="s">
        <v>3088</v>
      </c>
      <c r="B1164" s="9">
        <v>17</v>
      </c>
      <c r="C1164" s="7" t="s">
        <v>1229</v>
      </c>
      <c r="D1164" s="187">
        <v>3</v>
      </c>
      <c r="E1164" s="7">
        <v>1.6</v>
      </c>
      <c r="F1164" s="7"/>
      <c r="G1164" s="7"/>
      <c r="H1164" s="7"/>
      <c r="I1164" s="7"/>
      <c r="J1164" s="7"/>
      <c r="K1164" s="7"/>
      <c r="L1164" s="7"/>
      <c r="M1164" s="7"/>
      <c r="N1164" s="7"/>
      <c r="O1164" s="7"/>
      <c r="P1164" s="7"/>
      <c r="Q1164" s="7"/>
    </row>
    <row r="1165" spans="1:17" customFormat="1" ht="14.25" customHeight="1">
      <c r="A1165" s="128" t="s">
        <v>3089</v>
      </c>
      <c r="B1165" s="9">
        <v>17</v>
      </c>
      <c r="C1165" s="7" t="s">
        <v>1230</v>
      </c>
      <c r="D1165" s="187">
        <v>3</v>
      </c>
      <c r="E1165" s="7">
        <v>1.6</v>
      </c>
      <c r="F1165" s="7"/>
      <c r="G1165" s="7"/>
      <c r="H1165" s="7"/>
      <c r="I1165" s="7"/>
      <c r="J1165" s="7"/>
      <c r="K1165" s="7"/>
      <c r="L1165" s="7"/>
      <c r="M1165" s="7"/>
      <c r="N1165" s="7"/>
      <c r="O1165" s="7"/>
      <c r="P1165" s="7"/>
      <c r="Q1165" s="7"/>
    </row>
    <row r="1166" spans="1:17" customFormat="1" ht="14.25" customHeight="1">
      <c r="A1166" s="119" t="s">
        <v>3090</v>
      </c>
      <c r="B1166" s="9">
        <v>19.7</v>
      </c>
      <c r="C1166" s="7" t="s">
        <v>1673</v>
      </c>
      <c r="D1166" s="187">
        <v>3</v>
      </c>
      <c r="E1166" s="7">
        <v>1.5</v>
      </c>
      <c r="F1166" s="7"/>
      <c r="G1166" s="7"/>
      <c r="H1166" s="7"/>
      <c r="I1166" s="7"/>
      <c r="J1166" s="7"/>
      <c r="K1166" s="7"/>
      <c r="L1166" s="7"/>
      <c r="M1166" s="7"/>
      <c r="N1166" s="7"/>
      <c r="O1166" s="7"/>
      <c r="P1166" s="7"/>
      <c r="Q1166" s="7"/>
    </row>
    <row r="1167" spans="1:17" customFormat="1" ht="14.25" customHeight="1">
      <c r="A1167" s="119" t="s">
        <v>3091</v>
      </c>
      <c r="B1167" s="9">
        <v>19.5</v>
      </c>
      <c r="C1167" s="7" t="s">
        <v>1674</v>
      </c>
      <c r="D1167" s="187">
        <v>3</v>
      </c>
      <c r="E1167" s="7">
        <v>1.5</v>
      </c>
      <c r="F1167" s="7"/>
      <c r="G1167" s="7"/>
      <c r="H1167" s="7"/>
      <c r="I1167" s="7"/>
      <c r="J1167" s="7"/>
      <c r="K1167" s="7"/>
      <c r="L1167" s="7"/>
      <c r="M1167" s="7"/>
      <c r="N1167" s="7"/>
      <c r="O1167" s="7"/>
      <c r="P1167" s="7"/>
      <c r="Q1167" s="7"/>
    </row>
    <row r="1168" spans="1:17" customFormat="1" ht="14.25" customHeight="1">
      <c r="A1168" s="119" t="s">
        <v>3092</v>
      </c>
      <c r="B1168" s="9">
        <v>19.2</v>
      </c>
      <c r="C1168" s="7" t="s">
        <v>1676</v>
      </c>
      <c r="D1168" s="187">
        <v>3</v>
      </c>
      <c r="E1168" s="7">
        <v>1.5</v>
      </c>
      <c r="F1168" s="7"/>
      <c r="G1168" s="7"/>
      <c r="H1168" s="7"/>
      <c r="I1168" s="7"/>
      <c r="J1168" s="7"/>
      <c r="K1168" s="7"/>
      <c r="L1168" s="7"/>
      <c r="M1168" s="7"/>
      <c r="N1168" s="7"/>
      <c r="O1168" s="7"/>
      <c r="P1168" s="7"/>
      <c r="Q1168" s="7"/>
    </row>
    <row r="1169" spans="1:17" customFormat="1" ht="14.25" customHeight="1">
      <c r="A1169" s="119" t="s">
        <v>3093</v>
      </c>
      <c r="B1169" s="9">
        <v>19.399999999999999</v>
      </c>
      <c r="C1169" s="7" t="s">
        <v>1675</v>
      </c>
      <c r="D1169" s="187">
        <v>3</v>
      </c>
      <c r="E1169" s="7">
        <v>1.5</v>
      </c>
      <c r="F1169" s="7"/>
      <c r="G1169" s="7"/>
      <c r="H1169" s="7"/>
      <c r="I1169" s="7"/>
      <c r="J1169" s="7"/>
      <c r="K1169" s="7"/>
      <c r="L1169" s="7"/>
      <c r="M1169" s="7"/>
      <c r="N1169" s="7"/>
      <c r="O1169" s="7"/>
      <c r="P1169" s="7"/>
      <c r="Q1169" s="7"/>
    </row>
    <row r="1170" spans="1:17" customFormat="1" ht="14.25" customHeight="1">
      <c r="A1170" s="119" t="s">
        <v>3094</v>
      </c>
      <c r="B1170" s="9">
        <v>19.399999999999999</v>
      </c>
      <c r="C1170" s="7" t="s">
        <v>1677</v>
      </c>
      <c r="D1170" s="187">
        <v>3</v>
      </c>
      <c r="E1170" s="7">
        <v>1.5</v>
      </c>
      <c r="F1170" s="7"/>
      <c r="G1170" s="7"/>
      <c r="H1170" s="7"/>
      <c r="I1170" s="7"/>
      <c r="J1170" s="7"/>
      <c r="K1170" s="7"/>
      <c r="L1170" s="7"/>
      <c r="M1170" s="7"/>
      <c r="N1170" s="7"/>
      <c r="O1170" s="7"/>
      <c r="P1170" s="7"/>
      <c r="Q1170" s="7"/>
    </row>
    <row r="1171" spans="1:17" customFormat="1" ht="14.25" customHeight="1">
      <c r="A1171" s="119" t="s">
        <v>3095</v>
      </c>
      <c r="B1171" s="9">
        <v>19.600000000000001</v>
      </c>
      <c r="C1171" s="7" t="s">
        <v>1678</v>
      </c>
      <c r="D1171" s="187">
        <v>3</v>
      </c>
      <c r="E1171" s="7">
        <v>1.5</v>
      </c>
      <c r="F1171" s="7"/>
      <c r="G1171" s="7"/>
      <c r="H1171" s="7"/>
      <c r="I1171" s="7"/>
      <c r="J1171" s="7"/>
      <c r="K1171" s="7"/>
      <c r="L1171" s="7"/>
      <c r="M1171" s="7"/>
      <c r="N1171" s="7"/>
      <c r="O1171" s="7"/>
      <c r="P1171" s="7"/>
      <c r="Q1171" s="7"/>
    </row>
    <row r="1172" spans="1:17" customFormat="1" ht="14.25" customHeight="1">
      <c r="A1172" s="119" t="s">
        <v>2860</v>
      </c>
      <c r="B1172" s="9">
        <v>31.5</v>
      </c>
      <c r="C1172" s="7" t="s">
        <v>1163</v>
      </c>
      <c r="D1172" s="187">
        <v>3</v>
      </c>
      <c r="E1172" s="7">
        <v>2</v>
      </c>
      <c r="F1172" s="7"/>
      <c r="G1172" s="7"/>
      <c r="H1172" s="7"/>
      <c r="I1172" s="7"/>
      <c r="J1172" s="7"/>
      <c r="K1172" s="7"/>
      <c r="L1172" s="7"/>
      <c r="M1172" s="7"/>
      <c r="N1172" s="7"/>
      <c r="O1172" s="7"/>
      <c r="P1172" s="7"/>
      <c r="Q1172" s="7"/>
    </row>
    <row r="1173" spans="1:17" customFormat="1" ht="14.25" customHeight="1">
      <c r="A1173" s="119" t="s">
        <v>2861</v>
      </c>
      <c r="B1173" s="9">
        <v>32.200000000000003</v>
      </c>
      <c r="C1173" s="7" t="s">
        <v>1164</v>
      </c>
      <c r="D1173" s="187">
        <v>3</v>
      </c>
      <c r="E1173" s="7">
        <v>2</v>
      </c>
      <c r="F1173" s="7"/>
      <c r="G1173" s="7"/>
      <c r="H1173" s="7"/>
      <c r="I1173" s="7"/>
      <c r="J1173" s="7"/>
      <c r="K1173" s="7"/>
      <c r="L1173" s="7"/>
      <c r="M1173" s="7"/>
      <c r="N1173" s="7"/>
      <c r="O1173" s="7"/>
      <c r="P1173" s="7"/>
      <c r="Q1173" s="7"/>
    </row>
    <row r="1174" spans="1:17" customFormat="1" ht="14.25" customHeight="1">
      <c r="A1174" s="119" t="s">
        <v>2862</v>
      </c>
      <c r="B1174" s="9">
        <v>23.8</v>
      </c>
      <c r="C1174" s="7" t="s">
        <v>1166</v>
      </c>
      <c r="D1174" s="187">
        <v>3</v>
      </c>
      <c r="E1174" s="7">
        <v>1.1000000000000001</v>
      </c>
      <c r="F1174" s="7"/>
      <c r="G1174" s="7"/>
      <c r="H1174" s="7"/>
      <c r="I1174" s="7"/>
      <c r="J1174" s="7"/>
      <c r="K1174" s="7"/>
      <c r="L1174" s="7"/>
      <c r="M1174" s="7"/>
      <c r="N1174" s="7"/>
      <c r="O1174" s="7"/>
      <c r="P1174" s="7"/>
      <c r="Q1174" s="7"/>
    </row>
    <row r="1175" spans="1:17" customFormat="1" ht="14.25" customHeight="1">
      <c r="A1175" s="119" t="s">
        <v>2863</v>
      </c>
      <c r="B1175" s="9">
        <v>24.8</v>
      </c>
      <c r="C1175" s="51" t="s">
        <v>1167</v>
      </c>
      <c r="D1175" s="192">
        <v>3</v>
      </c>
      <c r="E1175" s="7">
        <v>1.1000000000000001</v>
      </c>
      <c r="F1175" s="7"/>
      <c r="G1175" s="7"/>
      <c r="H1175" s="7"/>
      <c r="I1175" s="7"/>
      <c r="J1175" s="7"/>
      <c r="K1175" s="7"/>
      <c r="L1175" s="7"/>
      <c r="M1175" s="7"/>
      <c r="N1175" s="7"/>
      <c r="O1175" s="7"/>
      <c r="P1175" s="7"/>
      <c r="Q1175" s="7"/>
    </row>
    <row r="1176" spans="1:17" customFormat="1" ht="14.25" customHeight="1">
      <c r="A1176" s="119" t="s">
        <v>2864</v>
      </c>
      <c r="B1176" s="9">
        <v>21.8</v>
      </c>
      <c r="C1176" s="7" t="s">
        <v>1168</v>
      </c>
      <c r="D1176" s="187">
        <v>3</v>
      </c>
      <c r="E1176" s="7">
        <v>0.95</v>
      </c>
      <c r="F1176" s="7"/>
      <c r="G1176" s="7"/>
      <c r="H1176" s="7"/>
      <c r="I1176" s="7"/>
      <c r="J1176" s="7"/>
      <c r="K1176" s="7"/>
      <c r="L1176" s="7"/>
      <c r="M1176" s="7"/>
      <c r="N1176" s="7"/>
      <c r="O1176" s="7"/>
      <c r="P1176" s="7"/>
      <c r="Q1176" s="7"/>
    </row>
    <row r="1177" spans="1:17" customFormat="1" ht="14.25" customHeight="1">
      <c r="A1177" s="119" t="s">
        <v>2865</v>
      </c>
      <c r="B1177" s="9">
        <v>23.7</v>
      </c>
      <c r="C1177" s="7" t="s">
        <v>1169</v>
      </c>
      <c r="D1177" s="187">
        <v>3</v>
      </c>
      <c r="E1177" s="7">
        <v>0.95</v>
      </c>
      <c r="F1177" s="7"/>
      <c r="G1177" s="7"/>
      <c r="H1177" s="7"/>
      <c r="I1177" s="7"/>
      <c r="J1177" s="7"/>
      <c r="K1177" s="7"/>
      <c r="L1177" s="7"/>
      <c r="M1177" s="7"/>
      <c r="N1177" s="7"/>
      <c r="O1177" s="7"/>
      <c r="P1177" s="7"/>
      <c r="Q1177" s="7"/>
    </row>
    <row r="1178" spans="1:17" customFormat="1" ht="14.25" customHeight="1">
      <c r="A1178" s="119" t="s">
        <v>2866</v>
      </c>
      <c r="B1178" s="9">
        <v>19.3</v>
      </c>
      <c r="C1178" s="7" t="s">
        <v>1235</v>
      </c>
      <c r="D1178" s="187">
        <v>3</v>
      </c>
      <c r="E1178" s="7">
        <v>1.39</v>
      </c>
      <c r="F1178" s="7"/>
      <c r="G1178" s="7"/>
      <c r="H1178" s="7"/>
      <c r="I1178" s="7"/>
      <c r="J1178" s="7"/>
      <c r="K1178" s="7"/>
      <c r="L1178" s="7"/>
      <c r="M1178" s="7"/>
      <c r="N1178" s="7"/>
      <c r="O1178" s="7"/>
      <c r="P1178" s="7"/>
      <c r="Q1178" s="7"/>
    </row>
    <row r="1179" spans="1:17" customFormat="1" ht="14.25" customHeight="1">
      <c r="A1179" s="119" t="s">
        <v>2867</v>
      </c>
      <c r="B1179" s="9">
        <v>18.8</v>
      </c>
      <c r="C1179" s="7" t="s">
        <v>1236</v>
      </c>
      <c r="D1179" s="187">
        <v>3</v>
      </c>
      <c r="E1179" s="7">
        <v>1.3</v>
      </c>
      <c r="F1179" s="7"/>
      <c r="G1179" s="7"/>
      <c r="H1179" s="7"/>
      <c r="I1179" s="7"/>
      <c r="J1179" s="7"/>
      <c r="K1179" s="7"/>
      <c r="L1179" s="7"/>
      <c r="M1179" s="7"/>
      <c r="N1179" s="7"/>
      <c r="O1179" s="7"/>
      <c r="P1179" s="7"/>
      <c r="Q1179" s="7"/>
    </row>
    <row r="1180" spans="1:17" customFormat="1" ht="14.25" customHeight="1">
      <c r="A1180" s="119" t="s">
        <v>2868</v>
      </c>
      <c r="B1180" s="9">
        <v>17.8</v>
      </c>
      <c r="C1180" s="7" t="s">
        <v>1364</v>
      </c>
      <c r="D1180" s="187">
        <v>3</v>
      </c>
      <c r="E1180" s="7">
        <v>1.3</v>
      </c>
      <c r="F1180" s="7"/>
      <c r="G1180" s="7"/>
      <c r="H1180" s="7"/>
      <c r="I1180" s="7"/>
      <c r="J1180" s="7"/>
      <c r="K1180" s="7"/>
      <c r="L1180" s="7"/>
      <c r="M1180" s="7"/>
      <c r="N1180" s="7"/>
      <c r="O1180" s="7"/>
      <c r="P1180" s="7"/>
      <c r="Q1180" s="7"/>
    </row>
    <row r="1181" spans="1:17" customFormat="1" ht="14.25" customHeight="1">
      <c r="A1181" s="119" t="s">
        <v>2869</v>
      </c>
      <c r="B1181" s="9">
        <v>24.8</v>
      </c>
      <c r="C1181" s="7" t="s">
        <v>1234</v>
      </c>
      <c r="D1181" s="187">
        <v>3</v>
      </c>
      <c r="E1181" s="7">
        <v>1.3</v>
      </c>
      <c r="F1181" s="7"/>
      <c r="G1181" s="7"/>
      <c r="H1181" s="7"/>
      <c r="I1181" s="7"/>
      <c r="J1181" s="7"/>
      <c r="K1181" s="7"/>
      <c r="L1181" s="7"/>
      <c r="M1181" s="7"/>
      <c r="N1181" s="7"/>
      <c r="O1181" s="7"/>
      <c r="P1181" s="7"/>
      <c r="Q1181" s="7"/>
    </row>
    <row r="1182" spans="1:17" customFormat="1" ht="14.25" customHeight="1">
      <c r="A1182" s="128" t="s">
        <v>3075</v>
      </c>
      <c r="B1182" s="9">
        <v>33</v>
      </c>
      <c r="C1182" s="7" t="s">
        <v>1475</v>
      </c>
      <c r="D1182" s="187">
        <v>3</v>
      </c>
      <c r="E1182" s="7">
        <v>2.15</v>
      </c>
      <c r="F1182" s="7"/>
      <c r="G1182" s="7"/>
      <c r="H1182" s="7"/>
      <c r="I1182" s="7"/>
      <c r="J1182" s="7"/>
      <c r="K1182" s="7"/>
      <c r="L1182" s="7"/>
      <c r="M1182" s="7"/>
      <c r="N1182" s="7"/>
      <c r="O1182" s="7"/>
      <c r="P1182" s="7"/>
      <c r="Q1182" s="7"/>
    </row>
    <row r="1183" spans="1:17" customFormat="1" ht="14.25" customHeight="1">
      <c r="A1183" s="128" t="s">
        <v>3076</v>
      </c>
      <c r="B1183" s="9">
        <v>33</v>
      </c>
      <c r="C1183" s="135" t="s">
        <v>3318</v>
      </c>
      <c r="D1183" s="187">
        <v>3</v>
      </c>
      <c r="E1183" s="7">
        <v>2.15</v>
      </c>
      <c r="F1183" s="7"/>
      <c r="G1183" s="7"/>
      <c r="H1183" s="7"/>
      <c r="I1183" s="7"/>
      <c r="J1183" s="7"/>
      <c r="K1183" s="7"/>
      <c r="L1183" s="7"/>
      <c r="M1183" s="7"/>
      <c r="N1183" s="7"/>
      <c r="O1183" s="7"/>
      <c r="P1183" s="7"/>
      <c r="Q1183" s="7"/>
    </row>
    <row r="1184" spans="1:17" customFormat="1" ht="14.25" customHeight="1">
      <c r="A1184" s="128" t="s">
        <v>3077</v>
      </c>
      <c r="B1184" s="9">
        <v>33</v>
      </c>
      <c r="C1184" s="7" t="s">
        <v>1476</v>
      </c>
      <c r="D1184" s="187">
        <v>3</v>
      </c>
      <c r="E1184" s="7">
        <v>2.15</v>
      </c>
      <c r="F1184" s="7"/>
      <c r="G1184" s="7"/>
      <c r="H1184" s="7"/>
      <c r="I1184" s="7"/>
      <c r="J1184" s="7"/>
      <c r="K1184" s="7"/>
      <c r="L1184" s="7"/>
      <c r="M1184" s="7"/>
      <c r="N1184" s="7"/>
      <c r="O1184" s="7"/>
      <c r="P1184" s="7"/>
      <c r="Q1184" s="7"/>
    </row>
    <row r="1185" spans="1:17" customFormat="1" ht="14.25" customHeight="1">
      <c r="A1185" s="128" t="s">
        <v>3078</v>
      </c>
      <c r="B1185" s="9">
        <v>33</v>
      </c>
      <c r="C1185" s="7" t="s">
        <v>1477</v>
      </c>
      <c r="D1185" s="187">
        <v>3</v>
      </c>
      <c r="E1185" s="7">
        <v>2.15</v>
      </c>
      <c r="F1185" s="7"/>
      <c r="G1185" s="7"/>
      <c r="H1185" s="7"/>
      <c r="I1185" s="7"/>
      <c r="J1185" s="7"/>
      <c r="K1185" s="7"/>
      <c r="L1185" s="7"/>
      <c r="M1185" s="7"/>
      <c r="N1185" s="7"/>
      <c r="O1185" s="7"/>
      <c r="P1185" s="7"/>
      <c r="Q1185" s="7"/>
    </row>
    <row r="1186" spans="1:17" customFormat="1" ht="14.25" customHeight="1">
      <c r="A1186" s="128" t="s">
        <v>3079</v>
      </c>
      <c r="B1186" s="9">
        <v>33</v>
      </c>
      <c r="C1186" s="7" t="s">
        <v>1366</v>
      </c>
      <c r="D1186" s="187">
        <v>3</v>
      </c>
      <c r="E1186" s="7">
        <v>2.15</v>
      </c>
      <c r="F1186" s="7"/>
      <c r="G1186" s="7"/>
      <c r="H1186" s="7"/>
      <c r="I1186" s="7"/>
      <c r="J1186" s="7"/>
      <c r="K1186" s="7"/>
      <c r="L1186" s="7"/>
      <c r="M1186" s="7"/>
      <c r="N1186" s="7"/>
      <c r="O1186" s="7"/>
      <c r="P1186" s="7"/>
      <c r="Q1186" s="7"/>
    </row>
    <row r="1187" spans="1:17" customFormat="1" ht="14.25" customHeight="1">
      <c r="A1187" s="152" t="s">
        <v>3391</v>
      </c>
      <c r="B1187" s="9">
        <v>18.899999999999999</v>
      </c>
      <c r="C1187" s="203" t="s">
        <v>5990</v>
      </c>
      <c r="D1187" s="187">
        <v>5</v>
      </c>
      <c r="E1187" s="7">
        <v>1.1000000000000001</v>
      </c>
      <c r="F1187" s="7"/>
      <c r="G1187" s="7"/>
      <c r="H1187" s="7"/>
      <c r="I1187" s="7"/>
      <c r="J1187" s="7"/>
      <c r="K1187" s="7"/>
      <c r="L1187" s="7"/>
      <c r="M1187" s="7"/>
      <c r="N1187" s="7"/>
      <c r="O1187" s="7"/>
      <c r="P1187" s="7"/>
      <c r="Q1187" s="7"/>
    </row>
    <row r="1188" spans="1:17" customFormat="1" ht="14.25" customHeight="1">
      <c r="A1188" s="152" t="s">
        <v>3652</v>
      </c>
      <c r="B1188" s="9">
        <v>13.9</v>
      </c>
      <c r="C1188" s="203" t="s">
        <v>5988</v>
      </c>
      <c r="D1188" s="190">
        <v>10</v>
      </c>
      <c r="E1188" s="7">
        <v>0.39</v>
      </c>
      <c r="F1188" s="7"/>
      <c r="G1188" s="7"/>
      <c r="H1188" s="7"/>
      <c r="I1188" s="7"/>
      <c r="J1188" s="7"/>
      <c r="K1188" s="7"/>
      <c r="L1188" s="7"/>
      <c r="M1188" s="7"/>
      <c r="N1188" s="7"/>
      <c r="O1188" s="7"/>
      <c r="P1188" s="7"/>
      <c r="Q1188" s="7"/>
    </row>
    <row r="1189" spans="1:17" customFormat="1" ht="14.25" customHeight="1">
      <c r="A1189" s="151" t="s">
        <v>3654</v>
      </c>
      <c r="B1189" s="9">
        <v>10</v>
      </c>
      <c r="C1189" s="203" t="s">
        <v>5967</v>
      </c>
      <c r="D1189" s="190">
        <v>6</v>
      </c>
      <c r="E1189" s="7">
        <v>0.3</v>
      </c>
      <c r="F1189" s="7"/>
      <c r="G1189" s="7"/>
      <c r="H1189" s="7"/>
      <c r="I1189" s="7"/>
      <c r="J1189" s="7"/>
      <c r="K1189" s="7"/>
      <c r="L1189" s="7"/>
      <c r="M1189" s="7"/>
      <c r="N1189" s="7"/>
      <c r="O1189" s="7"/>
      <c r="P1189" s="7"/>
      <c r="Q1189" s="7"/>
    </row>
    <row r="1190" spans="1:17" customFormat="1" ht="14.25" customHeight="1">
      <c r="A1190" s="151" t="s">
        <v>3663</v>
      </c>
      <c r="B1190" s="124">
        <f>9.5/6</f>
        <v>1.5833333333333333</v>
      </c>
      <c r="C1190" s="203" t="s">
        <v>5968</v>
      </c>
      <c r="D1190" s="187">
        <v>100</v>
      </c>
      <c r="E1190" s="7">
        <v>0.04</v>
      </c>
      <c r="F1190" s="7"/>
      <c r="G1190" s="7"/>
      <c r="H1190" s="7"/>
      <c r="I1190" s="7"/>
      <c r="J1190" s="7"/>
      <c r="K1190" s="7"/>
      <c r="L1190" s="7"/>
      <c r="M1190" s="7"/>
      <c r="N1190" s="7"/>
      <c r="O1190" s="7"/>
      <c r="P1190" s="7"/>
      <c r="Q1190" s="7"/>
    </row>
  </sheetData>
  <sortState ref="A2:E1192">
    <sortCondition ref="A2:A1192"/>
  </sortState>
  <phoneticPr fontId="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3"/>
  <dimension ref="A1:T1304"/>
  <sheetViews>
    <sheetView topLeftCell="A899" zoomScaleNormal="100" workbookViewId="0">
      <selection activeCell="E911" sqref="E911"/>
    </sheetView>
  </sheetViews>
  <sheetFormatPr defaultRowHeight="12.75" customHeight="1"/>
  <cols>
    <col min="1" max="2" width="11.625" style="7" bestFit="1" customWidth="1"/>
    <col min="3" max="3" width="12.75" style="7" customWidth="1"/>
    <col min="4" max="4" width="5" style="9" bestFit="1" customWidth="1"/>
    <col min="5" max="5" width="7.375" style="106" customWidth="1"/>
    <col min="6" max="6" width="6.75" style="9" bestFit="1" customWidth="1"/>
    <col min="7" max="7" width="41" style="7" customWidth="1"/>
    <col min="8" max="8" width="6.875" style="7" bestFit="1" customWidth="1"/>
    <col min="9" max="9" width="8.5" style="7" bestFit="1" customWidth="1"/>
    <col min="10" max="10" width="7.75" style="7" bestFit="1" customWidth="1"/>
    <col min="11" max="11" width="6" style="7" bestFit="1" customWidth="1"/>
    <col min="12" max="12" width="8" style="7" customWidth="1"/>
    <col min="13" max="13" width="5.625" style="7" customWidth="1"/>
    <col min="14" max="15" width="6.75" style="7" customWidth="1"/>
    <col min="16" max="16" width="6.875" style="11" customWidth="1"/>
    <col min="17" max="17" width="7.25" style="7" customWidth="1"/>
    <col min="18" max="18" width="7" style="7" customWidth="1"/>
    <col min="19" max="20" width="9.125" style="7" bestFit="1" customWidth="1"/>
    <col min="21" max="16384" width="9" style="7"/>
  </cols>
  <sheetData>
    <row r="1" spans="1:16" s="9" customFormat="1" ht="12.75" customHeight="1">
      <c r="A1" s="9" t="s">
        <v>1118</v>
      </c>
      <c r="B1" s="9" t="s">
        <v>36</v>
      </c>
      <c r="C1" s="9" t="s">
        <v>1119</v>
      </c>
      <c r="D1" s="9" t="s">
        <v>3177</v>
      </c>
      <c r="E1" s="106" t="s">
        <v>2894</v>
      </c>
      <c r="F1" s="9" t="s">
        <v>1349</v>
      </c>
      <c r="G1" s="9" t="s">
        <v>1120</v>
      </c>
      <c r="H1" s="9" t="s">
        <v>1121</v>
      </c>
      <c r="I1" s="9" t="s">
        <v>1122</v>
      </c>
      <c r="J1" s="9" t="s">
        <v>1123</v>
      </c>
      <c r="K1" s="9" t="s">
        <v>1124</v>
      </c>
      <c r="L1" s="9" t="s">
        <v>1679</v>
      </c>
      <c r="M1" s="9" t="s">
        <v>1680</v>
      </c>
      <c r="N1" s="9" t="s">
        <v>1682</v>
      </c>
      <c r="P1" s="11"/>
    </row>
    <row r="2" spans="1:16" ht="12.75" customHeight="1">
      <c r="A2" s="10">
        <v>43824</v>
      </c>
      <c r="B2" s="10">
        <v>43828</v>
      </c>
      <c r="C2" s="7" t="s">
        <v>1125</v>
      </c>
      <c r="E2" s="128">
        <v>103.01</v>
      </c>
      <c r="F2" s="9">
        <v>0.8</v>
      </c>
      <c r="G2" s="7" t="s">
        <v>1758</v>
      </c>
      <c r="H2" s="7">
        <v>2000</v>
      </c>
      <c r="I2" s="7">
        <v>4.8000000000000001E-2</v>
      </c>
      <c r="J2" s="7">
        <f>H2*I2</f>
        <v>96</v>
      </c>
    </row>
    <row r="3" spans="1:16" ht="12.75" customHeight="1">
      <c r="A3" s="10"/>
      <c r="B3" s="10"/>
      <c r="E3" s="128">
        <v>103.02</v>
      </c>
      <c r="F3" s="9">
        <v>1</v>
      </c>
      <c r="G3" s="7" t="s">
        <v>1759</v>
      </c>
      <c r="H3" s="7">
        <v>2000</v>
      </c>
      <c r="I3" s="7">
        <v>5.2999999999999999E-2</v>
      </c>
      <c r="J3" s="7">
        <f>H3*I3</f>
        <v>106</v>
      </c>
    </row>
    <row r="4" spans="1:16" ht="12.75" customHeight="1">
      <c r="A4" s="10"/>
      <c r="B4" s="10"/>
      <c r="E4" s="128">
        <v>103.03</v>
      </c>
      <c r="F4" s="9">
        <v>1.5</v>
      </c>
      <c r="G4" s="7" t="s">
        <v>1760</v>
      </c>
      <c r="H4" s="7">
        <v>2000</v>
      </c>
      <c r="I4" s="7">
        <v>0.06</v>
      </c>
      <c r="J4" s="7">
        <f>H4*I4</f>
        <v>120</v>
      </c>
    </row>
    <row r="5" spans="1:16" s="4" customFormat="1" ht="12.75" customHeight="1">
      <c r="A5" s="12"/>
      <c r="B5" s="12"/>
      <c r="D5" s="5"/>
      <c r="E5" s="114"/>
      <c r="F5" s="5"/>
      <c r="J5" s="4">
        <f>SUM(J2:J4)</f>
        <v>322</v>
      </c>
      <c r="K5" s="4">
        <v>0</v>
      </c>
      <c r="L5" s="4">
        <v>-317</v>
      </c>
      <c r="N5" s="4">
        <v>-5</v>
      </c>
      <c r="O5" s="4">
        <f>SUM(J5:N5)</f>
        <v>0</v>
      </c>
      <c r="P5" s="13" t="s">
        <v>1684</v>
      </c>
    </row>
    <row r="6" spans="1:16" ht="12.75" customHeight="1">
      <c r="A6" s="10">
        <v>43824</v>
      </c>
      <c r="B6" s="10">
        <v>1</v>
      </c>
      <c r="C6" s="7" t="s">
        <v>1126</v>
      </c>
      <c r="E6" s="128">
        <v>103.04</v>
      </c>
      <c r="F6" s="9">
        <v>1</v>
      </c>
      <c r="G6" s="7" t="s">
        <v>2895</v>
      </c>
      <c r="H6" s="7">
        <v>2000</v>
      </c>
      <c r="I6" s="7">
        <v>0.08</v>
      </c>
      <c r="J6" s="7">
        <f>H6*I6</f>
        <v>160</v>
      </c>
    </row>
    <row r="7" spans="1:16" ht="12.75" customHeight="1">
      <c r="A7" s="10"/>
      <c r="B7" s="10"/>
      <c r="E7" s="128">
        <v>103.05</v>
      </c>
      <c r="F7" s="9">
        <v>1.8</v>
      </c>
      <c r="G7" s="7" t="s">
        <v>2896</v>
      </c>
      <c r="H7" s="7">
        <v>2000</v>
      </c>
      <c r="I7" s="7">
        <v>0.08</v>
      </c>
      <c r="J7" s="7">
        <f>H7*I7</f>
        <v>160</v>
      </c>
    </row>
    <row r="8" spans="1:16" ht="12.75" customHeight="1">
      <c r="A8" s="10"/>
      <c r="B8" s="10"/>
      <c r="E8" s="128" t="s">
        <v>4120</v>
      </c>
      <c r="F8" s="9">
        <v>2.5</v>
      </c>
      <c r="G8" s="7" t="s">
        <v>2897</v>
      </c>
      <c r="H8" s="7">
        <v>2000</v>
      </c>
      <c r="I8" s="7">
        <v>0.08</v>
      </c>
      <c r="J8" s="7">
        <f>H8*I8</f>
        <v>160</v>
      </c>
    </row>
    <row r="9" spans="1:16" s="4" customFormat="1" ht="12.75" customHeight="1">
      <c r="A9" s="12"/>
      <c r="B9" s="12"/>
      <c r="D9" s="5"/>
      <c r="E9" s="114"/>
      <c r="F9" s="5"/>
      <c r="J9" s="4">
        <f>SUM(J6:J8)</f>
        <v>480</v>
      </c>
      <c r="K9" s="4">
        <v>0</v>
      </c>
      <c r="L9" s="4">
        <v>-480</v>
      </c>
      <c r="O9" s="4">
        <f>SUM(J9:N9)</f>
        <v>0</v>
      </c>
      <c r="P9" s="13" t="s">
        <v>1127</v>
      </c>
    </row>
    <row r="10" spans="1:16" ht="12.75" customHeight="1">
      <c r="A10" s="10">
        <v>43824</v>
      </c>
      <c r="B10" s="10">
        <v>43827</v>
      </c>
      <c r="C10" s="7" t="s">
        <v>1128</v>
      </c>
      <c r="E10" s="128">
        <v>352.07</v>
      </c>
      <c r="F10" s="9">
        <v>50</v>
      </c>
      <c r="G10" s="7" t="s">
        <v>1129</v>
      </c>
      <c r="H10" s="7">
        <v>39</v>
      </c>
      <c r="I10" s="7">
        <v>3.3</v>
      </c>
      <c r="J10" s="7">
        <f>H10*I10</f>
        <v>128.69999999999999</v>
      </c>
    </row>
    <row r="11" spans="1:16" s="4" customFormat="1" ht="12.75" customHeight="1">
      <c r="A11" s="12"/>
      <c r="B11" s="12"/>
      <c r="D11" s="5"/>
      <c r="E11" s="114"/>
      <c r="F11" s="5"/>
      <c r="J11" s="4">
        <f>SUM(J10:J10)</f>
        <v>128.69999999999999</v>
      </c>
      <c r="K11" s="4">
        <v>10</v>
      </c>
      <c r="L11" s="4">
        <v>-138</v>
      </c>
      <c r="N11" s="4">
        <v>-0.7</v>
      </c>
      <c r="O11" s="4">
        <f>SUM(J11:N11)</f>
        <v>-1.1324274851176597E-14</v>
      </c>
      <c r="P11" s="13" t="s">
        <v>1130</v>
      </c>
    </row>
    <row r="12" spans="1:16" ht="12.75" customHeight="1">
      <c r="A12" s="10">
        <v>43824</v>
      </c>
      <c r="B12" s="10">
        <v>43827</v>
      </c>
      <c r="C12" s="7" t="s">
        <v>1128</v>
      </c>
      <c r="E12" s="128">
        <v>352.08</v>
      </c>
      <c r="F12" s="9">
        <v>49</v>
      </c>
      <c r="G12" s="105" t="s">
        <v>1131</v>
      </c>
      <c r="H12" s="7">
        <v>20</v>
      </c>
      <c r="I12" s="7">
        <v>2.98</v>
      </c>
      <c r="J12" s="7">
        <f>H12*I12</f>
        <v>59.6</v>
      </c>
    </row>
    <row r="13" spans="1:16" s="4" customFormat="1" ht="12.75" customHeight="1">
      <c r="A13" s="12"/>
      <c r="B13" s="12"/>
      <c r="D13" s="5"/>
      <c r="E13" s="114"/>
      <c r="F13" s="5"/>
      <c r="J13" s="4">
        <f>SUM(J12:J12)</f>
        <v>59.6</v>
      </c>
      <c r="K13" s="4">
        <v>8</v>
      </c>
      <c r="L13" s="4">
        <v>-67.599999999999994</v>
      </c>
      <c r="O13" s="4">
        <f>SUM(J13:N13)</f>
        <v>0</v>
      </c>
      <c r="P13" s="13" t="s">
        <v>2898</v>
      </c>
    </row>
    <row r="14" spans="1:16" ht="12.75" customHeight="1">
      <c r="A14" s="10">
        <v>43824</v>
      </c>
      <c r="B14" s="10">
        <v>43827</v>
      </c>
      <c r="C14" s="7" t="s">
        <v>1132</v>
      </c>
      <c r="E14" s="128" t="s">
        <v>4102</v>
      </c>
      <c r="F14" s="9">
        <v>101</v>
      </c>
      <c r="G14" s="7" t="s">
        <v>1406</v>
      </c>
      <c r="H14" s="7">
        <f>72*2</f>
        <v>144</v>
      </c>
      <c r="I14" s="7">
        <v>1.2250000000000001</v>
      </c>
      <c r="J14" s="7">
        <f>H14*I14</f>
        <v>176.4</v>
      </c>
      <c r="P14" s="11" t="s">
        <v>1405</v>
      </c>
    </row>
    <row r="15" spans="1:16" s="4" customFormat="1" ht="12.75" customHeight="1">
      <c r="A15" s="12"/>
      <c r="B15" s="12"/>
      <c r="D15" s="5"/>
      <c r="E15" s="114"/>
      <c r="F15" s="5"/>
      <c r="J15" s="4">
        <f>SUM(J14:J14)</f>
        <v>176.4</v>
      </c>
      <c r="M15" s="4">
        <v>-159.4</v>
      </c>
      <c r="N15" s="4">
        <v>-17</v>
      </c>
      <c r="O15" s="4">
        <f>SUM(J15:N15)</f>
        <v>0</v>
      </c>
      <c r="P15" s="13" t="s">
        <v>1683</v>
      </c>
    </row>
    <row r="16" spans="1:16" ht="12.75" customHeight="1">
      <c r="A16" s="10">
        <v>43824</v>
      </c>
      <c r="B16" s="10">
        <v>1</v>
      </c>
      <c r="C16" s="7" t="s">
        <v>1133</v>
      </c>
      <c r="D16" s="133"/>
      <c r="E16" s="128" t="s">
        <v>4101</v>
      </c>
      <c r="F16" s="9">
        <f>140.8-35.4</f>
        <v>105.4</v>
      </c>
      <c r="G16" s="7" t="s">
        <v>1134</v>
      </c>
      <c r="H16" s="7">
        <v>30</v>
      </c>
      <c r="I16" s="7">
        <v>2.62</v>
      </c>
      <c r="J16" s="7">
        <f>H16*I16</f>
        <v>78.600000000000009</v>
      </c>
    </row>
    <row r="17" spans="1:16" s="4" customFormat="1" ht="12.75" customHeight="1">
      <c r="A17" s="12"/>
      <c r="B17" s="12"/>
      <c r="D17" s="5"/>
      <c r="E17" s="114"/>
      <c r="F17" s="5"/>
      <c r="J17" s="4">
        <f>SUM(J16:J16)</f>
        <v>78.600000000000009</v>
      </c>
      <c r="K17" s="4">
        <v>20</v>
      </c>
      <c r="L17" s="4">
        <v>-93.6</v>
      </c>
      <c r="N17" s="4">
        <v>-5</v>
      </c>
      <c r="O17" s="4">
        <f>SUM(J17:N17)</f>
        <v>1.4210854715202004E-14</v>
      </c>
      <c r="P17" s="13" t="s">
        <v>1681</v>
      </c>
    </row>
    <row r="18" spans="1:16" ht="12.75" customHeight="1">
      <c r="A18" s="10">
        <v>43824</v>
      </c>
      <c r="B18" s="10">
        <v>1</v>
      </c>
      <c r="C18" s="7" t="s">
        <v>1135</v>
      </c>
      <c r="D18" s="65" t="s">
        <v>3178</v>
      </c>
      <c r="E18" s="115">
        <v>352.01</v>
      </c>
      <c r="F18" s="9">
        <v>55</v>
      </c>
      <c r="G18" s="7" t="s">
        <v>2059</v>
      </c>
      <c r="H18" s="7">
        <v>20</v>
      </c>
      <c r="I18" s="7">
        <v>2.8</v>
      </c>
      <c r="J18" s="7">
        <f t="shared" ref="J18:J23" si="0">H18*I18</f>
        <v>56</v>
      </c>
    </row>
    <row r="19" spans="1:16" ht="12.75" customHeight="1">
      <c r="A19" s="10"/>
      <c r="B19" s="10"/>
      <c r="D19" s="65" t="s">
        <v>3178</v>
      </c>
      <c r="E19" s="115">
        <v>352.02</v>
      </c>
      <c r="F19" s="9">
        <v>81.5</v>
      </c>
      <c r="G19" s="79" t="s">
        <v>2057</v>
      </c>
      <c r="H19" s="7">
        <v>40</v>
      </c>
      <c r="I19" s="7">
        <f>(3.5+4)/2</f>
        <v>3.75</v>
      </c>
      <c r="J19" s="7">
        <f t="shared" si="0"/>
        <v>150</v>
      </c>
    </row>
    <row r="20" spans="1:16" ht="12.75" customHeight="1">
      <c r="A20" s="10"/>
      <c r="B20" s="10"/>
      <c r="E20" s="115">
        <v>352.03</v>
      </c>
      <c r="F20" s="9">
        <v>63</v>
      </c>
      <c r="G20" s="7" t="s">
        <v>2058</v>
      </c>
      <c r="H20" s="7">
        <v>20</v>
      </c>
      <c r="I20" s="7">
        <v>3.5</v>
      </c>
      <c r="J20" s="7">
        <f t="shared" si="0"/>
        <v>70</v>
      </c>
    </row>
    <row r="21" spans="1:16" ht="12.75" customHeight="1">
      <c r="D21" s="65" t="s">
        <v>3178</v>
      </c>
      <c r="E21" s="115">
        <v>352.04</v>
      </c>
      <c r="F21" s="9">
        <v>73</v>
      </c>
      <c r="G21" s="7" t="s">
        <v>2055</v>
      </c>
      <c r="H21" s="7">
        <v>20</v>
      </c>
      <c r="I21" s="7">
        <v>4</v>
      </c>
      <c r="J21" s="7">
        <f t="shared" si="0"/>
        <v>80</v>
      </c>
    </row>
    <row r="22" spans="1:16" ht="12.75" customHeight="1">
      <c r="A22" s="10"/>
      <c r="B22" s="10"/>
      <c r="D22" s="65" t="s">
        <v>3178</v>
      </c>
      <c r="E22" s="115">
        <v>352.05</v>
      </c>
      <c r="F22" s="9">
        <v>72</v>
      </c>
      <c r="G22" s="7" t="s">
        <v>2056</v>
      </c>
      <c r="H22" s="7">
        <v>20</v>
      </c>
      <c r="I22" s="7">
        <v>3.5</v>
      </c>
      <c r="J22" s="7">
        <f t="shared" si="0"/>
        <v>70</v>
      </c>
    </row>
    <row r="23" spans="1:16" ht="12.75" customHeight="1">
      <c r="A23" s="10"/>
      <c r="B23" s="10"/>
      <c r="E23" s="115">
        <v>352.06</v>
      </c>
      <c r="F23" s="9">
        <v>64.5</v>
      </c>
      <c r="G23" s="7" t="s">
        <v>2899</v>
      </c>
      <c r="H23" s="7">
        <v>20</v>
      </c>
      <c r="I23" s="7">
        <v>2.6</v>
      </c>
      <c r="J23" s="7">
        <f t="shared" si="0"/>
        <v>52</v>
      </c>
    </row>
    <row r="24" spans="1:16" s="4" customFormat="1" ht="12.75" customHeight="1">
      <c r="A24" s="12"/>
      <c r="B24" s="12"/>
      <c r="D24" s="5"/>
      <c r="E24" s="114"/>
      <c r="F24" s="5"/>
      <c r="J24" s="4">
        <f>SUM(J18:J23)</f>
        <v>478</v>
      </c>
      <c r="K24" s="4">
        <v>30</v>
      </c>
      <c r="L24" s="4">
        <v>-508</v>
      </c>
      <c r="O24" s="4">
        <f>SUM(J24:N24)</f>
        <v>0</v>
      </c>
      <c r="P24" s="13" t="s">
        <v>2900</v>
      </c>
    </row>
    <row r="25" spans="1:16" ht="12.75" customHeight="1">
      <c r="A25" s="10">
        <v>43824</v>
      </c>
      <c r="B25" s="10">
        <v>43827</v>
      </c>
      <c r="C25" s="7" t="s">
        <v>1137</v>
      </c>
      <c r="D25" s="65" t="s">
        <v>3179</v>
      </c>
      <c r="E25" s="119" t="s">
        <v>2831</v>
      </c>
      <c r="F25" s="9">
        <v>23</v>
      </c>
      <c r="G25" s="7" t="s">
        <v>1188</v>
      </c>
      <c r="H25" s="7">
        <v>6</v>
      </c>
      <c r="I25" s="7">
        <v>3</v>
      </c>
      <c r="J25" s="7">
        <f t="shared" ref="J25:J30" si="1">H25*I25</f>
        <v>18</v>
      </c>
    </row>
    <row r="26" spans="1:16" ht="12.75" customHeight="1">
      <c r="A26" s="10"/>
      <c r="B26" s="10"/>
      <c r="D26" s="65" t="s">
        <v>3179</v>
      </c>
      <c r="E26" s="119" t="s">
        <v>2832</v>
      </c>
      <c r="F26" s="9">
        <v>23</v>
      </c>
      <c r="G26" s="7" t="s">
        <v>1189</v>
      </c>
      <c r="H26" s="7">
        <v>5</v>
      </c>
      <c r="I26" s="7">
        <v>3</v>
      </c>
      <c r="J26" s="7">
        <f t="shared" si="1"/>
        <v>15</v>
      </c>
    </row>
    <row r="27" spans="1:16" ht="12.75" customHeight="1">
      <c r="A27" s="10"/>
      <c r="B27" s="10"/>
      <c r="D27" s="65" t="s">
        <v>3179</v>
      </c>
      <c r="E27" s="119" t="s">
        <v>2833</v>
      </c>
      <c r="F27" s="9">
        <v>23</v>
      </c>
      <c r="G27" s="7" t="s">
        <v>1190</v>
      </c>
      <c r="H27" s="7">
        <v>5</v>
      </c>
      <c r="I27" s="7">
        <v>3</v>
      </c>
      <c r="J27" s="7">
        <f t="shared" si="1"/>
        <v>15</v>
      </c>
    </row>
    <row r="28" spans="1:16" ht="12.75" customHeight="1">
      <c r="A28" s="10"/>
      <c r="B28" s="10"/>
      <c r="D28" s="65" t="s">
        <v>3179</v>
      </c>
      <c r="E28" s="119" t="s">
        <v>2834</v>
      </c>
      <c r="F28" s="9">
        <v>23</v>
      </c>
      <c r="G28" s="7" t="s">
        <v>1191</v>
      </c>
      <c r="H28" s="7">
        <v>5</v>
      </c>
      <c r="I28" s="7">
        <v>3</v>
      </c>
      <c r="J28" s="7">
        <f t="shared" si="1"/>
        <v>15</v>
      </c>
    </row>
    <row r="29" spans="1:16" ht="12.75" customHeight="1">
      <c r="A29" s="10"/>
      <c r="B29" s="10"/>
      <c r="D29" s="65" t="s">
        <v>3179</v>
      </c>
      <c r="E29" s="119" t="s">
        <v>2835</v>
      </c>
      <c r="F29" s="9">
        <v>23</v>
      </c>
      <c r="G29" s="7" t="s">
        <v>1193</v>
      </c>
      <c r="H29" s="7">
        <v>3</v>
      </c>
      <c r="I29" s="7">
        <v>3</v>
      </c>
      <c r="J29" s="7">
        <f t="shared" si="1"/>
        <v>9</v>
      </c>
    </row>
    <row r="30" spans="1:16" ht="12.75" customHeight="1">
      <c r="A30" s="10"/>
      <c r="B30" s="10"/>
      <c r="D30" s="65" t="s">
        <v>3179</v>
      </c>
      <c r="E30" s="119" t="s">
        <v>2836</v>
      </c>
      <c r="F30" s="9">
        <v>23</v>
      </c>
      <c r="G30" s="7" t="s">
        <v>1192</v>
      </c>
      <c r="H30" s="7">
        <v>3</v>
      </c>
      <c r="I30" s="7">
        <v>3</v>
      </c>
      <c r="J30" s="7">
        <f t="shared" si="1"/>
        <v>9</v>
      </c>
    </row>
    <row r="31" spans="1:16" s="4" customFormat="1" ht="12.75" customHeight="1">
      <c r="A31" s="12"/>
      <c r="B31" s="12"/>
      <c r="D31" s="5">
        <v>0.2</v>
      </c>
      <c r="E31" s="114"/>
      <c r="F31" s="5"/>
      <c r="J31" s="4">
        <f>SUM(J25:J30)</f>
        <v>81</v>
      </c>
      <c r="K31" s="4">
        <v>5</v>
      </c>
      <c r="L31" s="4">
        <v>-86</v>
      </c>
      <c r="O31" s="4">
        <f>SUM(J31:N31)</f>
        <v>0</v>
      </c>
      <c r="P31" s="13" t="s">
        <v>2901</v>
      </c>
    </row>
    <row r="32" spans="1:16" ht="12.75" customHeight="1">
      <c r="A32" s="10">
        <v>43824</v>
      </c>
      <c r="B32" s="10">
        <v>1</v>
      </c>
      <c r="C32" s="7" t="s">
        <v>1140</v>
      </c>
      <c r="D32" s="65" t="s">
        <v>3179</v>
      </c>
      <c r="E32" s="120" t="s">
        <v>2884</v>
      </c>
      <c r="F32" s="9">
        <v>23.5</v>
      </c>
      <c r="G32" s="7" t="s">
        <v>1179</v>
      </c>
      <c r="H32" s="7">
        <v>3</v>
      </c>
      <c r="I32" s="7">
        <v>1.65</v>
      </c>
      <c r="J32" s="7">
        <f t="shared" ref="J32:J63" si="2">H32*I32</f>
        <v>4.9499999999999993</v>
      </c>
    </row>
    <row r="33" spans="1:10" ht="12.75" customHeight="1">
      <c r="A33" s="10"/>
      <c r="B33" s="10"/>
      <c r="D33" s="65" t="s">
        <v>3179</v>
      </c>
      <c r="E33" s="120" t="s">
        <v>2885</v>
      </c>
      <c r="F33" s="9">
        <v>23.5</v>
      </c>
      <c r="G33" s="7" t="s">
        <v>1181</v>
      </c>
      <c r="H33" s="7">
        <v>3</v>
      </c>
      <c r="I33" s="7">
        <v>1.65</v>
      </c>
      <c r="J33" s="7">
        <f t="shared" si="2"/>
        <v>4.9499999999999993</v>
      </c>
    </row>
    <row r="34" spans="1:10" ht="12.75" customHeight="1">
      <c r="A34" s="10"/>
      <c r="B34" s="10"/>
      <c r="D34" s="65" t="s">
        <v>3179</v>
      </c>
      <c r="E34" s="120" t="s">
        <v>2886</v>
      </c>
      <c r="F34" s="9">
        <v>23.8</v>
      </c>
      <c r="G34" s="7" t="s">
        <v>1180</v>
      </c>
      <c r="H34" s="7">
        <v>3</v>
      </c>
      <c r="I34" s="7">
        <v>1.65</v>
      </c>
      <c r="J34" s="7">
        <f t="shared" si="2"/>
        <v>4.9499999999999993</v>
      </c>
    </row>
    <row r="35" spans="1:10" ht="12.75" customHeight="1">
      <c r="A35" s="10"/>
      <c r="B35" s="10"/>
      <c r="D35" s="65" t="s">
        <v>3179</v>
      </c>
      <c r="E35" s="120" t="s">
        <v>2887</v>
      </c>
      <c r="F35" s="9">
        <v>29.4</v>
      </c>
      <c r="G35" s="7" t="s">
        <v>1182</v>
      </c>
      <c r="H35" s="7">
        <v>3</v>
      </c>
      <c r="I35" s="7">
        <v>1.65</v>
      </c>
      <c r="J35" s="7">
        <f t="shared" si="2"/>
        <v>4.9499999999999993</v>
      </c>
    </row>
    <row r="36" spans="1:10" ht="12.75" customHeight="1">
      <c r="A36" s="10"/>
      <c r="B36" s="10"/>
      <c r="D36" s="65" t="s">
        <v>3179</v>
      </c>
      <c r="E36" s="120" t="s">
        <v>2888</v>
      </c>
      <c r="F36" s="9">
        <v>27.2</v>
      </c>
      <c r="G36" s="7" t="s">
        <v>1183</v>
      </c>
      <c r="H36" s="7">
        <v>3</v>
      </c>
      <c r="I36" s="7">
        <v>1.65</v>
      </c>
      <c r="J36" s="7">
        <f t="shared" si="2"/>
        <v>4.9499999999999993</v>
      </c>
    </row>
    <row r="37" spans="1:10" ht="12.75" customHeight="1">
      <c r="A37" s="10"/>
      <c r="B37" s="10"/>
      <c r="D37" s="65" t="s">
        <v>3179</v>
      </c>
      <c r="E37" s="120" t="s">
        <v>2889</v>
      </c>
      <c r="F37" s="9">
        <v>26.5</v>
      </c>
      <c r="G37" s="7" t="s">
        <v>1184</v>
      </c>
      <c r="H37" s="7">
        <v>3</v>
      </c>
      <c r="I37" s="7">
        <v>1.65</v>
      </c>
      <c r="J37" s="7">
        <f t="shared" si="2"/>
        <v>4.9499999999999993</v>
      </c>
    </row>
    <row r="38" spans="1:10" ht="12.75" customHeight="1">
      <c r="A38" s="10"/>
      <c r="B38" s="10"/>
      <c r="D38" s="65" t="s">
        <v>3179</v>
      </c>
      <c r="E38" s="120" t="s">
        <v>2890</v>
      </c>
      <c r="F38" s="9">
        <v>26.8</v>
      </c>
      <c r="G38" s="7" t="s">
        <v>1185</v>
      </c>
      <c r="H38" s="7">
        <v>3</v>
      </c>
      <c r="I38" s="7">
        <v>1.65</v>
      </c>
      <c r="J38" s="7">
        <f t="shared" si="2"/>
        <v>4.9499999999999993</v>
      </c>
    </row>
    <row r="39" spans="1:10" ht="12.75" customHeight="1">
      <c r="A39" s="10"/>
      <c r="B39" s="10"/>
      <c r="D39" s="65" t="s">
        <v>3179</v>
      </c>
      <c r="E39" s="120" t="s">
        <v>2891</v>
      </c>
      <c r="F39" s="9">
        <v>23.3</v>
      </c>
      <c r="G39" s="7" t="s">
        <v>1186</v>
      </c>
      <c r="H39" s="7">
        <v>3</v>
      </c>
      <c r="I39" s="7">
        <v>1.65</v>
      </c>
      <c r="J39" s="7">
        <f t="shared" si="2"/>
        <v>4.9499999999999993</v>
      </c>
    </row>
    <row r="40" spans="1:10" ht="12.75" customHeight="1">
      <c r="A40" s="10"/>
      <c r="B40" s="10"/>
      <c r="D40" s="65" t="s">
        <v>3179</v>
      </c>
      <c r="E40" s="120" t="s">
        <v>2893</v>
      </c>
      <c r="F40" s="9">
        <v>23.6</v>
      </c>
      <c r="G40" s="1" t="s">
        <v>2892</v>
      </c>
      <c r="H40" s="7">
        <v>3</v>
      </c>
      <c r="I40" s="7">
        <v>1.65</v>
      </c>
      <c r="J40" s="7">
        <f t="shared" si="2"/>
        <v>4.9499999999999993</v>
      </c>
    </row>
    <row r="41" spans="1:10" ht="12.75" customHeight="1">
      <c r="A41" s="10"/>
      <c r="B41" s="10"/>
      <c r="D41" s="65" t="s">
        <v>3179</v>
      </c>
      <c r="E41" s="119" t="s">
        <v>4198</v>
      </c>
      <c r="F41" s="9">
        <v>20.6</v>
      </c>
      <c r="G41" s="7" t="s">
        <v>1147</v>
      </c>
      <c r="H41" s="7">
        <v>3</v>
      </c>
      <c r="I41" s="7">
        <v>1.75</v>
      </c>
      <c r="J41" s="7">
        <f t="shared" si="2"/>
        <v>5.25</v>
      </c>
    </row>
    <row r="42" spans="1:10" ht="12.75" customHeight="1">
      <c r="A42" s="10"/>
      <c r="B42" s="10"/>
      <c r="D42" s="65" t="s">
        <v>3179</v>
      </c>
      <c r="E42" s="119" t="s">
        <v>4199</v>
      </c>
      <c r="F42" s="9">
        <v>19.7</v>
      </c>
      <c r="G42" s="7" t="s">
        <v>1148</v>
      </c>
      <c r="H42" s="7">
        <v>3</v>
      </c>
      <c r="I42" s="7">
        <v>1.75</v>
      </c>
      <c r="J42" s="7">
        <f t="shared" si="2"/>
        <v>5.25</v>
      </c>
    </row>
    <row r="43" spans="1:10" ht="12.75" customHeight="1">
      <c r="A43" s="10"/>
      <c r="B43" s="10"/>
      <c r="D43" s="65" t="s">
        <v>3179</v>
      </c>
      <c r="E43" s="119" t="s">
        <v>4201</v>
      </c>
      <c r="F43" s="9">
        <v>19.2</v>
      </c>
      <c r="G43" s="7" t="s">
        <v>1149</v>
      </c>
      <c r="H43" s="7">
        <v>3</v>
      </c>
      <c r="I43" s="7">
        <v>1.75</v>
      </c>
      <c r="J43" s="7">
        <f t="shared" si="2"/>
        <v>5.25</v>
      </c>
    </row>
    <row r="44" spans="1:10" ht="12.75" customHeight="1">
      <c r="A44" s="10"/>
      <c r="B44" s="10"/>
      <c r="D44" s="65" t="s">
        <v>3179</v>
      </c>
      <c r="E44" s="119" t="s">
        <v>4203</v>
      </c>
      <c r="F44" s="9">
        <v>19.2</v>
      </c>
      <c r="G44" s="7" t="s">
        <v>1150</v>
      </c>
      <c r="H44" s="7">
        <v>3</v>
      </c>
      <c r="I44" s="7">
        <v>1.75</v>
      </c>
      <c r="J44" s="7">
        <f t="shared" si="2"/>
        <v>5.25</v>
      </c>
    </row>
    <row r="45" spans="1:10" ht="12.75" customHeight="1">
      <c r="A45" s="10"/>
      <c r="B45" s="10"/>
      <c r="D45" s="65" t="s">
        <v>3179</v>
      </c>
      <c r="E45" s="119" t="s">
        <v>4205</v>
      </c>
      <c r="F45" s="9">
        <v>20.399999999999999</v>
      </c>
      <c r="G45" s="7" t="s">
        <v>1151</v>
      </c>
      <c r="H45" s="7">
        <v>3</v>
      </c>
      <c r="I45" s="7">
        <v>1.75</v>
      </c>
      <c r="J45" s="7">
        <f t="shared" si="2"/>
        <v>5.25</v>
      </c>
    </row>
    <row r="46" spans="1:10" ht="12.75" customHeight="1">
      <c r="A46" s="10"/>
      <c r="B46" s="10"/>
      <c r="D46" s="65" t="s">
        <v>3179</v>
      </c>
      <c r="E46" s="119" t="s">
        <v>4207</v>
      </c>
      <c r="F46" s="9">
        <v>20.8</v>
      </c>
      <c r="G46" s="7" t="s">
        <v>1146</v>
      </c>
      <c r="H46" s="7">
        <v>3</v>
      </c>
      <c r="I46" s="7">
        <v>1.75</v>
      </c>
      <c r="J46" s="7">
        <f t="shared" si="2"/>
        <v>5.25</v>
      </c>
    </row>
    <row r="47" spans="1:10" ht="12.75" customHeight="1">
      <c r="A47" s="10"/>
      <c r="B47" s="10"/>
      <c r="D47" s="65" t="s">
        <v>3179</v>
      </c>
      <c r="E47" s="119" t="s">
        <v>4209</v>
      </c>
      <c r="F47" s="9">
        <v>19.8</v>
      </c>
      <c r="G47" s="7" t="s">
        <v>1152</v>
      </c>
      <c r="H47" s="7">
        <v>3</v>
      </c>
      <c r="I47" s="7">
        <v>1.7</v>
      </c>
      <c r="J47" s="7">
        <f t="shared" si="2"/>
        <v>5.0999999999999996</v>
      </c>
    </row>
    <row r="48" spans="1:10" ht="12.75" customHeight="1">
      <c r="A48" s="10"/>
      <c r="B48" s="10"/>
      <c r="D48" s="65" t="s">
        <v>3179</v>
      </c>
      <c r="E48" s="119" t="s">
        <v>4211</v>
      </c>
      <c r="F48" s="9">
        <v>20.8</v>
      </c>
      <c r="G48" s="7" t="s">
        <v>1153</v>
      </c>
      <c r="H48" s="7">
        <v>3</v>
      </c>
      <c r="I48" s="7">
        <v>1.75</v>
      </c>
      <c r="J48" s="7">
        <f t="shared" si="2"/>
        <v>5.25</v>
      </c>
    </row>
    <row r="49" spans="1:10" ht="12.75" customHeight="1">
      <c r="A49" s="10"/>
      <c r="B49" s="10"/>
      <c r="D49" s="65" t="s">
        <v>3179</v>
      </c>
      <c r="E49" s="119" t="s">
        <v>4213</v>
      </c>
      <c r="F49" s="9">
        <v>20.100000000000001</v>
      </c>
      <c r="G49" s="7" t="s">
        <v>1154</v>
      </c>
      <c r="H49" s="7">
        <v>3</v>
      </c>
      <c r="I49" s="7">
        <v>1.75</v>
      </c>
      <c r="J49" s="7">
        <f t="shared" si="2"/>
        <v>5.25</v>
      </c>
    </row>
    <row r="50" spans="1:10" ht="12.75" customHeight="1">
      <c r="A50" s="10"/>
      <c r="B50" s="10"/>
      <c r="D50" s="65" t="s">
        <v>3179</v>
      </c>
      <c r="E50" s="119" t="s">
        <v>4215</v>
      </c>
      <c r="F50" s="9">
        <v>19.600000000000001</v>
      </c>
      <c r="G50" s="7" t="s">
        <v>1155</v>
      </c>
      <c r="H50" s="7">
        <v>3</v>
      </c>
      <c r="I50" s="7">
        <v>1.75</v>
      </c>
      <c r="J50" s="7">
        <f t="shared" si="2"/>
        <v>5.25</v>
      </c>
    </row>
    <row r="51" spans="1:10" ht="12.75" customHeight="1">
      <c r="A51" s="10"/>
      <c r="B51" s="10"/>
      <c r="D51" s="65" t="s">
        <v>3179</v>
      </c>
      <c r="E51" s="119" t="s">
        <v>2902</v>
      </c>
      <c r="F51" s="9">
        <v>31.8</v>
      </c>
      <c r="G51" s="7" t="s">
        <v>1156</v>
      </c>
      <c r="H51" s="7">
        <v>3</v>
      </c>
      <c r="I51" s="7">
        <v>1.25</v>
      </c>
      <c r="J51" s="7">
        <f t="shared" si="2"/>
        <v>3.75</v>
      </c>
    </row>
    <row r="52" spans="1:10" ht="12.75" customHeight="1">
      <c r="A52" s="10"/>
      <c r="B52" s="10"/>
      <c r="D52" s="65" t="s">
        <v>3179</v>
      </c>
      <c r="E52" s="119" t="s">
        <v>2903</v>
      </c>
      <c r="F52" s="9">
        <v>30.2</v>
      </c>
      <c r="G52" s="7" t="s">
        <v>1157</v>
      </c>
      <c r="H52" s="7">
        <v>3</v>
      </c>
      <c r="I52" s="7">
        <v>1.25</v>
      </c>
      <c r="J52" s="7">
        <f t="shared" si="2"/>
        <v>3.75</v>
      </c>
    </row>
    <row r="53" spans="1:10" ht="12.75" customHeight="1">
      <c r="A53" s="10"/>
      <c r="B53" s="10"/>
      <c r="D53" s="65" t="s">
        <v>3179</v>
      </c>
      <c r="E53" s="119" t="s">
        <v>2904</v>
      </c>
      <c r="F53" s="9">
        <v>21.8</v>
      </c>
      <c r="G53" s="7" t="s">
        <v>1158</v>
      </c>
      <c r="H53" s="7">
        <v>3</v>
      </c>
      <c r="I53" s="7">
        <v>1.25</v>
      </c>
      <c r="J53" s="7">
        <f t="shared" si="2"/>
        <v>3.75</v>
      </c>
    </row>
    <row r="54" spans="1:10" ht="12.75" customHeight="1">
      <c r="A54" s="10"/>
      <c r="B54" s="10"/>
      <c r="D54" s="65" t="s">
        <v>3179</v>
      </c>
      <c r="E54" s="119" t="s">
        <v>2905</v>
      </c>
      <c r="F54" s="9">
        <v>31.1</v>
      </c>
      <c r="G54" s="7" t="s">
        <v>1159</v>
      </c>
      <c r="H54" s="7">
        <v>3</v>
      </c>
      <c r="I54" s="7">
        <v>1.25</v>
      </c>
      <c r="J54" s="7">
        <f t="shared" si="2"/>
        <v>3.75</v>
      </c>
    </row>
    <row r="55" spans="1:10" ht="12.75" customHeight="1">
      <c r="A55" s="10"/>
      <c r="B55" s="10"/>
      <c r="D55" s="65" t="s">
        <v>3179</v>
      </c>
      <c r="E55" s="119" t="s">
        <v>2906</v>
      </c>
      <c r="F55" s="9">
        <v>22.6</v>
      </c>
      <c r="G55" s="7" t="s">
        <v>1160</v>
      </c>
      <c r="H55" s="7">
        <v>3</v>
      </c>
      <c r="I55" s="7">
        <v>2</v>
      </c>
      <c r="J55" s="7">
        <f t="shared" si="2"/>
        <v>6</v>
      </c>
    </row>
    <row r="56" spans="1:10" ht="12.75" customHeight="1">
      <c r="A56" s="10"/>
      <c r="B56" s="10"/>
      <c r="D56" s="65" t="s">
        <v>3179</v>
      </c>
      <c r="E56" s="119" t="s">
        <v>2907</v>
      </c>
      <c r="F56" s="9">
        <v>23.1</v>
      </c>
      <c r="G56" s="7" t="s">
        <v>1161</v>
      </c>
      <c r="H56" s="7">
        <v>3</v>
      </c>
      <c r="I56" s="7">
        <v>2</v>
      </c>
      <c r="J56" s="7">
        <f t="shared" si="2"/>
        <v>6</v>
      </c>
    </row>
    <row r="57" spans="1:10" ht="12.75" customHeight="1">
      <c r="A57" s="10"/>
      <c r="B57" s="10"/>
      <c r="D57" s="65" t="s">
        <v>3179</v>
      </c>
      <c r="E57" s="119" t="s">
        <v>2908</v>
      </c>
      <c r="F57" s="9">
        <v>22.6</v>
      </c>
      <c r="G57" s="7" t="s">
        <v>1162</v>
      </c>
      <c r="H57" s="7">
        <v>3</v>
      </c>
      <c r="I57" s="7">
        <v>1.9</v>
      </c>
      <c r="J57" s="7">
        <f t="shared" si="2"/>
        <v>5.6999999999999993</v>
      </c>
    </row>
    <row r="58" spans="1:10" ht="12.75" customHeight="1">
      <c r="A58" s="10"/>
      <c r="B58" s="10"/>
      <c r="D58" s="65" t="s">
        <v>3179</v>
      </c>
      <c r="E58" s="119" t="s">
        <v>2860</v>
      </c>
      <c r="F58" s="9">
        <v>31.5</v>
      </c>
      <c r="G58" s="7" t="s">
        <v>1163</v>
      </c>
      <c r="H58" s="7">
        <v>3</v>
      </c>
      <c r="I58" s="7">
        <v>2</v>
      </c>
      <c r="J58" s="7">
        <f t="shared" si="2"/>
        <v>6</v>
      </c>
    </row>
    <row r="59" spans="1:10" ht="12.75" customHeight="1">
      <c r="A59" s="10"/>
      <c r="B59" s="10"/>
      <c r="D59" s="65" t="s">
        <v>3179</v>
      </c>
      <c r="E59" s="119" t="s">
        <v>2861</v>
      </c>
      <c r="F59" s="9">
        <v>32.200000000000003</v>
      </c>
      <c r="G59" s="7" t="s">
        <v>1164</v>
      </c>
      <c r="H59" s="7">
        <v>3</v>
      </c>
      <c r="I59" s="7">
        <v>2</v>
      </c>
      <c r="J59" s="7">
        <f t="shared" si="2"/>
        <v>6</v>
      </c>
    </row>
    <row r="60" spans="1:10" ht="12.75" customHeight="1">
      <c r="A60" s="10"/>
      <c r="B60" s="10"/>
      <c r="D60" s="65" t="s">
        <v>3179</v>
      </c>
      <c r="E60" s="119" t="s">
        <v>2862</v>
      </c>
      <c r="F60" s="9">
        <v>23.8</v>
      </c>
      <c r="G60" s="7" t="s">
        <v>1166</v>
      </c>
      <c r="H60" s="7">
        <v>3</v>
      </c>
      <c r="I60" s="7">
        <v>1.1000000000000001</v>
      </c>
      <c r="J60" s="7">
        <f t="shared" si="2"/>
        <v>3.3000000000000003</v>
      </c>
    </row>
    <row r="61" spans="1:10" ht="12.75" customHeight="1">
      <c r="A61" s="10"/>
      <c r="B61" s="10"/>
      <c r="D61" s="65" t="s">
        <v>3179</v>
      </c>
      <c r="E61" s="119" t="s">
        <v>2863</v>
      </c>
      <c r="F61" s="9">
        <v>24.8</v>
      </c>
      <c r="G61" s="51" t="s">
        <v>1167</v>
      </c>
      <c r="H61" s="51">
        <v>3</v>
      </c>
      <c r="I61" s="7">
        <v>1.1000000000000001</v>
      </c>
      <c r="J61" s="7">
        <f t="shared" si="2"/>
        <v>3.3000000000000003</v>
      </c>
    </row>
    <row r="62" spans="1:10" ht="12.75" customHeight="1">
      <c r="A62" s="10"/>
      <c r="B62" s="10"/>
      <c r="D62" s="65" t="s">
        <v>3179</v>
      </c>
      <c r="E62" s="119" t="s">
        <v>2864</v>
      </c>
      <c r="F62" s="9">
        <v>21.8</v>
      </c>
      <c r="G62" s="7" t="s">
        <v>1168</v>
      </c>
      <c r="H62" s="7">
        <v>3</v>
      </c>
      <c r="I62" s="7">
        <v>0.95</v>
      </c>
      <c r="J62" s="7">
        <f t="shared" si="2"/>
        <v>2.8499999999999996</v>
      </c>
    </row>
    <row r="63" spans="1:10" ht="12.75" customHeight="1">
      <c r="A63" s="10"/>
      <c r="B63" s="10"/>
      <c r="D63" s="65" t="s">
        <v>3179</v>
      </c>
      <c r="E63" s="119" t="s">
        <v>2865</v>
      </c>
      <c r="F63" s="9">
        <v>23.7</v>
      </c>
      <c r="G63" s="7" t="s">
        <v>1169</v>
      </c>
      <c r="H63" s="7">
        <v>3</v>
      </c>
      <c r="I63" s="7">
        <v>0.95</v>
      </c>
      <c r="J63" s="7">
        <f t="shared" si="2"/>
        <v>2.8499999999999996</v>
      </c>
    </row>
    <row r="64" spans="1:10" ht="12.75" customHeight="1">
      <c r="A64" s="10"/>
      <c r="B64" s="10"/>
      <c r="D64" s="65" t="s">
        <v>3179</v>
      </c>
      <c r="E64" s="119" t="s">
        <v>2866</v>
      </c>
      <c r="F64" s="9">
        <v>19.3</v>
      </c>
      <c r="G64" s="7" t="s">
        <v>1235</v>
      </c>
      <c r="H64" s="7">
        <v>3</v>
      </c>
      <c r="I64" s="7">
        <v>1.39</v>
      </c>
      <c r="J64" s="7">
        <f t="shared" ref="J64:J83" si="3">H64*I64</f>
        <v>4.17</v>
      </c>
    </row>
    <row r="65" spans="1:10" ht="12.75" customHeight="1">
      <c r="A65" s="10"/>
      <c r="B65" s="10"/>
      <c r="D65" s="65" t="s">
        <v>3179</v>
      </c>
      <c r="E65" s="119" t="s">
        <v>2867</v>
      </c>
      <c r="F65" s="9">
        <v>18.8</v>
      </c>
      <c r="G65" s="7" t="s">
        <v>1236</v>
      </c>
      <c r="H65" s="7">
        <v>3</v>
      </c>
      <c r="I65" s="7">
        <v>1.3</v>
      </c>
      <c r="J65" s="7">
        <f t="shared" si="3"/>
        <v>3.9000000000000004</v>
      </c>
    </row>
    <row r="66" spans="1:10" ht="12.75" customHeight="1">
      <c r="A66" s="10"/>
      <c r="B66" s="10"/>
      <c r="D66" s="65" t="s">
        <v>3179</v>
      </c>
      <c r="E66" s="119" t="s">
        <v>2868</v>
      </c>
      <c r="F66" s="9">
        <v>17.8</v>
      </c>
      <c r="G66" s="7" t="s">
        <v>1364</v>
      </c>
      <c r="H66" s="7">
        <v>3</v>
      </c>
      <c r="I66" s="7">
        <v>1.3</v>
      </c>
      <c r="J66" s="7">
        <f t="shared" si="3"/>
        <v>3.9000000000000004</v>
      </c>
    </row>
    <row r="67" spans="1:10" ht="12.75" customHeight="1">
      <c r="A67" s="10"/>
      <c r="B67" s="10"/>
      <c r="D67" s="65" t="s">
        <v>3179</v>
      </c>
      <c r="E67" s="119" t="s">
        <v>2869</v>
      </c>
      <c r="F67" s="9">
        <v>24.8</v>
      </c>
      <c r="G67" s="7" t="s">
        <v>1234</v>
      </c>
      <c r="H67" s="7">
        <v>3</v>
      </c>
      <c r="I67" s="7">
        <v>1.3</v>
      </c>
      <c r="J67" s="7">
        <f t="shared" si="3"/>
        <v>3.9000000000000004</v>
      </c>
    </row>
    <row r="68" spans="1:10" ht="12.75" customHeight="1">
      <c r="A68" s="10"/>
      <c r="B68" s="10"/>
      <c r="D68" s="65" t="s">
        <v>3179</v>
      </c>
      <c r="E68" s="119" t="s">
        <v>2870</v>
      </c>
      <c r="F68" s="9">
        <v>22.5</v>
      </c>
      <c r="G68" s="7" t="s">
        <v>1233</v>
      </c>
      <c r="H68" s="7">
        <v>3</v>
      </c>
      <c r="I68" s="7">
        <v>1.3</v>
      </c>
      <c r="J68" s="7">
        <f t="shared" si="3"/>
        <v>3.9000000000000004</v>
      </c>
    </row>
    <row r="69" spans="1:10" ht="12.75" customHeight="1">
      <c r="A69" s="10"/>
      <c r="B69" s="10"/>
      <c r="D69" s="65" t="s">
        <v>3179</v>
      </c>
      <c r="E69" s="119" t="s">
        <v>2871</v>
      </c>
      <c r="F69" s="9">
        <v>19.8</v>
      </c>
      <c r="G69" s="7" t="s">
        <v>1165</v>
      </c>
      <c r="H69" s="7">
        <v>3</v>
      </c>
      <c r="I69" s="7">
        <v>1.3</v>
      </c>
      <c r="J69" s="7">
        <f t="shared" si="3"/>
        <v>3.9000000000000004</v>
      </c>
    </row>
    <row r="70" spans="1:10" ht="12.75" customHeight="1">
      <c r="A70" s="10"/>
      <c r="B70" s="10"/>
      <c r="D70" s="65" t="s">
        <v>3179</v>
      </c>
      <c r="E70" s="119" t="s">
        <v>2872</v>
      </c>
      <c r="F70" s="9">
        <v>19.8</v>
      </c>
      <c r="G70" s="7" t="s">
        <v>1365</v>
      </c>
      <c r="H70" s="7">
        <v>3</v>
      </c>
      <c r="I70" s="7">
        <v>1.3</v>
      </c>
      <c r="J70" s="7">
        <f t="shared" si="3"/>
        <v>3.9000000000000004</v>
      </c>
    </row>
    <row r="71" spans="1:10" ht="12.75" customHeight="1">
      <c r="A71" s="10"/>
      <c r="B71" s="10"/>
      <c r="D71" s="65" t="s">
        <v>3179</v>
      </c>
      <c r="E71" s="119" t="s">
        <v>2873</v>
      </c>
      <c r="F71" s="9">
        <v>22.6</v>
      </c>
      <c r="G71" s="7" t="s">
        <v>1176</v>
      </c>
      <c r="H71" s="7">
        <v>3</v>
      </c>
      <c r="I71" s="7">
        <v>1.8</v>
      </c>
      <c r="J71" s="7">
        <f t="shared" si="3"/>
        <v>5.4</v>
      </c>
    </row>
    <row r="72" spans="1:10" ht="12.75" customHeight="1">
      <c r="A72" s="10"/>
      <c r="B72" s="10"/>
      <c r="D72" s="65" t="s">
        <v>3179</v>
      </c>
      <c r="E72" s="119" t="s">
        <v>2874</v>
      </c>
      <c r="F72" s="9">
        <v>22.9</v>
      </c>
      <c r="G72" s="7" t="s">
        <v>1177</v>
      </c>
      <c r="H72" s="7">
        <v>3</v>
      </c>
      <c r="I72" s="7">
        <v>1.8</v>
      </c>
      <c r="J72" s="7">
        <f t="shared" si="3"/>
        <v>5.4</v>
      </c>
    </row>
    <row r="73" spans="1:10" ht="12.75" customHeight="1">
      <c r="A73" s="10"/>
      <c r="B73" s="10"/>
      <c r="D73" s="65" t="s">
        <v>3179</v>
      </c>
      <c r="E73" s="119" t="s">
        <v>2875</v>
      </c>
      <c r="F73" s="9">
        <v>21.7</v>
      </c>
      <c r="G73" s="7" t="s">
        <v>1178</v>
      </c>
      <c r="H73" s="7">
        <v>3</v>
      </c>
      <c r="I73" s="7">
        <v>1.8</v>
      </c>
      <c r="J73" s="7">
        <f t="shared" si="3"/>
        <v>5.4</v>
      </c>
    </row>
    <row r="74" spans="1:10" ht="12.75" customHeight="1">
      <c r="A74" s="10"/>
      <c r="B74" s="10"/>
      <c r="D74" s="65" t="s">
        <v>3179</v>
      </c>
      <c r="E74" s="119" t="s">
        <v>2876</v>
      </c>
      <c r="F74" s="9">
        <v>17.2</v>
      </c>
      <c r="G74" s="7" t="s">
        <v>1171</v>
      </c>
      <c r="H74" s="7">
        <v>3</v>
      </c>
      <c r="I74" s="7">
        <v>2</v>
      </c>
      <c r="J74" s="7">
        <f t="shared" si="3"/>
        <v>6</v>
      </c>
    </row>
    <row r="75" spans="1:10" ht="12.75" customHeight="1">
      <c r="A75" s="10"/>
      <c r="B75" s="10"/>
      <c r="D75" s="65" t="s">
        <v>3179</v>
      </c>
      <c r="E75" s="119" t="s">
        <v>2877</v>
      </c>
      <c r="F75" s="9">
        <v>16.600000000000001</v>
      </c>
      <c r="G75" s="7" t="s">
        <v>1170</v>
      </c>
      <c r="H75" s="7">
        <v>3</v>
      </c>
      <c r="I75" s="7">
        <v>2</v>
      </c>
      <c r="J75" s="7">
        <f t="shared" si="3"/>
        <v>6</v>
      </c>
    </row>
    <row r="76" spans="1:10" ht="12.75" customHeight="1">
      <c r="A76" s="10"/>
      <c r="B76" s="10"/>
      <c r="D76" s="65" t="s">
        <v>3179</v>
      </c>
      <c r="E76" s="119" t="s">
        <v>2878</v>
      </c>
      <c r="F76" s="9">
        <v>17.399999999999999</v>
      </c>
      <c r="G76" s="7" t="s">
        <v>1172</v>
      </c>
      <c r="H76" s="7">
        <v>3</v>
      </c>
      <c r="I76" s="7">
        <v>2</v>
      </c>
      <c r="J76" s="7">
        <f t="shared" si="3"/>
        <v>6</v>
      </c>
    </row>
    <row r="77" spans="1:10" ht="12.75" customHeight="1">
      <c r="A77" s="10"/>
      <c r="B77" s="10"/>
      <c r="D77" s="65" t="s">
        <v>3179</v>
      </c>
      <c r="E77" s="119" t="s">
        <v>3151</v>
      </c>
      <c r="F77" s="9">
        <v>17.3</v>
      </c>
      <c r="G77" s="7" t="s">
        <v>1174</v>
      </c>
      <c r="H77" s="7">
        <v>3</v>
      </c>
      <c r="I77" s="7">
        <v>2.1</v>
      </c>
      <c r="J77" s="7">
        <f t="shared" si="3"/>
        <v>6.3000000000000007</v>
      </c>
    </row>
    <row r="78" spans="1:10" ht="12.75" customHeight="1">
      <c r="A78" s="10"/>
      <c r="B78" s="10"/>
      <c r="D78" s="65" t="s">
        <v>3179</v>
      </c>
      <c r="E78" s="119" t="s">
        <v>2879</v>
      </c>
      <c r="F78" s="9">
        <v>19.600000000000001</v>
      </c>
      <c r="G78" s="7" t="s">
        <v>1143</v>
      </c>
      <c r="H78" s="7">
        <v>3</v>
      </c>
      <c r="I78" s="7">
        <v>2.1</v>
      </c>
      <c r="J78" s="7">
        <f t="shared" si="3"/>
        <v>6.3000000000000007</v>
      </c>
    </row>
    <row r="79" spans="1:10" ht="12.75" customHeight="1">
      <c r="A79" s="10"/>
      <c r="B79" s="10"/>
      <c r="D79" s="65" t="s">
        <v>3179</v>
      </c>
      <c r="E79" s="119" t="s">
        <v>2880</v>
      </c>
      <c r="F79" s="9">
        <v>19</v>
      </c>
      <c r="G79" s="7" t="s">
        <v>1145</v>
      </c>
      <c r="H79" s="7">
        <v>3</v>
      </c>
      <c r="I79" s="7">
        <v>2.1</v>
      </c>
      <c r="J79" s="7">
        <f t="shared" si="3"/>
        <v>6.3000000000000007</v>
      </c>
    </row>
    <row r="80" spans="1:10" ht="12.75" customHeight="1">
      <c r="A80" s="10"/>
      <c r="B80" s="10"/>
      <c r="D80" s="65" t="s">
        <v>3179</v>
      </c>
      <c r="E80" s="119" t="s">
        <v>2881</v>
      </c>
      <c r="F80" s="9">
        <v>19</v>
      </c>
      <c r="G80" s="7" t="s">
        <v>1144</v>
      </c>
      <c r="H80" s="7">
        <v>3</v>
      </c>
      <c r="I80" s="7">
        <v>2.1</v>
      </c>
      <c r="J80" s="7">
        <f t="shared" si="3"/>
        <v>6.3000000000000007</v>
      </c>
    </row>
    <row r="81" spans="1:16" ht="12.75" customHeight="1">
      <c r="D81" s="65" t="s">
        <v>3179</v>
      </c>
      <c r="E81" s="119" t="s">
        <v>2882</v>
      </c>
      <c r="F81" s="9">
        <v>17.5</v>
      </c>
      <c r="G81" s="7" t="s">
        <v>1141</v>
      </c>
      <c r="H81" s="7">
        <v>3</v>
      </c>
      <c r="I81" s="7">
        <v>2.1</v>
      </c>
      <c r="J81" s="7">
        <f t="shared" si="3"/>
        <v>6.3000000000000007</v>
      </c>
    </row>
    <row r="82" spans="1:16" ht="12.75" customHeight="1">
      <c r="A82" s="10"/>
      <c r="B82" s="10"/>
      <c r="D82" s="65" t="s">
        <v>3179</v>
      </c>
      <c r="E82" s="119" t="s">
        <v>2883</v>
      </c>
      <c r="F82" s="9">
        <v>20</v>
      </c>
      <c r="G82" s="7" t="s">
        <v>1142</v>
      </c>
      <c r="H82" s="7">
        <v>3</v>
      </c>
      <c r="I82" s="7">
        <v>2.1</v>
      </c>
      <c r="J82" s="7">
        <f t="shared" si="3"/>
        <v>6.3000000000000007</v>
      </c>
    </row>
    <row r="83" spans="1:16" ht="12.75" customHeight="1">
      <c r="A83" s="10"/>
      <c r="B83" s="10"/>
      <c r="E83" s="106" t="s">
        <v>3120</v>
      </c>
      <c r="F83" s="133" t="s">
        <v>3311</v>
      </c>
      <c r="G83" s="51" t="s">
        <v>1173</v>
      </c>
      <c r="H83" s="51">
        <v>3</v>
      </c>
      <c r="I83" s="7">
        <v>2.1</v>
      </c>
      <c r="J83" s="7">
        <f t="shared" si="3"/>
        <v>6.3000000000000007</v>
      </c>
    </row>
    <row r="84" spans="1:16" s="4" customFormat="1" ht="12.75" customHeight="1">
      <c r="A84" s="12"/>
      <c r="B84" s="12"/>
      <c r="D84" s="5"/>
      <c r="E84" s="114"/>
      <c r="F84" s="5"/>
      <c r="J84" s="4">
        <f>SUM(J32:J83)</f>
        <v>259.7700000000001</v>
      </c>
      <c r="K84" s="4">
        <f>20.33+0.67</f>
        <v>21</v>
      </c>
      <c r="L84" s="4">
        <f>-267.5-13.27</f>
        <v>-280.77</v>
      </c>
      <c r="O84" s="4">
        <f>SUM(J84:N84)</f>
        <v>0</v>
      </c>
      <c r="P84" s="13" t="s">
        <v>1175</v>
      </c>
    </row>
    <row r="85" spans="1:16" ht="12.75" customHeight="1">
      <c r="A85" s="10">
        <v>43824</v>
      </c>
      <c r="B85" s="10">
        <v>43827</v>
      </c>
      <c r="C85" s="7" t="s">
        <v>1187</v>
      </c>
      <c r="D85" s="65" t="s">
        <v>3179</v>
      </c>
      <c r="E85" s="119" t="s">
        <v>2837</v>
      </c>
      <c r="F85" s="9">
        <v>22</v>
      </c>
      <c r="G85" s="7" t="s">
        <v>1194</v>
      </c>
      <c r="H85" s="7">
        <v>3</v>
      </c>
      <c r="I85" s="7">
        <v>1.7</v>
      </c>
      <c r="J85" s="7">
        <f t="shared" ref="J85:J98" si="4">H85*I85</f>
        <v>5.0999999999999996</v>
      </c>
    </row>
    <row r="86" spans="1:16" ht="12.75" customHeight="1">
      <c r="A86" s="10"/>
      <c r="B86" s="10"/>
      <c r="D86" s="65" t="s">
        <v>3179</v>
      </c>
      <c r="E86" s="119" t="s">
        <v>2838</v>
      </c>
      <c r="F86" s="9">
        <v>22</v>
      </c>
      <c r="G86" s="7" t="s">
        <v>1195</v>
      </c>
      <c r="H86" s="7">
        <v>3</v>
      </c>
      <c r="I86" s="7">
        <v>1.7</v>
      </c>
      <c r="J86" s="7">
        <f t="shared" si="4"/>
        <v>5.0999999999999996</v>
      </c>
    </row>
    <row r="87" spans="1:16" ht="12.75" customHeight="1">
      <c r="A87" s="10"/>
      <c r="B87" s="10"/>
      <c r="D87" s="65" t="s">
        <v>3179</v>
      </c>
      <c r="E87" s="119" t="s">
        <v>2839</v>
      </c>
      <c r="F87" s="9">
        <v>22</v>
      </c>
      <c r="G87" s="7" t="s">
        <v>1196</v>
      </c>
      <c r="H87" s="7">
        <v>3</v>
      </c>
      <c r="I87" s="7">
        <v>1.7</v>
      </c>
      <c r="J87" s="7">
        <f t="shared" si="4"/>
        <v>5.0999999999999996</v>
      </c>
    </row>
    <row r="88" spans="1:16" ht="12.75" customHeight="1">
      <c r="A88" s="10"/>
      <c r="B88" s="10"/>
      <c r="D88" s="65" t="s">
        <v>3179</v>
      </c>
      <c r="E88" s="119" t="s">
        <v>2840</v>
      </c>
      <c r="F88" s="9">
        <v>22</v>
      </c>
      <c r="G88" s="7" t="s">
        <v>1197</v>
      </c>
      <c r="H88" s="7">
        <v>3</v>
      </c>
      <c r="I88" s="7">
        <v>1.7</v>
      </c>
      <c r="J88" s="7">
        <f t="shared" si="4"/>
        <v>5.0999999999999996</v>
      </c>
    </row>
    <row r="89" spans="1:16" ht="12.75" customHeight="1">
      <c r="A89" s="10"/>
      <c r="B89" s="10"/>
      <c r="D89" s="65" t="s">
        <v>3179</v>
      </c>
      <c r="E89" s="119" t="s">
        <v>2841</v>
      </c>
      <c r="F89" s="9">
        <v>22</v>
      </c>
      <c r="G89" s="7" t="s">
        <v>1198</v>
      </c>
      <c r="H89" s="7">
        <v>3</v>
      </c>
      <c r="I89" s="7">
        <v>1.7</v>
      </c>
      <c r="J89" s="7">
        <f t="shared" si="4"/>
        <v>5.0999999999999996</v>
      </c>
    </row>
    <row r="90" spans="1:16" ht="12.75" customHeight="1">
      <c r="A90" s="10"/>
      <c r="B90" s="10"/>
      <c r="D90" s="65" t="s">
        <v>3179</v>
      </c>
      <c r="E90" s="119" t="s">
        <v>2842</v>
      </c>
      <c r="F90" s="9">
        <v>22</v>
      </c>
      <c r="G90" s="7" t="s">
        <v>1199</v>
      </c>
      <c r="H90" s="7">
        <v>2</v>
      </c>
      <c r="I90" s="7">
        <v>1.7</v>
      </c>
      <c r="J90" s="7">
        <f t="shared" si="4"/>
        <v>3.4</v>
      </c>
    </row>
    <row r="91" spans="1:16" ht="12.75" customHeight="1">
      <c r="A91" s="10"/>
      <c r="B91" s="10"/>
      <c r="D91" s="65" t="s">
        <v>3179</v>
      </c>
      <c r="E91" s="119" t="s">
        <v>2843</v>
      </c>
      <c r="F91" s="9">
        <v>22</v>
      </c>
      <c r="G91" s="7" t="s">
        <v>1200</v>
      </c>
      <c r="H91" s="7">
        <v>2</v>
      </c>
      <c r="I91" s="7">
        <v>1.7</v>
      </c>
      <c r="J91" s="7">
        <f t="shared" si="4"/>
        <v>3.4</v>
      </c>
    </row>
    <row r="92" spans="1:16" ht="12.75" customHeight="1">
      <c r="A92" s="10"/>
      <c r="B92" s="10"/>
      <c r="D92" s="65" t="s">
        <v>3179</v>
      </c>
      <c r="E92" s="119" t="s">
        <v>2844</v>
      </c>
      <c r="F92" s="9">
        <v>21</v>
      </c>
      <c r="G92" s="7" t="s">
        <v>1207</v>
      </c>
      <c r="H92" s="7">
        <v>3</v>
      </c>
      <c r="I92" s="7">
        <v>1.7</v>
      </c>
      <c r="J92" s="7">
        <f t="shared" si="4"/>
        <v>5.0999999999999996</v>
      </c>
    </row>
    <row r="93" spans="1:16" ht="12.75" customHeight="1">
      <c r="A93" s="10"/>
      <c r="B93" s="10"/>
      <c r="D93" s="65" t="s">
        <v>3179</v>
      </c>
      <c r="E93" s="119" t="s">
        <v>2845</v>
      </c>
      <c r="F93" s="9">
        <v>21</v>
      </c>
      <c r="G93" s="7" t="s">
        <v>1201</v>
      </c>
      <c r="H93" s="7">
        <v>3</v>
      </c>
      <c r="I93" s="7">
        <v>1.7</v>
      </c>
      <c r="J93" s="7">
        <f t="shared" si="4"/>
        <v>5.0999999999999996</v>
      </c>
    </row>
    <row r="94" spans="1:16" ht="12.75" customHeight="1">
      <c r="A94" s="10"/>
      <c r="B94" s="10"/>
      <c r="D94" s="65" t="s">
        <v>3179</v>
      </c>
      <c r="E94" s="119" t="s">
        <v>2846</v>
      </c>
      <c r="F94" s="9">
        <v>21</v>
      </c>
      <c r="G94" s="7" t="s">
        <v>1202</v>
      </c>
      <c r="H94" s="7">
        <v>3</v>
      </c>
      <c r="I94" s="7">
        <v>1.7</v>
      </c>
      <c r="J94" s="7">
        <f t="shared" si="4"/>
        <v>5.0999999999999996</v>
      </c>
    </row>
    <row r="95" spans="1:16" ht="12.75" customHeight="1">
      <c r="A95" s="10"/>
      <c r="B95" s="10"/>
      <c r="D95" s="65" t="s">
        <v>3179</v>
      </c>
      <c r="E95" s="119" t="s">
        <v>2847</v>
      </c>
      <c r="F95" s="9">
        <v>21</v>
      </c>
      <c r="G95" s="7" t="s">
        <v>1203</v>
      </c>
      <c r="H95" s="7">
        <v>3</v>
      </c>
      <c r="I95" s="7">
        <v>1.7</v>
      </c>
      <c r="J95" s="7">
        <f t="shared" si="4"/>
        <v>5.0999999999999996</v>
      </c>
    </row>
    <row r="96" spans="1:16" ht="12.75" customHeight="1">
      <c r="A96" s="10"/>
      <c r="B96" s="10"/>
      <c r="D96" s="65" t="s">
        <v>3179</v>
      </c>
      <c r="E96" s="119" t="s">
        <v>2848</v>
      </c>
      <c r="F96" s="9">
        <v>21</v>
      </c>
      <c r="G96" s="7" t="s">
        <v>1204</v>
      </c>
      <c r="H96" s="7">
        <v>3</v>
      </c>
      <c r="I96" s="7">
        <v>1.7</v>
      </c>
      <c r="J96" s="7">
        <f t="shared" si="4"/>
        <v>5.0999999999999996</v>
      </c>
    </row>
    <row r="97" spans="1:16" ht="12.75" customHeight="1">
      <c r="A97" s="10"/>
      <c r="B97" s="10"/>
      <c r="D97" s="65" t="s">
        <v>3179</v>
      </c>
      <c r="E97" s="119" t="s">
        <v>2849</v>
      </c>
      <c r="F97" s="9">
        <v>21</v>
      </c>
      <c r="G97" s="7" t="s">
        <v>1205</v>
      </c>
      <c r="H97" s="7">
        <v>2</v>
      </c>
      <c r="I97" s="7">
        <v>1.7</v>
      </c>
      <c r="J97" s="7">
        <f t="shared" si="4"/>
        <v>3.4</v>
      </c>
    </row>
    <row r="98" spans="1:16" ht="12.75" customHeight="1">
      <c r="A98" s="10"/>
      <c r="B98" s="10"/>
      <c r="D98" s="65" t="s">
        <v>3179</v>
      </c>
      <c r="E98" s="119" t="s">
        <v>2850</v>
      </c>
      <c r="F98" s="9">
        <v>21</v>
      </c>
      <c r="G98" s="7" t="s">
        <v>1206</v>
      </c>
      <c r="H98" s="7">
        <v>2</v>
      </c>
      <c r="I98" s="7">
        <v>1.7</v>
      </c>
      <c r="J98" s="7">
        <f t="shared" si="4"/>
        <v>3.4</v>
      </c>
    </row>
    <row r="99" spans="1:16" s="4" customFormat="1" ht="12.75" customHeight="1">
      <c r="A99" s="12"/>
      <c r="B99" s="12"/>
      <c r="D99" s="5"/>
      <c r="E99" s="114"/>
      <c r="F99" s="5"/>
      <c r="J99" s="4">
        <f>SUM(J85:J98)</f>
        <v>64.600000000000009</v>
      </c>
      <c r="K99" s="4">
        <v>7</v>
      </c>
      <c r="L99" s="4">
        <v>-65.92</v>
      </c>
      <c r="N99" s="4">
        <f>-0.68-5</f>
        <v>-5.68</v>
      </c>
      <c r="O99" s="4">
        <f>SUM(J99:N99)</f>
        <v>7.1054273576010019E-15</v>
      </c>
      <c r="P99" s="13" t="s">
        <v>1208</v>
      </c>
    </row>
    <row r="100" spans="1:16" ht="12.75" customHeight="1">
      <c r="A100" s="10">
        <v>43825</v>
      </c>
      <c r="B100" s="10">
        <v>1</v>
      </c>
      <c r="C100" s="7" t="s">
        <v>1136</v>
      </c>
      <c r="E100" s="128" t="s">
        <v>2851</v>
      </c>
      <c r="F100" s="9">
        <v>29.1</v>
      </c>
      <c r="G100" s="7" t="s">
        <v>1209</v>
      </c>
      <c r="H100" s="7">
        <v>30</v>
      </c>
      <c r="I100" s="7">
        <f>1.8-0.03</f>
        <v>1.77</v>
      </c>
      <c r="J100" s="7">
        <f>H100*I100</f>
        <v>53.1</v>
      </c>
    </row>
    <row r="101" spans="1:16" s="4" customFormat="1" ht="12.75" customHeight="1">
      <c r="A101" s="12"/>
      <c r="B101" s="12"/>
      <c r="D101" s="5"/>
      <c r="E101" s="114"/>
      <c r="F101" s="5"/>
      <c r="J101" s="4">
        <f>SUM(J100:J100)</f>
        <v>53.1</v>
      </c>
      <c r="K101" s="4">
        <v>10</v>
      </c>
      <c r="L101" s="4">
        <v>-63.1</v>
      </c>
      <c r="O101" s="4">
        <f>SUM(J101:N101)</f>
        <v>0</v>
      </c>
      <c r="P101" s="13" t="s">
        <v>2909</v>
      </c>
    </row>
    <row r="102" spans="1:16" ht="12.75" customHeight="1">
      <c r="A102" s="10">
        <v>43825</v>
      </c>
      <c r="B102" s="10">
        <v>1</v>
      </c>
      <c r="C102" s="7" t="s">
        <v>1210</v>
      </c>
      <c r="E102" s="128" t="s">
        <v>3075</v>
      </c>
      <c r="F102" s="9">
        <v>33</v>
      </c>
      <c r="G102" s="7" t="s">
        <v>1475</v>
      </c>
      <c r="H102" s="7">
        <v>3</v>
      </c>
      <c r="I102" s="7">
        <v>2.15</v>
      </c>
      <c r="J102" s="7">
        <f>H102*I102</f>
        <v>6.4499999999999993</v>
      </c>
    </row>
    <row r="103" spans="1:16" ht="12.75" customHeight="1">
      <c r="A103" s="10"/>
      <c r="B103" s="10"/>
      <c r="E103" s="128" t="s">
        <v>3076</v>
      </c>
      <c r="F103" s="9">
        <v>33</v>
      </c>
      <c r="G103" s="135" t="s">
        <v>3318</v>
      </c>
      <c r="H103" s="7">
        <v>3</v>
      </c>
      <c r="I103" s="7">
        <v>2.15</v>
      </c>
      <c r="J103" s="7">
        <f>H103*I103</f>
        <v>6.4499999999999993</v>
      </c>
    </row>
    <row r="104" spans="1:16" ht="12.75" customHeight="1">
      <c r="A104" s="10"/>
      <c r="B104" s="10"/>
      <c r="E104" s="128" t="s">
        <v>3077</v>
      </c>
      <c r="F104" s="9">
        <v>33</v>
      </c>
      <c r="G104" s="7" t="s">
        <v>1476</v>
      </c>
      <c r="H104" s="7">
        <v>3</v>
      </c>
      <c r="I104" s="7">
        <v>2.15</v>
      </c>
      <c r="J104" s="7">
        <f>H104*I104</f>
        <v>6.4499999999999993</v>
      </c>
    </row>
    <row r="105" spans="1:16" ht="12.75" customHeight="1">
      <c r="A105" s="10"/>
      <c r="B105" s="10"/>
      <c r="E105" s="128" t="s">
        <v>3078</v>
      </c>
      <c r="F105" s="9">
        <v>33</v>
      </c>
      <c r="G105" s="7" t="s">
        <v>1477</v>
      </c>
      <c r="H105" s="7">
        <v>3</v>
      </c>
      <c r="I105" s="7">
        <v>2.15</v>
      </c>
      <c r="J105" s="7">
        <f>H105*I105</f>
        <v>6.4499999999999993</v>
      </c>
    </row>
    <row r="106" spans="1:16" ht="12.75" customHeight="1">
      <c r="A106" s="10"/>
      <c r="B106" s="10"/>
      <c r="E106" s="128" t="s">
        <v>3079</v>
      </c>
      <c r="F106" s="9">
        <v>33</v>
      </c>
      <c r="G106" s="7" t="s">
        <v>1366</v>
      </c>
      <c r="H106" s="7">
        <v>3</v>
      </c>
      <c r="I106" s="7">
        <v>2.15</v>
      </c>
      <c r="J106" s="7">
        <f>H106*I106</f>
        <v>6.4499999999999993</v>
      </c>
    </row>
    <row r="107" spans="1:16" s="4" customFormat="1" ht="12.75" customHeight="1">
      <c r="A107" s="12"/>
      <c r="B107" s="12"/>
      <c r="D107" s="5"/>
      <c r="E107" s="114"/>
      <c r="F107" s="5"/>
      <c r="J107" s="4">
        <f>SUM(J102:J106)</f>
        <v>32.25</v>
      </c>
      <c r="K107" s="4">
        <v>6</v>
      </c>
      <c r="L107" s="4">
        <v>-38.25</v>
      </c>
      <c r="O107" s="4">
        <f>SUM(J107:N107)</f>
        <v>0</v>
      </c>
      <c r="P107" s="13" t="s">
        <v>2910</v>
      </c>
    </row>
    <row r="108" spans="1:16" ht="12.75" customHeight="1">
      <c r="A108" s="10">
        <v>43825</v>
      </c>
      <c r="B108" s="10">
        <v>1</v>
      </c>
      <c r="C108" s="7" t="s">
        <v>1212</v>
      </c>
      <c r="D108" s="65" t="s">
        <v>3179</v>
      </c>
      <c r="E108" s="119" t="s">
        <v>3080</v>
      </c>
      <c r="F108" s="9">
        <v>36</v>
      </c>
      <c r="G108" s="7" t="s">
        <v>1214</v>
      </c>
      <c r="H108" s="7">
        <v>3</v>
      </c>
      <c r="I108" s="7">
        <v>1.5</v>
      </c>
      <c r="J108" s="7">
        <f t="shared" ref="J108:J113" si="5">H108*I108</f>
        <v>4.5</v>
      </c>
    </row>
    <row r="109" spans="1:16" ht="12.75" customHeight="1">
      <c r="A109" s="10"/>
      <c r="B109" s="10"/>
      <c r="D109" s="65" t="s">
        <v>3179</v>
      </c>
      <c r="E109" s="119" t="s">
        <v>3081</v>
      </c>
      <c r="F109" s="9">
        <v>36</v>
      </c>
      <c r="G109" s="7" t="s">
        <v>1215</v>
      </c>
      <c r="H109" s="7">
        <v>3</v>
      </c>
      <c r="I109" s="7">
        <v>1.5</v>
      </c>
      <c r="J109" s="7">
        <f t="shared" si="5"/>
        <v>4.5</v>
      </c>
    </row>
    <row r="110" spans="1:16" ht="12.75" customHeight="1">
      <c r="A110" s="10"/>
      <c r="B110" s="10"/>
      <c r="D110" s="65" t="s">
        <v>3179</v>
      </c>
      <c r="E110" s="119" t="s">
        <v>3082</v>
      </c>
      <c r="F110" s="9">
        <v>36</v>
      </c>
      <c r="G110" s="7" t="s">
        <v>1216</v>
      </c>
      <c r="H110" s="7">
        <v>6</v>
      </c>
      <c r="I110" s="7">
        <v>1.5</v>
      </c>
      <c r="J110" s="7">
        <f t="shared" si="5"/>
        <v>9</v>
      </c>
    </row>
    <row r="111" spans="1:16" ht="12.75" customHeight="1">
      <c r="A111" s="10"/>
      <c r="B111" s="10"/>
      <c r="D111" s="133" t="s">
        <v>3311</v>
      </c>
      <c r="E111" s="106" t="s">
        <v>3120</v>
      </c>
      <c r="G111" s="51" t="s">
        <v>1217</v>
      </c>
      <c r="H111" s="7">
        <v>0</v>
      </c>
      <c r="I111" s="7">
        <v>1.5</v>
      </c>
      <c r="J111" s="7">
        <f t="shared" si="5"/>
        <v>0</v>
      </c>
      <c r="M111" s="7">
        <f>600/7</f>
        <v>85.714285714285708</v>
      </c>
    </row>
    <row r="112" spans="1:16" ht="12.75" customHeight="1">
      <c r="A112" s="10"/>
      <c r="B112" s="10"/>
      <c r="D112" s="65" t="s">
        <v>3179</v>
      </c>
      <c r="E112" s="119" t="s">
        <v>3083</v>
      </c>
      <c r="F112" s="9">
        <v>36</v>
      </c>
      <c r="G112" s="7" t="s">
        <v>3176</v>
      </c>
      <c r="H112" s="7">
        <v>3</v>
      </c>
      <c r="I112" s="7">
        <v>1.5</v>
      </c>
      <c r="J112" s="7">
        <f t="shared" si="5"/>
        <v>4.5</v>
      </c>
      <c r="M112" s="7">
        <f>325*0.35</f>
        <v>113.74999999999999</v>
      </c>
    </row>
    <row r="113" spans="1:16" ht="12.75" customHeight="1">
      <c r="A113" s="10"/>
      <c r="B113" s="10"/>
      <c r="D113" s="65" t="s">
        <v>3179</v>
      </c>
      <c r="E113" s="119" t="s">
        <v>3084</v>
      </c>
      <c r="F113" s="9">
        <v>36</v>
      </c>
      <c r="G113" s="7" t="s">
        <v>1218</v>
      </c>
      <c r="H113" s="7">
        <v>3</v>
      </c>
      <c r="I113" s="7">
        <v>1.5</v>
      </c>
      <c r="J113" s="7">
        <f t="shared" si="5"/>
        <v>4.5</v>
      </c>
    </row>
    <row r="114" spans="1:16" s="4" customFormat="1" ht="12.75" customHeight="1">
      <c r="A114" s="12"/>
      <c r="B114" s="12"/>
      <c r="D114" s="5"/>
      <c r="E114" s="114"/>
      <c r="F114" s="5"/>
      <c r="J114" s="4">
        <f>SUM(J108:J113)</f>
        <v>27</v>
      </c>
      <c r="K114" s="4">
        <v>5</v>
      </c>
      <c r="L114" s="4">
        <v>-32</v>
      </c>
      <c r="O114" s="4">
        <f>SUM(J114:N114)</f>
        <v>0</v>
      </c>
      <c r="P114" s="13" t="s">
        <v>2911</v>
      </c>
    </row>
    <row r="115" spans="1:16" ht="12.75" customHeight="1">
      <c r="A115" s="10">
        <v>43825</v>
      </c>
      <c r="B115" s="10">
        <v>43827</v>
      </c>
      <c r="C115" s="7" t="s">
        <v>1219</v>
      </c>
      <c r="D115" s="65" t="s">
        <v>3179</v>
      </c>
      <c r="E115" s="119" t="s">
        <v>2852</v>
      </c>
      <c r="F115" s="9">
        <v>17</v>
      </c>
      <c r="G115" s="7" t="s">
        <v>1672</v>
      </c>
      <c r="H115" s="7">
        <v>3</v>
      </c>
      <c r="I115" s="7">
        <v>1.6</v>
      </c>
      <c r="J115" s="7">
        <f t="shared" ref="J115:J121" si="6">H115*I115</f>
        <v>4.8000000000000007</v>
      </c>
    </row>
    <row r="116" spans="1:16" ht="12.75" customHeight="1">
      <c r="A116" s="10"/>
      <c r="B116" s="10"/>
      <c r="D116" s="65" t="s">
        <v>3179</v>
      </c>
      <c r="E116" s="119" t="s">
        <v>2853</v>
      </c>
      <c r="F116" s="9">
        <v>17</v>
      </c>
      <c r="G116" s="7" t="s">
        <v>1220</v>
      </c>
      <c r="H116" s="7">
        <v>3</v>
      </c>
      <c r="I116" s="7">
        <v>1.6</v>
      </c>
      <c r="J116" s="7">
        <f t="shared" si="6"/>
        <v>4.8000000000000007</v>
      </c>
    </row>
    <row r="117" spans="1:16" ht="12.75" customHeight="1">
      <c r="A117" s="10"/>
      <c r="B117" s="10"/>
      <c r="D117" s="65" t="s">
        <v>3179</v>
      </c>
      <c r="E117" s="119" t="s">
        <v>2854</v>
      </c>
      <c r="F117" s="9">
        <v>17</v>
      </c>
      <c r="G117" s="7" t="s">
        <v>1221</v>
      </c>
      <c r="H117" s="7">
        <v>3</v>
      </c>
      <c r="I117" s="7">
        <v>1.6</v>
      </c>
      <c r="J117" s="7">
        <f t="shared" si="6"/>
        <v>4.8000000000000007</v>
      </c>
    </row>
    <row r="118" spans="1:16" ht="12.75" customHeight="1">
      <c r="A118" s="10"/>
      <c r="B118" s="10"/>
      <c r="D118" s="65" t="s">
        <v>3179</v>
      </c>
      <c r="E118" s="119" t="s">
        <v>2855</v>
      </c>
      <c r="F118" s="9">
        <v>17</v>
      </c>
      <c r="G118" s="7" t="s">
        <v>1222</v>
      </c>
      <c r="H118" s="7">
        <v>3</v>
      </c>
      <c r="I118" s="7">
        <v>1.6</v>
      </c>
      <c r="J118" s="7">
        <f t="shared" si="6"/>
        <v>4.8000000000000007</v>
      </c>
    </row>
    <row r="119" spans="1:16" ht="12.75" customHeight="1">
      <c r="A119" s="10"/>
      <c r="B119" s="10"/>
      <c r="D119" s="65" t="s">
        <v>3179</v>
      </c>
      <c r="E119" s="119" t="s">
        <v>2856</v>
      </c>
      <c r="F119" s="9">
        <v>17</v>
      </c>
      <c r="G119" s="7" t="s">
        <v>1223</v>
      </c>
      <c r="H119" s="7">
        <v>3</v>
      </c>
      <c r="I119" s="7">
        <v>1.6</v>
      </c>
      <c r="J119" s="7">
        <f t="shared" si="6"/>
        <v>4.8000000000000007</v>
      </c>
    </row>
    <row r="120" spans="1:16" ht="12.75" customHeight="1">
      <c r="A120" s="10"/>
      <c r="B120" s="10"/>
      <c r="D120" s="65" t="s">
        <v>3179</v>
      </c>
      <c r="E120" s="119" t="s">
        <v>2857</v>
      </c>
      <c r="F120" s="9">
        <v>17</v>
      </c>
      <c r="G120" s="7" t="s">
        <v>1224</v>
      </c>
      <c r="H120" s="7">
        <v>2</v>
      </c>
      <c r="I120" s="7">
        <v>1.6</v>
      </c>
      <c r="J120" s="7">
        <f t="shared" si="6"/>
        <v>3.2</v>
      </c>
    </row>
    <row r="121" spans="1:16" ht="12.75" customHeight="1">
      <c r="A121" s="10"/>
      <c r="B121" s="10"/>
      <c r="D121" s="65" t="s">
        <v>3179</v>
      </c>
      <c r="E121" s="119" t="s">
        <v>2858</v>
      </c>
      <c r="F121" s="9">
        <v>17</v>
      </c>
      <c r="G121" s="7" t="s">
        <v>1225</v>
      </c>
      <c r="H121" s="7">
        <v>2</v>
      </c>
      <c r="I121" s="7">
        <v>1.6</v>
      </c>
      <c r="J121" s="7">
        <f t="shared" si="6"/>
        <v>3.2</v>
      </c>
    </row>
    <row r="122" spans="1:16" s="4" customFormat="1" ht="12.75" customHeight="1">
      <c r="A122" s="12"/>
      <c r="B122" s="12"/>
      <c r="D122" s="5">
        <v>0.2</v>
      </c>
      <c r="E122" s="114"/>
      <c r="F122" s="5"/>
      <c r="H122" s="4">
        <f>SUM(H115:H121)</f>
        <v>19</v>
      </c>
      <c r="J122" s="4">
        <f>SUM(J115:J121)</f>
        <v>30.400000000000002</v>
      </c>
      <c r="K122" s="4">
        <v>5</v>
      </c>
      <c r="L122" s="4">
        <v>-35.4</v>
      </c>
      <c r="O122" s="4">
        <f>SUM(J122:N122)</f>
        <v>0</v>
      </c>
      <c r="P122" s="13" t="s">
        <v>2912</v>
      </c>
    </row>
    <row r="123" spans="1:16" ht="12.75" customHeight="1">
      <c r="A123" s="10">
        <v>43825</v>
      </c>
      <c r="B123" s="10">
        <v>43827</v>
      </c>
      <c r="C123" s="7" t="s">
        <v>1226</v>
      </c>
      <c r="E123" s="128" t="s">
        <v>3085</v>
      </c>
      <c r="F123" s="9">
        <v>17</v>
      </c>
      <c r="G123" s="7" t="s">
        <v>1367</v>
      </c>
      <c r="H123" s="7">
        <v>3</v>
      </c>
      <c r="I123" s="7">
        <v>1.6</v>
      </c>
      <c r="J123" s="7">
        <f>H123*I123</f>
        <v>4.8000000000000007</v>
      </c>
    </row>
    <row r="124" spans="1:16" ht="12.75" customHeight="1">
      <c r="A124" s="10"/>
      <c r="B124" s="10"/>
      <c r="E124" s="128" t="s">
        <v>3086</v>
      </c>
      <c r="F124" s="9">
        <v>17</v>
      </c>
      <c r="G124" s="7" t="s">
        <v>1227</v>
      </c>
      <c r="H124" s="7">
        <v>3</v>
      </c>
      <c r="I124" s="7">
        <v>1.6</v>
      </c>
      <c r="J124" s="7">
        <f>H124*I124</f>
        <v>4.8000000000000007</v>
      </c>
    </row>
    <row r="125" spans="1:16" ht="12.75" customHeight="1">
      <c r="A125" s="10"/>
      <c r="B125" s="10"/>
      <c r="E125" s="128" t="s">
        <v>3087</v>
      </c>
      <c r="F125" s="9">
        <v>17</v>
      </c>
      <c r="G125" s="7" t="s">
        <v>1228</v>
      </c>
      <c r="H125" s="7">
        <v>3</v>
      </c>
      <c r="I125" s="7">
        <v>1.6</v>
      </c>
      <c r="J125" s="7">
        <f>H125*I125</f>
        <v>4.8000000000000007</v>
      </c>
    </row>
    <row r="126" spans="1:16" ht="12.75" customHeight="1">
      <c r="A126" s="10"/>
      <c r="B126" s="10"/>
      <c r="E126" s="128" t="s">
        <v>3088</v>
      </c>
      <c r="F126" s="9">
        <v>17</v>
      </c>
      <c r="G126" s="7" t="s">
        <v>1229</v>
      </c>
      <c r="H126" s="7">
        <v>3</v>
      </c>
      <c r="I126" s="7">
        <v>1.6</v>
      </c>
      <c r="J126" s="7">
        <f>H126*I126</f>
        <v>4.8000000000000007</v>
      </c>
    </row>
    <row r="127" spans="1:16" ht="12.75" customHeight="1">
      <c r="A127" s="10"/>
      <c r="B127" s="10"/>
      <c r="E127" s="128" t="s">
        <v>3089</v>
      </c>
      <c r="F127" s="9">
        <v>17</v>
      </c>
      <c r="G127" s="7" t="s">
        <v>1230</v>
      </c>
      <c r="H127" s="7">
        <v>3</v>
      </c>
      <c r="I127" s="7">
        <v>1.6</v>
      </c>
      <c r="J127" s="7">
        <f>H127*I127</f>
        <v>4.8000000000000007</v>
      </c>
    </row>
    <row r="128" spans="1:16" s="4" customFormat="1" ht="12.75" customHeight="1">
      <c r="A128" s="12"/>
      <c r="B128" s="12"/>
      <c r="D128" s="5"/>
      <c r="E128" s="114"/>
      <c r="F128" s="5"/>
      <c r="J128" s="4">
        <f>SUM(J123:J127)</f>
        <v>24.000000000000004</v>
      </c>
      <c r="K128" s="4">
        <v>7.7</v>
      </c>
      <c r="L128" s="4">
        <f>-31.7</f>
        <v>-31.7</v>
      </c>
      <c r="O128" s="4">
        <f>SUM(J128:N128)</f>
        <v>0</v>
      </c>
      <c r="P128" s="13" t="s">
        <v>2913</v>
      </c>
    </row>
    <row r="129" spans="1:16" ht="12.75" customHeight="1">
      <c r="A129" s="10">
        <v>43825</v>
      </c>
      <c r="B129" s="10">
        <v>1</v>
      </c>
      <c r="C129" s="7" t="s">
        <v>1231</v>
      </c>
      <c r="D129" s="65" t="s">
        <v>3179</v>
      </c>
      <c r="E129" s="119" t="s">
        <v>3090</v>
      </c>
      <c r="F129" s="9">
        <v>19.7</v>
      </c>
      <c r="G129" s="7" t="s">
        <v>1673</v>
      </c>
      <c r="H129" s="7">
        <v>3</v>
      </c>
      <c r="I129" s="7">
        <v>1.5</v>
      </c>
      <c r="J129" s="7">
        <f t="shared" ref="J129:J134" si="7">H129*I129</f>
        <v>4.5</v>
      </c>
    </row>
    <row r="130" spans="1:16" ht="12.75" customHeight="1">
      <c r="A130" s="10"/>
      <c r="B130" s="10"/>
      <c r="D130" s="65" t="s">
        <v>3179</v>
      </c>
      <c r="E130" s="119" t="s">
        <v>3091</v>
      </c>
      <c r="F130" s="9">
        <v>19.5</v>
      </c>
      <c r="G130" s="7" t="s">
        <v>1674</v>
      </c>
      <c r="H130" s="7">
        <v>3</v>
      </c>
      <c r="I130" s="7">
        <v>1.5</v>
      </c>
      <c r="J130" s="7">
        <f t="shared" si="7"/>
        <v>4.5</v>
      </c>
    </row>
    <row r="131" spans="1:16" ht="12.75" customHeight="1">
      <c r="A131" s="10"/>
      <c r="B131" s="10"/>
      <c r="D131" s="65" t="s">
        <v>3179</v>
      </c>
      <c r="E131" s="119" t="s">
        <v>3092</v>
      </c>
      <c r="F131" s="9">
        <v>19.2</v>
      </c>
      <c r="G131" s="7" t="s">
        <v>1676</v>
      </c>
      <c r="H131" s="7">
        <v>3</v>
      </c>
      <c r="I131" s="7">
        <v>1.5</v>
      </c>
      <c r="J131" s="7">
        <f t="shared" si="7"/>
        <v>4.5</v>
      </c>
    </row>
    <row r="132" spans="1:16" ht="12.75" customHeight="1">
      <c r="A132" s="10"/>
      <c r="B132" s="10"/>
      <c r="D132" s="65" t="s">
        <v>3179</v>
      </c>
      <c r="E132" s="119" t="s">
        <v>3093</v>
      </c>
      <c r="F132" s="9">
        <v>19.399999999999999</v>
      </c>
      <c r="G132" s="7" t="s">
        <v>1675</v>
      </c>
      <c r="H132" s="7">
        <v>3</v>
      </c>
      <c r="I132" s="7">
        <v>1.5</v>
      </c>
      <c r="J132" s="7">
        <f t="shared" si="7"/>
        <v>4.5</v>
      </c>
    </row>
    <row r="133" spans="1:16" ht="12.75" customHeight="1">
      <c r="A133" s="10"/>
      <c r="B133" s="10"/>
      <c r="D133" s="65" t="s">
        <v>3179</v>
      </c>
      <c r="E133" s="119" t="s">
        <v>3094</v>
      </c>
      <c r="F133" s="9">
        <v>19.399999999999999</v>
      </c>
      <c r="G133" s="7" t="s">
        <v>1677</v>
      </c>
      <c r="H133" s="7">
        <v>3</v>
      </c>
      <c r="I133" s="7">
        <v>1.5</v>
      </c>
      <c r="J133" s="7">
        <f t="shared" si="7"/>
        <v>4.5</v>
      </c>
    </row>
    <row r="134" spans="1:16" ht="12.75" customHeight="1">
      <c r="A134" s="10"/>
      <c r="B134" s="10"/>
      <c r="D134" s="65" t="s">
        <v>3179</v>
      </c>
      <c r="E134" s="119" t="s">
        <v>3095</v>
      </c>
      <c r="F134" s="9">
        <v>19.600000000000001</v>
      </c>
      <c r="G134" s="7" t="s">
        <v>1678</v>
      </c>
      <c r="H134" s="7">
        <v>3</v>
      </c>
      <c r="I134" s="7">
        <v>1.5</v>
      </c>
      <c r="J134" s="7">
        <f t="shared" si="7"/>
        <v>4.5</v>
      </c>
    </row>
    <row r="135" spans="1:16" s="4" customFormat="1" ht="12.75" customHeight="1">
      <c r="A135" s="12"/>
      <c r="B135" s="12"/>
      <c r="D135" s="5"/>
      <c r="E135" s="114"/>
      <c r="F135" s="5"/>
      <c r="J135" s="4">
        <f>SUM(J129:J134)</f>
        <v>27</v>
      </c>
      <c r="K135" s="4">
        <v>6</v>
      </c>
      <c r="L135" s="4">
        <v>-28</v>
      </c>
      <c r="N135" s="4">
        <v>-5</v>
      </c>
      <c r="O135" s="4">
        <f>SUM(J135:N135)</f>
        <v>0</v>
      </c>
      <c r="P135" s="13" t="s">
        <v>2914</v>
      </c>
    </row>
    <row r="136" spans="1:16" ht="12.75" customHeight="1">
      <c r="A136" s="10">
        <v>43825</v>
      </c>
      <c r="B136" s="10">
        <v>1</v>
      </c>
      <c r="C136" s="7" t="s">
        <v>1237</v>
      </c>
      <c r="E136" s="128">
        <v>212.01</v>
      </c>
      <c r="F136" s="124">
        <f>262/30</f>
        <v>8.7333333333333325</v>
      </c>
      <c r="G136" s="7" t="s">
        <v>1969</v>
      </c>
      <c r="H136" s="7">
        <f>10</f>
        <v>10</v>
      </c>
      <c r="I136" s="7">
        <v>0.31</v>
      </c>
      <c r="J136" s="7">
        <f t="shared" ref="J136:J167" si="8">H136*I136</f>
        <v>3.1</v>
      </c>
    </row>
    <row r="137" spans="1:16" ht="12.75" customHeight="1">
      <c r="A137" s="10"/>
      <c r="B137" s="10"/>
      <c r="E137" s="128">
        <v>212.02</v>
      </c>
      <c r="F137" s="124">
        <f t="shared" ref="F137:F146" si="9">262/30</f>
        <v>8.7333333333333325</v>
      </c>
      <c r="G137" s="7" t="s">
        <v>1970</v>
      </c>
      <c r="H137" s="7">
        <f>10</f>
        <v>10</v>
      </c>
      <c r="I137" s="7">
        <v>0.31</v>
      </c>
      <c r="J137" s="7">
        <f t="shared" si="8"/>
        <v>3.1</v>
      </c>
    </row>
    <row r="138" spans="1:16" ht="12.75" customHeight="1">
      <c r="A138" s="10"/>
      <c r="B138" s="10"/>
      <c r="E138" s="128">
        <v>212.03</v>
      </c>
      <c r="F138" s="124">
        <f t="shared" si="9"/>
        <v>8.7333333333333325</v>
      </c>
      <c r="G138" s="7" t="s">
        <v>1971</v>
      </c>
      <c r="H138" s="7">
        <f>10</f>
        <v>10</v>
      </c>
      <c r="I138" s="7">
        <v>0.31</v>
      </c>
      <c r="J138" s="7">
        <f t="shared" si="8"/>
        <v>3.1</v>
      </c>
    </row>
    <row r="139" spans="1:16" ht="12.75" customHeight="1">
      <c r="A139" s="10"/>
      <c r="B139" s="10"/>
      <c r="E139" s="128">
        <v>212.04</v>
      </c>
      <c r="F139" s="124">
        <f t="shared" si="9"/>
        <v>8.7333333333333325</v>
      </c>
      <c r="G139" s="7" t="s">
        <v>1972</v>
      </c>
      <c r="H139" s="7">
        <f>10</f>
        <v>10</v>
      </c>
      <c r="I139" s="7">
        <v>0.31</v>
      </c>
      <c r="J139" s="7">
        <f t="shared" si="8"/>
        <v>3.1</v>
      </c>
    </row>
    <row r="140" spans="1:16" ht="12.75" customHeight="1">
      <c r="A140" s="10"/>
      <c r="B140" s="10"/>
      <c r="E140" s="137" t="s">
        <v>2354</v>
      </c>
      <c r="F140" s="124">
        <f t="shared" si="9"/>
        <v>8.7333333333333325</v>
      </c>
      <c r="G140" s="135" t="s">
        <v>3326</v>
      </c>
      <c r="H140" s="7">
        <f>10</f>
        <v>10</v>
      </c>
      <c r="I140" s="7">
        <v>0.31</v>
      </c>
      <c r="J140" s="7">
        <f t="shared" si="8"/>
        <v>3.1</v>
      </c>
    </row>
    <row r="141" spans="1:16" ht="12.75" customHeight="1">
      <c r="A141" s="10"/>
      <c r="B141" s="10"/>
      <c r="E141" s="137" t="s">
        <v>2355</v>
      </c>
      <c r="F141" s="124">
        <f t="shared" si="9"/>
        <v>8.7333333333333325</v>
      </c>
      <c r="G141" s="7" t="s">
        <v>1976</v>
      </c>
      <c r="H141" s="7">
        <f>10</f>
        <v>10</v>
      </c>
      <c r="I141" s="7">
        <v>0.31</v>
      </c>
      <c r="J141" s="7">
        <f t="shared" si="8"/>
        <v>3.1</v>
      </c>
    </row>
    <row r="142" spans="1:16" ht="12.75" customHeight="1">
      <c r="A142" s="10"/>
      <c r="B142" s="10"/>
      <c r="E142" s="137" t="s">
        <v>2356</v>
      </c>
      <c r="F142" s="124">
        <f t="shared" si="9"/>
        <v>8.7333333333333325</v>
      </c>
      <c r="G142" s="7" t="s">
        <v>1974</v>
      </c>
      <c r="H142" s="7">
        <f>10</f>
        <v>10</v>
      </c>
      <c r="I142" s="7">
        <v>0.31</v>
      </c>
      <c r="J142" s="7">
        <f t="shared" si="8"/>
        <v>3.1</v>
      </c>
    </row>
    <row r="143" spans="1:16" ht="12.75" customHeight="1">
      <c r="A143" s="10"/>
      <c r="B143" s="10"/>
      <c r="E143" s="137" t="s">
        <v>2357</v>
      </c>
      <c r="F143" s="124">
        <f t="shared" si="9"/>
        <v>8.7333333333333325</v>
      </c>
      <c r="G143" s="7" t="s">
        <v>1975</v>
      </c>
      <c r="H143" s="7">
        <f>10</f>
        <v>10</v>
      </c>
      <c r="I143" s="7">
        <v>0.31</v>
      </c>
      <c r="J143" s="7">
        <f t="shared" si="8"/>
        <v>3.1</v>
      </c>
    </row>
    <row r="144" spans="1:16" ht="12.75" customHeight="1">
      <c r="A144" s="10"/>
      <c r="B144" s="10"/>
      <c r="E144" s="137" t="s">
        <v>2358</v>
      </c>
      <c r="F144" s="124">
        <f t="shared" si="9"/>
        <v>8.7333333333333325</v>
      </c>
      <c r="G144" s="7" t="s">
        <v>1973</v>
      </c>
      <c r="H144" s="7">
        <f>10</f>
        <v>10</v>
      </c>
      <c r="I144" s="7">
        <v>0.31</v>
      </c>
      <c r="J144" s="7">
        <f t="shared" si="8"/>
        <v>3.1</v>
      </c>
    </row>
    <row r="145" spans="1:10" ht="12.75" customHeight="1">
      <c r="A145" s="10"/>
      <c r="B145" s="10"/>
      <c r="E145" s="137" t="s">
        <v>2359</v>
      </c>
      <c r="F145" s="124">
        <f t="shared" si="9"/>
        <v>8.7333333333333325</v>
      </c>
      <c r="G145" s="7" t="s">
        <v>1977</v>
      </c>
      <c r="H145" s="7">
        <f>10</f>
        <v>10</v>
      </c>
      <c r="I145" s="7">
        <v>0.31</v>
      </c>
      <c r="J145" s="7">
        <f t="shared" si="8"/>
        <v>3.1</v>
      </c>
    </row>
    <row r="146" spans="1:10" ht="12.75" customHeight="1">
      <c r="A146" s="10"/>
      <c r="B146" s="10"/>
      <c r="E146" s="137" t="s">
        <v>2360</v>
      </c>
      <c r="F146" s="124">
        <f t="shared" si="9"/>
        <v>8.7333333333333325</v>
      </c>
      <c r="G146" s="135" t="s">
        <v>3332</v>
      </c>
      <c r="H146" s="7">
        <f>10</f>
        <v>10</v>
      </c>
      <c r="I146" s="7">
        <v>0.31</v>
      </c>
      <c r="J146" s="7">
        <f t="shared" si="8"/>
        <v>3.1</v>
      </c>
    </row>
    <row r="147" spans="1:10" ht="12.75" customHeight="1">
      <c r="A147" s="10"/>
      <c r="B147" s="10"/>
      <c r="E147" s="137" t="s">
        <v>2361</v>
      </c>
      <c r="F147" s="9">
        <f>189/10</f>
        <v>18.899999999999999</v>
      </c>
      <c r="G147" s="7" t="s">
        <v>1978</v>
      </c>
      <c r="H147" s="7">
        <f>10</f>
        <v>10</v>
      </c>
      <c r="I147" s="7">
        <v>0.49</v>
      </c>
      <c r="J147" s="7">
        <f t="shared" si="8"/>
        <v>4.9000000000000004</v>
      </c>
    </row>
    <row r="148" spans="1:10" ht="12.75" customHeight="1">
      <c r="A148" s="10"/>
      <c r="B148" s="10"/>
      <c r="E148" s="137" t="s">
        <v>2362</v>
      </c>
      <c r="F148" s="9">
        <f t="shared" ref="F148:F157" si="10">189/10</f>
        <v>18.899999999999999</v>
      </c>
      <c r="G148" s="7" t="s">
        <v>1979</v>
      </c>
      <c r="H148" s="7">
        <f>10</f>
        <v>10</v>
      </c>
      <c r="I148" s="7">
        <v>0.49</v>
      </c>
      <c r="J148" s="7">
        <f t="shared" si="8"/>
        <v>4.9000000000000004</v>
      </c>
    </row>
    <row r="149" spans="1:10" ht="12.75" customHeight="1">
      <c r="A149" s="10"/>
      <c r="B149" s="10"/>
      <c r="E149" s="137" t="s">
        <v>2363</v>
      </c>
      <c r="F149" s="9">
        <f t="shared" si="10"/>
        <v>18.899999999999999</v>
      </c>
      <c r="G149" s="7" t="s">
        <v>1980</v>
      </c>
      <c r="H149" s="7">
        <f>10</f>
        <v>10</v>
      </c>
      <c r="I149" s="7">
        <v>0.49</v>
      </c>
      <c r="J149" s="7">
        <f t="shared" si="8"/>
        <v>4.9000000000000004</v>
      </c>
    </row>
    <row r="150" spans="1:10" ht="12.75" customHeight="1">
      <c r="A150" s="10"/>
      <c r="B150" s="10"/>
      <c r="E150" s="137" t="s">
        <v>2364</v>
      </c>
      <c r="F150" s="9">
        <f t="shared" si="10"/>
        <v>18.899999999999999</v>
      </c>
      <c r="G150" s="7" t="s">
        <v>1981</v>
      </c>
      <c r="H150" s="7">
        <f>10</f>
        <v>10</v>
      </c>
      <c r="I150" s="7">
        <v>0.49</v>
      </c>
      <c r="J150" s="7">
        <f t="shared" si="8"/>
        <v>4.9000000000000004</v>
      </c>
    </row>
    <row r="151" spans="1:10" ht="12.75" customHeight="1">
      <c r="A151" s="10"/>
      <c r="B151" s="10"/>
      <c r="E151" s="137" t="s">
        <v>2365</v>
      </c>
      <c r="F151" s="9">
        <f t="shared" si="10"/>
        <v>18.899999999999999</v>
      </c>
      <c r="G151" s="135" t="s">
        <v>3327</v>
      </c>
      <c r="H151" s="7">
        <f>10</f>
        <v>10</v>
      </c>
      <c r="I151" s="7">
        <v>0.49</v>
      </c>
      <c r="J151" s="7">
        <f t="shared" si="8"/>
        <v>4.9000000000000004</v>
      </c>
    </row>
    <row r="152" spans="1:10" ht="12.75" customHeight="1">
      <c r="A152" s="10"/>
      <c r="B152" s="10"/>
      <c r="E152" s="137" t="s">
        <v>2366</v>
      </c>
      <c r="F152" s="9">
        <f t="shared" si="10"/>
        <v>18.899999999999999</v>
      </c>
      <c r="G152" s="7" t="s">
        <v>1982</v>
      </c>
      <c r="H152" s="7">
        <f>10</f>
        <v>10</v>
      </c>
      <c r="I152" s="7">
        <v>0.49</v>
      </c>
      <c r="J152" s="7">
        <f t="shared" si="8"/>
        <v>4.9000000000000004</v>
      </c>
    </row>
    <row r="153" spans="1:10" ht="12.75" customHeight="1">
      <c r="A153" s="10"/>
      <c r="B153" s="10"/>
      <c r="E153" s="137" t="s">
        <v>2367</v>
      </c>
      <c r="F153" s="9">
        <f t="shared" si="10"/>
        <v>18.899999999999999</v>
      </c>
      <c r="G153" s="7" t="s">
        <v>1983</v>
      </c>
      <c r="H153" s="7">
        <f>10</f>
        <v>10</v>
      </c>
      <c r="I153" s="7">
        <v>0.49</v>
      </c>
      <c r="J153" s="7">
        <f t="shared" si="8"/>
        <v>4.9000000000000004</v>
      </c>
    </row>
    <row r="154" spans="1:10" ht="12.75" customHeight="1">
      <c r="A154" s="10"/>
      <c r="B154" s="10"/>
      <c r="E154" s="137" t="s">
        <v>2368</v>
      </c>
      <c r="F154" s="9">
        <f t="shared" si="10"/>
        <v>18.899999999999999</v>
      </c>
      <c r="G154" s="7" t="s">
        <v>1984</v>
      </c>
      <c r="H154" s="7">
        <f>10</f>
        <v>10</v>
      </c>
      <c r="I154" s="7">
        <v>0.49</v>
      </c>
      <c r="J154" s="7">
        <f t="shared" si="8"/>
        <v>4.9000000000000004</v>
      </c>
    </row>
    <row r="155" spans="1:10" ht="12.75" customHeight="1">
      <c r="A155" s="10"/>
      <c r="B155" s="10"/>
      <c r="E155" s="137" t="s">
        <v>2369</v>
      </c>
      <c r="F155" s="9">
        <f t="shared" si="10"/>
        <v>18.899999999999999</v>
      </c>
      <c r="G155" s="7" t="s">
        <v>1985</v>
      </c>
      <c r="H155" s="7">
        <f>10</f>
        <v>10</v>
      </c>
      <c r="I155" s="7">
        <v>0.49</v>
      </c>
      <c r="J155" s="7">
        <f t="shared" si="8"/>
        <v>4.9000000000000004</v>
      </c>
    </row>
    <row r="156" spans="1:10" ht="12.75" customHeight="1">
      <c r="A156" s="10"/>
      <c r="B156" s="10"/>
      <c r="E156" s="137" t="s">
        <v>2370</v>
      </c>
      <c r="F156" s="9">
        <f t="shared" si="10"/>
        <v>18.899999999999999</v>
      </c>
      <c r="G156" s="7" t="s">
        <v>1986</v>
      </c>
      <c r="H156" s="7">
        <f>10</f>
        <v>10</v>
      </c>
      <c r="I156" s="7">
        <v>0.49</v>
      </c>
      <c r="J156" s="7">
        <f t="shared" si="8"/>
        <v>4.9000000000000004</v>
      </c>
    </row>
    <row r="157" spans="1:10" ht="12.75" customHeight="1">
      <c r="A157" s="10"/>
      <c r="B157" s="10"/>
      <c r="E157" s="137" t="s">
        <v>2371</v>
      </c>
      <c r="F157" s="9">
        <f t="shared" si="10"/>
        <v>18.899999999999999</v>
      </c>
      <c r="G157" s="135" t="s">
        <v>3333</v>
      </c>
      <c r="H157" s="7">
        <f>10</f>
        <v>10</v>
      </c>
      <c r="I157" s="7">
        <v>0.49</v>
      </c>
      <c r="J157" s="7">
        <f t="shared" si="8"/>
        <v>4.9000000000000004</v>
      </c>
    </row>
    <row r="158" spans="1:10" ht="12.75" customHeight="1">
      <c r="A158" s="10"/>
      <c r="B158" s="10"/>
      <c r="E158" s="137" t="s">
        <v>2372</v>
      </c>
      <c r="F158" s="124">
        <f>343.2/20</f>
        <v>17.16</v>
      </c>
      <c r="G158" s="7" t="s">
        <v>1987</v>
      </c>
      <c r="H158" s="7">
        <f>10</f>
        <v>10</v>
      </c>
      <c r="I158" s="7">
        <v>0.57999999999999996</v>
      </c>
      <c r="J158" s="7">
        <f t="shared" si="8"/>
        <v>5.8</v>
      </c>
    </row>
    <row r="159" spans="1:10" ht="12.75" customHeight="1">
      <c r="A159" s="10"/>
      <c r="B159" s="10"/>
      <c r="E159" s="137" t="s">
        <v>2373</v>
      </c>
      <c r="F159" s="124">
        <f t="shared" ref="F159:F168" si="11">343.2/20</f>
        <v>17.16</v>
      </c>
      <c r="G159" s="7" t="s">
        <v>1988</v>
      </c>
      <c r="H159" s="7">
        <f>10</f>
        <v>10</v>
      </c>
      <c r="I159" s="7">
        <v>0.57999999999999996</v>
      </c>
      <c r="J159" s="7">
        <f t="shared" si="8"/>
        <v>5.8</v>
      </c>
    </row>
    <row r="160" spans="1:10" ht="12.75" customHeight="1">
      <c r="A160" s="10"/>
      <c r="B160" s="10"/>
      <c r="E160" s="137" t="s">
        <v>2374</v>
      </c>
      <c r="F160" s="124">
        <f t="shared" si="11"/>
        <v>17.16</v>
      </c>
      <c r="G160" s="7" t="s">
        <v>1989</v>
      </c>
      <c r="H160" s="7">
        <f>10</f>
        <v>10</v>
      </c>
      <c r="I160" s="7">
        <v>0.57999999999999996</v>
      </c>
      <c r="J160" s="7">
        <f t="shared" si="8"/>
        <v>5.8</v>
      </c>
    </row>
    <row r="161" spans="1:10" ht="12.75" customHeight="1">
      <c r="A161" s="10"/>
      <c r="B161" s="10"/>
      <c r="E161" s="137" t="s">
        <v>2375</v>
      </c>
      <c r="F161" s="124">
        <f t="shared" si="11"/>
        <v>17.16</v>
      </c>
      <c r="G161" s="7" t="s">
        <v>1990</v>
      </c>
      <c r="H161" s="7">
        <f>10</f>
        <v>10</v>
      </c>
      <c r="I161" s="7">
        <v>0.57999999999999996</v>
      </c>
      <c r="J161" s="7">
        <f t="shared" si="8"/>
        <v>5.8</v>
      </c>
    </row>
    <row r="162" spans="1:10" ht="12.75" customHeight="1">
      <c r="A162" s="10"/>
      <c r="B162" s="10"/>
      <c r="E162" s="137" t="s">
        <v>2376</v>
      </c>
      <c r="F162" s="124">
        <f t="shared" si="11"/>
        <v>17.16</v>
      </c>
      <c r="G162" s="135" t="s">
        <v>3328</v>
      </c>
      <c r="H162" s="7">
        <f>10</f>
        <v>10</v>
      </c>
      <c r="I162" s="7">
        <v>0.57999999999999996</v>
      </c>
      <c r="J162" s="7">
        <f t="shared" si="8"/>
        <v>5.8</v>
      </c>
    </row>
    <row r="163" spans="1:10" ht="12.75" customHeight="1">
      <c r="A163" s="10"/>
      <c r="B163" s="10"/>
      <c r="E163" s="137" t="s">
        <v>2377</v>
      </c>
      <c r="F163" s="124">
        <f t="shared" si="11"/>
        <v>17.16</v>
      </c>
      <c r="G163" s="7" t="s">
        <v>1991</v>
      </c>
      <c r="H163" s="7">
        <f>10</f>
        <v>10</v>
      </c>
      <c r="I163" s="7">
        <v>0.57999999999999996</v>
      </c>
      <c r="J163" s="7">
        <f t="shared" si="8"/>
        <v>5.8</v>
      </c>
    </row>
    <row r="164" spans="1:10" ht="12.75" customHeight="1">
      <c r="A164" s="10"/>
      <c r="B164" s="10"/>
      <c r="E164" s="137" t="s">
        <v>2378</v>
      </c>
      <c r="F164" s="124">
        <f t="shared" si="11"/>
        <v>17.16</v>
      </c>
      <c r="G164" s="7" t="s">
        <v>1992</v>
      </c>
      <c r="H164" s="7">
        <f>10</f>
        <v>10</v>
      </c>
      <c r="I164" s="7">
        <v>0.57999999999999996</v>
      </c>
      <c r="J164" s="7">
        <f t="shared" si="8"/>
        <v>5.8</v>
      </c>
    </row>
    <row r="165" spans="1:10" ht="12.75" customHeight="1">
      <c r="A165" s="10"/>
      <c r="B165" s="10"/>
      <c r="E165" s="137" t="s">
        <v>2379</v>
      </c>
      <c r="F165" s="124">
        <f t="shared" si="11"/>
        <v>17.16</v>
      </c>
      <c r="G165" s="7" t="s">
        <v>1993</v>
      </c>
      <c r="H165" s="7">
        <f>10</f>
        <v>10</v>
      </c>
      <c r="I165" s="7">
        <v>0.57999999999999996</v>
      </c>
      <c r="J165" s="7">
        <f t="shared" si="8"/>
        <v>5.8</v>
      </c>
    </row>
    <row r="166" spans="1:10" ht="12.75" customHeight="1">
      <c r="A166" s="10"/>
      <c r="B166" s="10"/>
      <c r="E166" s="137" t="s">
        <v>2380</v>
      </c>
      <c r="F166" s="124">
        <f t="shared" si="11"/>
        <v>17.16</v>
      </c>
      <c r="G166" s="7" t="s">
        <v>1994</v>
      </c>
      <c r="H166" s="7">
        <f>10</f>
        <v>10</v>
      </c>
      <c r="I166" s="7">
        <v>0.57999999999999996</v>
      </c>
      <c r="J166" s="7">
        <f t="shared" si="8"/>
        <v>5.8</v>
      </c>
    </row>
    <row r="167" spans="1:10" ht="12.75" customHeight="1">
      <c r="A167" s="10"/>
      <c r="B167" s="10"/>
      <c r="E167" s="137" t="s">
        <v>2381</v>
      </c>
      <c r="F167" s="124">
        <f t="shared" si="11"/>
        <v>17.16</v>
      </c>
      <c r="G167" s="7" t="s">
        <v>1995</v>
      </c>
      <c r="H167" s="7">
        <f>10</f>
        <v>10</v>
      </c>
      <c r="I167" s="7">
        <v>0.57999999999999996</v>
      </c>
      <c r="J167" s="7">
        <f t="shared" si="8"/>
        <v>5.8</v>
      </c>
    </row>
    <row r="168" spans="1:10" ht="12.75" customHeight="1">
      <c r="A168" s="10"/>
      <c r="B168" s="10"/>
      <c r="E168" s="137" t="s">
        <v>2382</v>
      </c>
      <c r="F168" s="124">
        <f t="shared" si="11"/>
        <v>17.16</v>
      </c>
      <c r="G168" s="135" t="s">
        <v>3334</v>
      </c>
      <c r="H168" s="7">
        <f>10</f>
        <v>10</v>
      </c>
      <c r="I168" s="7">
        <v>0.57999999999999996</v>
      </c>
      <c r="J168" s="7">
        <f t="shared" ref="J168:J199" si="12">H168*I168</f>
        <v>5.8</v>
      </c>
    </row>
    <row r="169" spans="1:10" ht="12.75" customHeight="1">
      <c r="A169" s="10"/>
      <c r="B169" s="10"/>
      <c r="E169" s="137" t="s">
        <v>2383</v>
      </c>
      <c r="F169" s="124">
        <f>298.9/10</f>
        <v>29.889999999999997</v>
      </c>
      <c r="G169" s="7" t="s">
        <v>1996</v>
      </c>
      <c r="H169" s="7">
        <f>10</f>
        <v>10</v>
      </c>
      <c r="I169" s="7">
        <v>0.96</v>
      </c>
      <c r="J169" s="7">
        <f t="shared" si="12"/>
        <v>9.6</v>
      </c>
    </row>
    <row r="170" spans="1:10" ht="12.75" customHeight="1">
      <c r="A170" s="10"/>
      <c r="B170" s="10"/>
      <c r="E170" s="137" t="s">
        <v>2384</v>
      </c>
      <c r="F170" s="124">
        <f t="shared" ref="F170:F179" si="13">298.9/10</f>
        <v>29.889999999999997</v>
      </c>
      <c r="G170" s="7" t="s">
        <v>1997</v>
      </c>
      <c r="H170" s="7">
        <f>10</f>
        <v>10</v>
      </c>
      <c r="I170" s="7">
        <v>0.96</v>
      </c>
      <c r="J170" s="7">
        <f t="shared" si="12"/>
        <v>9.6</v>
      </c>
    </row>
    <row r="171" spans="1:10" ht="12.75" customHeight="1">
      <c r="A171" s="10"/>
      <c r="B171" s="10"/>
      <c r="E171" s="137" t="s">
        <v>2385</v>
      </c>
      <c r="F171" s="124">
        <f t="shared" si="13"/>
        <v>29.889999999999997</v>
      </c>
      <c r="G171" s="7" t="s">
        <v>1998</v>
      </c>
      <c r="H171" s="7">
        <f>10</f>
        <v>10</v>
      </c>
      <c r="I171" s="7">
        <v>0.96</v>
      </c>
      <c r="J171" s="7">
        <f t="shared" si="12"/>
        <v>9.6</v>
      </c>
    </row>
    <row r="172" spans="1:10" ht="12.75" customHeight="1">
      <c r="A172" s="10"/>
      <c r="B172" s="10"/>
      <c r="E172" s="137" t="s">
        <v>2386</v>
      </c>
      <c r="F172" s="124">
        <f t="shared" si="13"/>
        <v>29.889999999999997</v>
      </c>
      <c r="G172" s="7" t="s">
        <v>1999</v>
      </c>
      <c r="H172" s="7">
        <f>10</f>
        <v>10</v>
      </c>
      <c r="I172" s="7">
        <v>0.96</v>
      </c>
      <c r="J172" s="7">
        <f t="shared" si="12"/>
        <v>9.6</v>
      </c>
    </row>
    <row r="173" spans="1:10" ht="12.75" customHeight="1">
      <c r="A173" s="10"/>
      <c r="B173" s="10"/>
      <c r="E173" s="137" t="s">
        <v>2387</v>
      </c>
      <c r="F173" s="124">
        <f t="shared" si="13"/>
        <v>29.889999999999997</v>
      </c>
      <c r="G173" s="135" t="s">
        <v>3329</v>
      </c>
      <c r="H173" s="7">
        <f>10</f>
        <v>10</v>
      </c>
      <c r="I173" s="7">
        <v>0.96</v>
      </c>
      <c r="J173" s="7">
        <f t="shared" si="12"/>
        <v>9.6</v>
      </c>
    </row>
    <row r="174" spans="1:10" ht="12.75" customHeight="1">
      <c r="A174" s="10"/>
      <c r="B174" s="10"/>
      <c r="E174" s="137" t="s">
        <v>2388</v>
      </c>
      <c r="F174" s="124">
        <f t="shared" si="13"/>
        <v>29.889999999999997</v>
      </c>
      <c r="G174" s="7" t="s">
        <v>2000</v>
      </c>
      <c r="H174" s="7">
        <f>10</f>
        <v>10</v>
      </c>
      <c r="I174" s="7">
        <v>0.96</v>
      </c>
      <c r="J174" s="7">
        <f t="shared" si="12"/>
        <v>9.6</v>
      </c>
    </row>
    <row r="175" spans="1:10" ht="12.75" customHeight="1">
      <c r="A175" s="10"/>
      <c r="B175" s="10"/>
      <c r="E175" s="137" t="s">
        <v>2389</v>
      </c>
      <c r="F175" s="124">
        <f t="shared" si="13"/>
        <v>29.889999999999997</v>
      </c>
      <c r="G175" s="7" t="s">
        <v>2001</v>
      </c>
      <c r="H175" s="7">
        <f>10</f>
        <v>10</v>
      </c>
      <c r="I175" s="7">
        <v>0.96</v>
      </c>
      <c r="J175" s="7">
        <f t="shared" si="12"/>
        <v>9.6</v>
      </c>
    </row>
    <row r="176" spans="1:10" ht="12.75" customHeight="1">
      <c r="A176" s="10"/>
      <c r="B176" s="10"/>
      <c r="E176" s="137" t="s">
        <v>2390</v>
      </c>
      <c r="F176" s="124">
        <f t="shared" si="13"/>
        <v>29.889999999999997</v>
      </c>
      <c r="G176" s="7" t="s">
        <v>2002</v>
      </c>
      <c r="H176" s="7">
        <f>10</f>
        <v>10</v>
      </c>
      <c r="I176" s="7">
        <v>0.96</v>
      </c>
      <c r="J176" s="7">
        <f t="shared" si="12"/>
        <v>9.6</v>
      </c>
    </row>
    <row r="177" spans="1:10" ht="12.75" customHeight="1">
      <c r="A177" s="10"/>
      <c r="B177" s="10"/>
      <c r="E177" s="137" t="s">
        <v>2391</v>
      </c>
      <c r="F177" s="124">
        <f t="shared" si="13"/>
        <v>29.889999999999997</v>
      </c>
      <c r="G177" s="7" t="s">
        <v>2003</v>
      </c>
      <c r="H177" s="7">
        <f>10</f>
        <v>10</v>
      </c>
      <c r="I177" s="7">
        <v>0.96</v>
      </c>
      <c r="J177" s="7">
        <f t="shared" si="12"/>
        <v>9.6</v>
      </c>
    </row>
    <row r="178" spans="1:10" ht="12.75" customHeight="1">
      <c r="A178" s="10"/>
      <c r="B178" s="10"/>
      <c r="E178" s="137" t="s">
        <v>2392</v>
      </c>
      <c r="F178" s="124">
        <f t="shared" si="13"/>
        <v>29.889999999999997</v>
      </c>
      <c r="G178" s="7" t="s">
        <v>2004</v>
      </c>
      <c r="H178" s="7">
        <f>10</f>
        <v>10</v>
      </c>
      <c r="I178" s="7">
        <v>0.96</v>
      </c>
      <c r="J178" s="7">
        <f t="shared" si="12"/>
        <v>9.6</v>
      </c>
    </row>
    <row r="179" spans="1:10" ht="12.75" customHeight="1">
      <c r="A179" s="10"/>
      <c r="B179" s="10"/>
      <c r="E179" s="137" t="s">
        <v>2393</v>
      </c>
      <c r="F179" s="124">
        <f t="shared" si="13"/>
        <v>29.889999999999997</v>
      </c>
      <c r="G179" s="135" t="s">
        <v>3335</v>
      </c>
      <c r="H179" s="7">
        <f>10</f>
        <v>10</v>
      </c>
      <c r="I179" s="7">
        <v>0.96</v>
      </c>
      <c r="J179" s="7">
        <f t="shared" si="12"/>
        <v>9.6</v>
      </c>
    </row>
    <row r="180" spans="1:10" ht="12.75" customHeight="1">
      <c r="A180" s="10"/>
      <c r="B180" s="10"/>
      <c r="E180" s="137" t="s">
        <v>2394</v>
      </c>
      <c r="F180" s="124">
        <f>332.7/10</f>
        <v>33.269999999999996</v>
      </c>
      <c r="G180" s="7" t="s">
        <v>2005</v>
      </c>
      <c r="H180" s="7">
        <f>10</f>
        <v>10</v>
      </c>
      <c r="I180" s="7">
        <v>1.2</v>
      </c>
      <c r="J180" s="7">
        <f t="shared" si="12"/>
        <v>12</v>
      </c>
    </row>
    <row r="181" spans="1:10" ht="12.75" customHeight="1">
      <c r="A181" s="10"/>
      <c r="B181" s="10"/>
      <c r="E181" s="137" t="s">
        <v>2395</v>
      </c>
      <c r="F181" s="124">
        <f t="shared" ref="F181:F190" si="14">332.7/10</f>
        <v>33.269999999999996</v>
      </c>
      <c r="G181" s="7" t="s">
        <v>2006</v>
      </c>
      <c r="H181" s="7">
        <f>10</f>
        <v>10</v>
      </c>
      <c r="I181" s="7">
        <v>1.2</v>
      </c>
      <c r="J181" s="7">
        <f t="shared" si="12"/>
        <v>12</v>
      </c>
    </row>
    <row r="182" spans="1:10" ht="12.75" customHeight="1">
      <c r="A182" s="10"/>
      <c r="B182" s="10"/>
      <c r="E182" s="137" t="s">
        <v>2396</v>
      </c>
      <c r="F182" s="124">
        <f t="shared" si="14"/>
        <v>33.269999999999996</v>
      </c>
      <c r="G182" s="7" t="s">
        <v>2007</v>
      </c>
      <c r="H182" s="7">
        <f>10</f>
        <v>10</v>
      </c>
      <c r="I182" s="7">
        <v>1.2</v>
      </c>
      <c r="J182" s="7">
        <f t="shared" si="12"/>
        <v>12</v>
      </c>
    </row>
    <row r="183" spans="1:10" ht="12.75" customHeight="1">
      <c r="A183" s="10"/>
      <c r="B183" s="10"/>
      <c r="E183" s="137" t="s">
        <v>2397</v>
      </c>
      <c r="F183" s="124">
        <f t="shared" si="14"/>
        <v>33.269999999999996</v>
      </c>
      <c r="G183" s="7" t="s">
        <v>2008</v>
      </c>
      <c r="H183" s="7">
        <f>10</f>
        <v>10</v>
      </c>
      <c r="I183" s="7">
        <v>1.2</v>
      </c>
      <c r="J183" s="7">
        <f t="shared" si="12"/>
        <v>12</v>
      </c>
    </row>
    <row r="184" spans="1:10" ht="12.75" customHeight="1">
      <c r="A184" s="10"/>
      <c r="B184" s="10"/>
      <c r="E184" s="137" t="s">
        <v>2398</v>
      </c>
      <c r="F184" s="124">
        <f t="shared" si="14"/>
        <v>33.269999999999996</v>
      </c>
      <c r="G184" s="135" t="s">
        <v>3330</v>
      </c>
      <c r="H184" s="7">
        <f>10</f>
        <v>10</v>
      </c>
      <c r="I184" s="7">
        <v>1.2</v>
      </c>
      <c r="J184" s="7">
        <f t="shared" si="12"/>
        <v>12</v>
      </c>
    </row>
    <row r="185" spans="1:10" ht="12.75" customHeight="1">
      <c r="A185" s="10"/>
      <c r="B185" s="10"/>
      <c r="E185" s="137" t="s">
        <v>2399</v>
      </c>
      <c r="F185" s="124">
        <f t="shared" si="14"/>
        <v>33.269999999999996</v>
      </c>
      <c r="G185" s="7" t="s">
        <v>2009</v>
      </c>
      <c r="H185" s="7">
        <f>10</f>
        <v>10</v>
      </c>
      <c r="I185" s="7">
        <v>1.2</v>
      </c>
      <c r="J185" s="7">
        <f t="shared" si="12"/>
        <v>12</v>
      </c>
    </row>
    <row r="186" spans="1:10" ht="12.75" customHeight="1">
      <c r="A186" s="10"/>
      <c r="B186" s="10"/>
      <c r="E186" s="137" t="s">
        <v>2400</v>
      </c>
      <c r="F186" s="124">
        <f t="shared" si="14"/>
        <v>33.269999999999996</v>
      </c>
      <c r="G186" s="7" t="s">
        <v>2010</v>
      </c>
      <c r="H186" s="7">
        <f>10</f>
        <v>10</v>
      </c>
      <c r="I186" s="7">
        <v>1.2</v>
      </c>
      <c r="J186" s="7">
        <f t="shared" si="12"/>
        <v>12</v>
      </c>
    </row>
    <row r="187" spans="1:10" ht="12.75" customHeight="1">
      <c r="A187" s="10"/>
      <c r="B187" s="10"/>
      <c r="E187" s="137" t="s">
        <v>2401</v>
      </c>
      <c r="F187" s="124">
        <f t="shared" si="14"/>
        <v>33.269999999999996</v>
      </c>
      <c r="G187" s="7" t="s">
        <v>2011</v>
      </c>
      <c r="H187" s="7">
        <f>10</f>
        <v>10</v>
      </c>
      <c r="I187" s="7">
        <v>1.2</v>
      </c>
      <c r="J187" s="7">
        <f t="shared" si="12"/>
        <v>12</v>
      </c>
    </row>
    <row r="188" spans="1:10" ht="12.75" customHeight="1">
      <c r="A188" s="10"/>
      <c r="B188" s="10"/>
      <c r="E188" s="137" t="s">
        <v>2402</v>
      </c>
      <c r="F188" s="124">
        <f t="shared" si="14"/>
        <v>33.269999999999996</v>
      </c>
      <c r="G188" s="7" t="s">
        <v>2012</v>
      </c>
      <c r="H188" s="7">
        <f>10</f>
        <v>10</v>
      </c>
      <c r="I188" s="7">
        <v>1.2</v>
      </c>
      <c r="J188" s="7">
        <f t="shared" si="12"/>
        <v>12</v>
      </c>
    </row>
    <row r="189" spans="1:10" ht="12.75" customHeight="1">
      <c r="A189" s="10"/>
      <c r="B189" s="10"/>
      <c r="E189" s="137" t="s">
        <v>2403</v>
      </c>
      <c r="F189" s="124">
        <f t="shared" si="14"/>
        <v>33.269999999999996</v>
      </c>
      <c r="G189" s="7" t="s">
        <v>2013</v>
      </c>
      <c r="H189" s="7">
        <f>10</f>
        <v>10</v>
      </c>
      <c r="I189" s="7">
        <v>1.2</v>
      </c>
      <c r="J189" s="7">
        <f t="shared" si="12"/>
        <v>12</v>
      </c>
    </row>
    <row r="190" spans="1:10" ht="12.75" customHeight="1">
      <c r="A190" s="10"/>
      <c r="B190" s="10"/>
      <c r="E190" s="137" t="s">
        <v>2404</v>
      </c>
      <c r="F190" s="124">
        <f t="shared" si="14"/>
        <v>33.269999999999996</v>
      </c>
      <c r="G190" s="135" t="s">
        <v>3336</v>
      </c>
      <c r="H190" s="7">
        <f>10</f>
        <v>10</v>
      </c>
      <c r="I190" s="7">
        <v>1.2</v>
      </c>
      <c r="J190" s="7">
        <f t="shared" si="12"/>
        <v>12</v>
      </c>
    </row>
    <row r="191" spans="1:10" ht="12.75" customHeight="1">
      <c r="A191" s="10"/>
      <c r="B191" s="10"/>
      <c r="E191" s="137" t="s">
        <v>2405</v>
      </c>
      <c r="F191" s="124">
        <f>363.3/5</f>
        <v>72.66</v>
      </c>
      <c r="G191" s="7" t="s">
        <v>2014</v>
      </c>
      <c r="H191" s="7">
        <f>5</f>
        <v>5</v>
      </c>
      <c r="I191" s="7">
        <v>2.4</v>
      </c>
      <c r="J191" s="7">
        <f t="shared" si="12"/>
        <v>12</v>
      </c>
    </row>
    <row r="192" spans="1:10" ht="12.75" customHeight="1">
      <c r="A192" s="10"/>
      <c r="B192" s="10"/>
      <c r="E192" s="137" t="s">
        <v>2406</v>
      </c>
      <c r="F192" s="124">
        <f t="shared" ref="F192:F201" si="15">363.3/5</f>
        <v>72.66</v>
      </c>
      <c r="G192" s="7" t="s">
        <v>2015</v>
      </c>
      <c r="H192" s="7">
        <f>5</f>
        <v>5</v>
      </c>
      <c r="I192" s="7">
        <v>2.4</v>
      </c>
      <c r="J192" s="7">
        <f t="shared" si="12"/>
        <v>12</v>
      </c>
    </row>
    <row r="193" spans="1:16" ht="12.75" customHeight="1">
      <c r="A193" s="10"/>
      <c r="B193" s="10"/>
      <c r="E193" s="137" t="s">
        <v>2407</v>
      </c>
      <c r="F193" s="124">
        <f t="shared" si="15"/>
        <v>72.66</v>
      </c>
      <c r="G193" s="7" t="s">
        <v>2016</v>
      </c>
      <c r="H193" s="7">
        <f>5</f>
        <v>5</v>
      </c>
      <c r="I193" s="7">
        <v>2.4</v>
      </c>
      <c r="J193" s="7">
        <f t="shared" si="12"/>
        <v>12</v>
      </c>
    </row>
    <row r="194" spans="1:16" ht="12.75" customHeight="1">
      <c r="A194" s="10"/>
      <c r="B194" s="10"/>
      <c r="E194" s="137" t="s">
        <v>2408</v>
      </c>
      <c r="F194" s="124">
        <f t="shared" si="15"/>
        <v>72.66</v>
      </c>
      <c r="G194" s="7" t="s">
        <v>2017</v>
      </c>
      <c r="H194" s="7">
        <f>5</f>
        <v>5</v>
      </c>
      <c r="I194" s="7">
        <v>2.4</v>
      </c>
      <c r="J194" s="7">
        <f t="shared" si="12"/>
        <v>12</v>
      </c>
    </row>
    <row r="195" spans="1:16" ht="12.75" customHeight="1">
      <c r="A195" s="10"/>
      <c r="B195" s="10"/>
      <c r="E195" s="137" t="s">
        <v>2409</v>
      </c>
      <c r="F195" s="124">
        <f t="shared" si="15"/>
        <v>72.66</v>
      </c>
      <c r="G195" s="135" t="s">
        <v>3331</v>
      </c>
      <c r="H195" s="7">
        <f>5</f>
        <v>5</v>
      </c>
      <c r="I195" s="7">
        <v>2.4</v>
      </c>
      <c r="J195" s="7">
        <f t="shared" si="12"/>
        <v>12</v>
      </c>
    </row>
    <row r="196" spans="1:16" ht="12.75" customHeight="1">
      <c r="A196" s="10"/>
      <c r="B196" s="10"/>
      <c r="E196" s="137" t="s">
        <v>2410</v>
      </c>
      <c r="F196" s="124">
        <f t="shared" si="15"/>
        <v>72.66</v>
      </c>
      <c r="G196" s="7" t="s">
        <v>2018</v>
      </c>
      <c r="H196" s="7">
        <f>5</f>
        <v>5</v>
      </c>
      <c r="I196" s="7">
        <v>2.4</v>
      </c>
      <c r="J196" s="7">
        <f t="shared" si="12"/>
        <v>12</v>
      </c>
    </row>
    <row r="197" spans="1:16" ht="12.75" customHeight="1">
      <c r="A197" s="10"/>
      <c r="B197" s="10"/>
      <c r="E197" s="137" t="s">
        <v>2411</v>
      </c>
      <c r="F197" s="124">
        <f t="shared" si="15"/>
        <v>72.66</v>
      </c>
      <c r="G197" s="7" t="s">
        <v>2019</v>
      </c>
      <c r="H197" s="7">
        <f>5</f>
        <v>5</v>
      </c>
      <c r="I197" s="7">
        <v>2.4</v>
      </c>
      <c r="J197" s="7">
        <f t="shared" si="12"/>
        <v>12</v>
      </c>
    </row>
    <row r="198" spans="1:16" ht="12.75" customHeight="1">
      <c r="A198" s="10"/>
      <c r="B198" s="10"/>
      <c r="E198" s="137" t="s">
        <v>2412</v>
      </c>
      <c r="F198" s="124">
        <f t="shared" si="15"/>
        <v>72.66</v>
      </c>
      <c r="G198" s="7" t="s">
        <v>2020</v>
      </c>
      <c r="H198" s="7">
        <f>5</f>
        <v>5</v>
      </c>
      <c r="I198" s="7">
        <v>2.4</v>
      </c>
      <c r="J198" s="7">
        <f t="shared" si="12"/>
        <v>12</v>
      </c>
    </row>
    <row r="199" spans="1:16" ht="12.75" customHeight="1">
      <c r="A199" s="10"/>
      <c r="B199" s="10"/>
      <c r="E199" s="137" t="s">
        <v>2413</v>
      </c>
      <c r="F199" s="124">
        <f t="shared" si="15"/>
        <v>72.66</v>
      </c>
      <c r="G199" s="7" t="s">
        <v>2021</v>
      </c>
      <c r="H199" s="7">
        <f>5</f>
        <v>5</v>
      </c>
      <c r="I199" s="7">
        <v>2.4</v>
      </c>
      <c r="J199" s="7">
        <f t="shared" si="12"/>
        <v>12</v>
      </c>
    </row>
    <row r="200" spans="1:16" ht="12.75" customHeight="1">
      <c r="A200" s="10"/>
      <c r="B200" s="10"/>
      <c r="E200" s="137" t="s">
        <v>2414</v>
      </c>
      <c r="F200" s="124">
        <f t="shared" si="15"/>
        <v>72.66</v>
      </c>
      <c r="G200" s="7" t="s">
        <v>2022</v>
      </c>
      <c r="H200" s="7">
        <f>5</f>
        <v>5</v>
      </c>
      <c r="I200" s="7">
        <v>2.4</v>
      </c>
      <c r="J200" s="7">
        <f>H200*I200</f>
        <v>12</v>
      </c>
    </row>
    <row r="201" spans="1:16" ht="12.75" customHeight="1">
      <c r="A201" s="10"/>
      <c r="B201" s="10"/>
      <c r="E201" s="137" t="s">
        <v>2415</v>
      </c>
      <c r="F201" s="124">
        <f t="shared" si="15"/>
        <v>72.66</v>
      </c>
      <c r="G201" s="135" t="s">
        <v>3337</v>
      </c>
      <c r="H201" s="7">
        <f>5</f>
        <v>5</v>
      </c>
      <c r="I201" s="7">
        <v>2.4</v>
      </c>
      <c r="J201" s="7">
        <f>H201*I201</f>
        <v>12</v>
      </c>
    </row>
    <row r="202" spans="1:16" s="4" customFormat="1" ht="12.75" customHeight="1">
      <c r="A202" s="12"/>
      <c r="B202" s="12"/>
      <c r="D202" s="5"/>
      <c r="E202" s="114"/>
      <c r="F202" s="5"/>
      <c r="H202" s="4">
        <f>SUM(H136:H201)</f>
        <v>605</v>
      </c>
      <c r="J202" s="4">
        <f>SUM(J136:J201)</f>
        <v>521.40000000000009</v>
      </c>
      <c r="K202" s="4">
        <v>31</v>
      </c>
      <c r="L202" s="4">
        <f>-485.6-66.8</f>
        <v>-552.4</v>
      </c>
      <c r="O202" s="4">
        <f>SUM(J202:N202)</f>
        <v>0</v>
      </c>
      <c r="P202" s="13" t="s">
        <v>2915</v>
      </c>
    </row>
    <row r="203" spans="1:16" ht="12.75" customHeight="1">
      <c r="A203" s="10">
        <v>43825</v>
      </c>
      <c r="B203" s="10">
        <v>43827</v>
      </c>
      <c r="C203" s="7" t="s">
        <v>1237</v>
      </c>
      <c r="E203" s="128">
        <v>201.11</v>
      </c>
      <c r="F203" s="9">
        <v>62</v>
      </c>
      <c r="G203" s="7" t="s">
        <v>2916</v>
      </c>
      <c r="H203" s="7">
        <v>30</v>
      </c>
      <c r="I203" s="7">
        <v>1.35</v>
      </c>
      <c r="J203" s="7">
        <f>H203*I203</f>
        <v>40.5</v>
      </c>
    </row>
    <row r="204" spans="1:16" s="4" customFormat="1" ht="12.75" customHeight="1">
      <c r="A204" s="12"/>
      <c r="B204" s="12"/>
      <c r="D204" s="5"/>
      <c r="E204" s="114"/>
      <c r="F204" s="5"/>
      <c r="J204" s="4">
        <f>SUM(J203:J203)</f>
        <v>40.5</v>
      </c>
      <c r="K204" s="4">
        <v>7.5</v>
      </c>
      <c r="L204" s="4">
        <v>-48</v>
      </c>
      <c r="O204" s="4">
        <f>SUM(J204:N204)</f>
        <v>0</v>
      </c>
      <c r="P204" s="13" t="s">
        <v>2917</v>
      </c>
    </row>
    <row r="205" spans="1:16" ht="12.75" customHeight="1">
      <c r="A205" s="10">
        <v>43825</v>
      </c>
      <c r="B205" s="10">
        <v>1</v>
      </c>
      <c r="C205" s="7" t="s">
        <v>1239</v>
      </c>
      <c r="E205" s="120" t="s">
        <v>2416</v>
      </c>
      <c r="F205" s="124">
        <f>305.7/10</f>
        <v>30.57</v>
      </c>
      <c r="G205" s="7" t="s">
        <v>1240</v>
      </c>
      <c r="H205" s="7">
        <v>10</v>
      </c>
      <c r="I205" s="7">
        <v>0.72</v>
      </c>
      <c r="J205" s="7">
        <f t="shared" ref="J205:J224" si="16">H205*I205</f>
        <v>7.1999999999999993</v>
      </c>
    </row>
    <row r="206" spans="1:16" ht="12.75" customHeight="1">
      <c r="A206" s="10"/>
      <c r="B206" s="10"/>
      <c r="E206" s="120" t="s">
        <v>2417</v>
      </c>
      <c r="F206" s="124">
        <f>305.7/10</f>
        <v>30.57</v>
      </c>
      <c r="G206" s="7" t="s">
        <v>1241</v>
      </c>
      <c r="H206" s="7">
        <v>10</v>
      </c>
      <c r="I206" s="7">
        <v>0.72</v>
      </c>
      <c r="J206" s="7">
        <f t="shared" si="16"/>
        <v>7.1999999999999993</v>
      </c>
    </row>
    <row r="207" spans="1:16" ht="12.75" customHeight="1">
      <c r="A207" s="10"/>
      <c r="B207" s="10"/>
      <c r="E207" s="120" t="s">
        <v>2418</v>
      </c>
      <c r="F207" s="124">
        <f>305.7/10</f>
        <v>30.57</v>
      </c>
      <c r="G207" s="7" t="s">
        <v>1253</v>
      </c>
      <c r="H207" s="7">
        <v>10</v>
      </c>
      <c r="I207" s="7">
        <v>0.72</v>
      </c>
      <c r="J207" s="7">
        <f t="shared" si="16"/>
        <v>7.1999999999999993</v>
      </c>
    </row>
    <row r="208" spans="1:16" ht="12.75" customHeight="1">
      <c r="A208" s="10"/>
      <c r="B208" s="10"/>
      <c r="E208" s="120" t="s">
        <v>2419</v>
      </c>
      <c r="F208" s="124">
        <f>305.7/10</f>
        <v>30.57</v>
      </c>
      <c r="G208" s="7" t="s">
        <v>1245</v>
      </c>
      <c r="H208" s="7">
        <v>10</v>
      </c>
      <c r="I208" s="7">
        <v>0.72</v>
      </c>
      <c r="J208" s="7">
        <f t="shared" si="16"/>
        <v>7.1999999999999993</v>
      </c>
    </row>
    <row r="209" spans="1:10" ht="12.75" customHeight="1">
      <c r="A209" s="10"/>
      <c r="B209" s="10"/>
      <c r="E209" s="120" t="s">
        <v>2420</v>
      </c>
      <c r="F209" s="124">
        <f t="shared" ref="F209:F223" si="17">305.7/10</f>
        <v>30.57</v>
      </c>
      <c r="G209" s="7" t="s">
        <v>1249</v>
      </c>
      <c r="H209" s="7">
        <v>10</v>
      </c>
      <c r="I209" s="7">
        <v>0.72</v>
      </c>
      <c r="J209" s="7">
        <f t="shared" si="16"/>
        <v>7.1999999999999993</v>
      </c>
    </row>
    <row r="210" spans="1:10" ht="12.75" customHeight="1">
      <c r="A210" s="10"/>
      <c r="B210" s="10"/>
      <c r="E210" s="120" t="s">
        <v>2421</v>
      </c>
      <c r="F210" s="124">
        <f t="shared" si="17"/>
        <v>30.57</v>
      </c>
      <c r="G210" s="7" t="s">
        <v>1251</v>
      </c>
      <c r="H210" s="7">
        <v>5</v>
      </c>
      <c r="I210" s="7">
        <v>0.72</v>
      </c>
      <c r="J210" s="7">
        <f t="shared" si="16"/>
        <v>3.5999999999999996</v>
      </c>
    </row>
    <row r="211" spans="1:10" ht="12.75" customHeight="1">
      <c r="A211" s="10"/>
      <c r="B211" s="10"/>
      <c r="E211" s="120" t="s">
        <v>2422</v>
      </c>
      <c r="F211" s="124">
        <f t="shared" si="17"/>
        <v>30.57</v>
      </c>
      <c r="G211" s="7" t="s">
        <v>1248</v>
      </c>
      <c r="H211" s="7">
        <v>10</v>
      </c>
      <c r="I211" s="7">
        <v>0.72</v>
      </c>
      <c r="J211" s="7">
        <f t="shared" si="16"/>
        <v>7.1999999999999993</v>
      </c>
    </row>
    <row r="212" spans="1:10" ht="12.75" customHeight="1">
      <c r="A212" s="10"/>
      <c r="B212" s="10"/>
      <c r="E212" s="120" t="s">
        <v>2423</v>
      </c>
      <c r="F212" s="124">
        <f t="shared" si="17"/>
        <v>30.57</v>
      </c>
      <c r="G212" s="7" t="s">
        <v>1255</v>
      </c>
      <c r="H212" s="7">
        <v>10</v>
      </c>
      <c r="I212" s="7">
        <v>0.72</v>
      </c>
      <c r="J212" s="7">
        <f t="shared" si="16"/>
        <v>7.1999999999999993</v>
      </c>
    </row>
    <row r="213" spans="1:10" ht="12.75" customHeight="1">
      <c r="A213" s="10"/>
      <c r="B213" s="10"/>
      <c r="E213" s="120" t="s">
        <v>2424</v>
      </c>
      <c r="F213" s="124">
        <f t="shared" si="17"/>
        <v>30.57</v>
      </c>
      <c r="G213" s="7" t="s">
        <v>1250</v>
      </c>
      <c r="H213" s="7">
        <v>10</v>
      </c>
      <c r="I213" s="7">
        <v>0.72</v>
      </c>
      <c r="J213" s="7">
        <f t="shared" si="16"/>
        <v>7.1999999999999993</v>
      </c>
    </row>
    <row r="214" spans="1:10" ht="12.75" customHeight="1">
      <c r="A214" s="10"/>
      <c r="B214" s="10"/>
      <c r="E214" s="120" t="s">
        <v>2425</v>
      </c>
      <c r="F214" s="124">
        <f t="shared" si="17"/>
        <v>30.57</v>
      </c>
      <c r="G214" s="7" t="s">
        <v>1257</v>
      </c>
      <c r="H214" s="7">
        <v>5</v>
      </c>
      <c r="I214" s="7">
        <v>0.72</v>
      </c>
      <c r="J214" s="7">
        <f t="shared" si="16"/>
        <v>3.5999999999999996</v>
      </c>
    </row>
    <row r="215" spans="1:10" ht="12.75" customHeight="1">
      <c r="A215" s="10"/>
      <c r="B215" s="10"/>
      <c r="E215" s="120" t="s">
        <v>2426</v>
      </c>
      <c r="F215" s="124">
        <f t="shared" si="17"/>
        <v>30.57</v>
      </c>
      <c r="G215" s="7" t="s">
        <v>1368</v>
      </c>
      <c r="H215" s="7">
        <v>5</v>
      </c>
      <c r="I215" s="7">
        <v>0.72</v>
      </c>
      <c r="J215" s="7">
        <f t="shared" si="16"/>
        <v>3.5999999999999996</v>
      </c>
    </row>
    <row r="216" spans="1:10" ht="12.75" customHeight="1">
      <c r="A216" s="10"/>
      <c r="B216" s="10"/>
      <c r="E216" s="120" t="s">
        <v>2427</v>
      </c>
      <c r="F216" s="124">
        <f t="shared" si="17"/>
        <v>30.57</v>
      </c>
      <c r="G216" s="7" t="s">
        <v>1252</v>
      </c>
      <c r="H216" s="7">
        <v>3</v>
      </c>
      <c r="I216" s="7">
        <v>0.72</v>
      </c>
      <c r="J216" s="7">
        <f t="shared" si="16"/>
        <v>2.16</v>
      </c>
    </row>
    <row r="217" spans="1:10" ht="12.75" customHeight="1">
      <c r="A217" s="10"/>
      <c r="B217" s="10"/>
      <c r="E217" s="120" t="s">
        <v>2428</v>
      </c>
      <c r="F217" s="124">
        <f t="shared" si="17"/>
        <v>30.57</v>
      </c>
      <c r="G217" s="7" t="s">
        <v>1256</v>
      </c>
      <c r="H217" s="7">
        <v>3</v>
      </c>
      <c r="I217" s="7">
        <v>0.72</v>
      </c>
      <c r="J217" s="7">
        <f t="shared" si="16"/>
        <v>2.16</v>
      </c>
    </row>
    <row r="218" spans="1:10" ht="12.75" customHeight="1">
      <c r="A218" s="10"/>
      <c r="B218" s="10"/>
      <c r="E218" s="120" t="s">
        <v>2429</v>
      </c>
      <c r="F218" s="124">
        <f t="shared" si="17"/>
        <v>30.57</v>
      </c>
      <c r="G218" s="7" t="s">
        <v>1244</v>
      </c>
      <c r="H218" s="7">
        <v>3</v>
      </c>
      <c r="I218" s="7">
        <v>0.72</v>
      </c>
      <c r="J218" s="7">
        <f t="shared" si="16"/>
        <v>2.16</v>
      </c>
    </row>
    <row r="219" spans="1:10" ht="12.75" customHeight="1">
      <c r="A219" s="10"/>
      <c r="B219" s="10"/>
      <c r="E219" s="120" t="s">
        <v>2430</v>
      </c>
      <c r="F219" s="124">
        <f t="shared" si="17"/>
        <v>30.57</v>
      </c>
      <c r="G219" s="7" t="s">
        <v>1254</v>
      </c>
      <c r="H219" s="7">
        <v>3</v>
      </c>
      <c r="I219" s="7">
        <v>0.72</v>
      </c>
      <c r="J219" s="7">
        <f t="shared" si="16"/>
        <v>2.16</v>
      </c>
    </row>
    <row r="220" spans="1:10" ht="12.75" customHeight="1">
      <c r="A220" s="10"/>
      <c r="B220" s="10"/>
      <c r="E220" s="120" t="s">
        <v>2431</v>
      </c>
      <c r="F220" s="124">
        <f t="shared" si="17"/>
        <v>30.57</v>
      </c>
      <c r="G220" s="7" t="s">
        <v>1247</v>
      </c>
      <c r="H220" s="7">
        <v>5</v>
      </c>
      <c r="I220" s="7">
        <v>0.72</v>
      </c>
      <c r="J220" s="7">
        <f t="shared" si="16"/>
        <v>3.5999999999999996</v>
      </c>
    </row>
    <row r="221" spans="1:10" ht="12.75" customHeight="1">
      <c r="A221" s="10"/>
      <c r="B221" s="10"/>
      <c r="E221" s="120" t="s">
        <v>2432</v>
      </c>
      <c r="F221" s="124">
        <f t="shared" si="17"/>
        <v>30.57</v>
      </c>
      <c r="G221" s="7" t="s">
        <v>1242</v>
      </c>
      <c r="H221" s="7">
        <v>5</v>
      </c>
      <c r="I221" s="7">
        <v>0.72</v>
      </c>
      <c r="J221" s="7">
        <f t="shared" si="16"/>
        <v>3.5999999999999996</v>
      </c>
    </row>
    <row r="222" spans="1:10" ht="12.75" customHeight="1">
      <c r="A222" s="10"/>
      <c r="B222" s="10"/>
      <c r="E222" s="120" t="s">
        <v>2433</v>
      </c>
      <c r="F222" s="124">
        <f t="shared" si="17"/>
        <v>30.57</v>
      </c>
      <c r="G222" s="7" t="s">
        <v>1243</v>
      </c>
      <c r="H222" s="7">
        <v>5</v>
      </c>
      <c r="I222" s="7">
        <v>0.72</v>
      </c>
      <c r="J222" s="7">
        <f t="shared" si="16"/>
        <v>3.5999999999999996</v>
      </c>
    </row>
    <row r="223" spans="1:10" ht="12.75" customHeight="1">
      <c r="A223" s="10"/>
      <c r="B223" s="10"/>
      <c r="E223" s="120" t="s">
        <v>2434</v>
      </c>
      <c r="F223" s="124">
        <f t="shared" si="17"/>
        <v>30.57</v>
      </c>
      <c r="G223" s="105" t="s">
        <v>3148</v>
      </c>
      <c r="H223" s="7">
        <v>5</v>
      </c>
      <c r="I223" s="7">
        <v>0.72</v>
      </c>
      <c r="J223" s="7">
        <f t="shared" si="16"/>
        <v>3.5999999999999996</v>
      </c>
    </row>
    <row r="224" spans="1:10" ht="12.75" customHeight="1">
      <c r="A224" s="10"/>
      <c r="B224" s="10"/>
      <c r="E224" s="116" t="s">
        <v>3120</v>
      </c>
      <c r="F224" s="133" t="s">
        <v>3311</v>
      </c>
      <c r="G224" s="51" t="s">
        <v>1246</v>
      </c>
      <c r="H224" s="7">
        <v>3</v>
      </c>
      <c r="I224" s="7">
        <v>0.72</v>
      </c>
      <c r="J224" s="7">
        <f t="shared" si="16"/>
        <v>2.16</v>
      </c>
    </row>
    <row r="225" spans="1:16" s="4" customFormat="1" ht="12.75" customHeight="1">
      <c r="A225" s="12"/>
      <c r="B225" s="12"/>
      <c r="D225" s="5"/>
      <c r="E225" s="114"/>
      <c r="F225" s="5"/>
      <c r="H225" s="4">
        <f>SUM(H205:H224)</f>
        <v>130</v>
      </c>
      <c r="J225" s="4">
        <f>SUM(J205:J224)</f>
        <v>93.599999999999952</v>
      </c>
      <c r="K225" s="4">
        <v>9</v>
      </c>
      <c r="L225" s="4">
        <v>-102.6</v>
      </c>
      <c r="O225" s="4">
        <f>SUM(J225:N225)</f>
        <v>0</v>
      </c>
      <c r="P225" s="13" t="s">
        <v>2918</v>
      </c>
    </row>
    <row r="226" spans="1:16" ht="12.75" customHeight="1">
      <c r="A226" s="10">
        <v>43825</v>
      </c>
      <c r="B226" s="10">
        <v>43827</v>
      </c>
      <c r="C226" s="7" t="s">
        <v>1258</v>
      </c>
      <c r="E226" s="128">
        <v>266.01</v>
      </c>
      <c r="F226" s="9">
        <v>10</v>
      </c>
      <c r="G226" s="7" t="s">
        <v>1259</v>
      </c>
      <c r="H226" s="7">
        <v>30</v>
      </c>
      <c r="I226" s="7">
        <v>0.57999999999999996</v>
      </c>
      <c r="J226" s="7">
        <f>H226*I226</f>
        <v>17.399999999999999</v>
      </c>
    </row>
    <row r="227" spans="1:16" ht="12.75" customHeight="1">
      <c r="A227" s="10"/>
      <c r="B227" s="10"/>
      <c r="E227" s="128">
        <v>266.02</v>
      </c>
      <c r="F227" s="9">
        <v>4</v>
      </c>
      <c r="G227" s="7" t="s">
        <v>1260</v>
      </c>
      <c r="H227" s="7">
        <v>50</v>
      </c>
      <c r="I227" s="7">
        <v>0.25</v>
      </c>
      <c r="J227" s="7">
        <f>H227*I227</f>
        <v>12.5</v>
      </c>
    </row>
    <row r="228" spans="1:16" s="4" customFormat="1" ht="12.75" customHeight="1">
      <c r="A228" s="12"/>
      <c r="B228" s="12"/>
      <c r="D228" s="5"/>
      <c r="E228" s="114"/>
      <c r="F228" s="5"/>
      <c r="J228" s="4">
        <f>SUM(J226:J227)</f>
        <v>29.9</v>
      </c>
      <c r="K228" s="4">
        <v>0</v>
      </c>
      <c r="L228" s="4">
        <v>-29.9</v>
      </c>
      <c r="O228" s="4">
        <f>SUM(J228:N228)</f>
        <v>0</v>
      </c>
      <c r="P228" s="13" t="s">
        <v>2919</v>
      </c>
    </row>
    <row r="229" spans="1:16" ht="12.75" customHeight="1">
      <c r="A229" s="10">
        <v>43825</v>
      </c>
      <c r="B229" s="10">
        <v>1</v>
      </c>
      <c r="C229" s="7" t="s">
        <v>1261</v>
      </c>
      <c r="E229" s="137" t="s">
        <v>2435</v>
      </c>
      <c r="F229" s="9">
        <v>57.6</v>
      </c>
      <c r="G229" s="7" t="s">
        <v>1262</v>
      </c>
      <c r="H229" s="7">
        <v>20</v>
      </c>
      <c r="I229" s="7">
        <v>1.2</v>
      </c>
      <c r="J229" s="7">
        <f>H229*I229</f>
        <v>24</v>
      </c>
    </row>
    <row r="230" spans="1:16" ht="12.75" customHeight="1">
      <c r="A230" s="10"/>
      <c r="B230" s="10"/>
      <c r="E230" s="137" t="s">
        <v>2436</v>
      </c>
      <c r="F230" s="9">
        <v>61.9</v>
      </c>
      <c r="G230" s="7" t="s">
        <v>1263</v>
      </c>
      <c r="H230" s="7">
        <v>20</v>
      </c>
      <c r="I230" s="7">
        <v>1.2</v>
      </c>
      <c r="J230" s="7">
        <f>H230*I230</f>
        <v>24</v>
      </c>
    </row>
    <row r="231" spans="1:16" ht="12.75" customHeight="1">
      <c r="A231" s="10"/>
      <c r="B231" s="10"/>
      <c r="E231" s="137" t="s">
        <v>2437</v>
      </c>
      <c r="F231" s="9">
        <v>80.900000000000006</v>
      </c>
      <c r="G231" s="7" t="s">
        <v>1264</v>
      </c>
      <c r="H231" s="7">
        <v>20</v>
      </c>
      <c r="I231" s="7">
        <v>1.4</v>
      </c>
      <c r="J231" s="7">
        <f>H231*I231</f>
        <v>28</v>
      </c>
    </row>
    <row r="232" spans="1:16" ht="12.75" customHeight="1">
      <c r="A232" s="10"/>
      <c r="B232" s="10"/>
      <c r="E232" s="137" t="s">
        <v>2438</v>
      </c>
      <c r="F232" s="9">
        <v>81.8</v>
      </c>
      <c r="G232" s="7" t="s">
        <v>1265</v>
      </c>
      <c r="H232" s="7">
        <v>20</v>
      </c>
      <c r="I232" s="7">
        <v>1.4</v>
      </c>
      <c r="J232" s="7">
        <f>H232*I232</f>
        <v>28</v>
      </c>
    </row>
    <row r="233" spans="1:16" s="4" customFormat="1" ht="12.75" customHeight="1">
      <c r="A233" s="12"/>
      <c r="B233" s="12"/>
      <c r="D233" s="5"/>
      <c r="E233" s="114"/>
      <c r="F233" s="5"/>
      <c r="J233" s="4">
        <f>SUM(J229:J232)</f>
        <v>104</v>
      </c>
      <c r="K233" s="4">
        <v>0</v>
      </c>
      <c r="L233" s="4">
        <v>-104</v>
      </c>
      <c r="O233" s="4">
        <f>SUM(J233:N233)</f>
        <v>0</v>
      </c>
      <c r="P233" s="13" t="s">
        <v>2920</v>
      </c>
    </row>
    <row r="234" spans="1:16" ht="12.75" customHeight="1">
      <c r="A234" s="10">
        <v>43825</v>
      </c>
      <c r="B234" s="10">
        <v>1</v>
      </c>
      <c r="C234" s="7" t="s">
        <v>1266</v>
      </c>
      <c r="E234" s="137" t="s">
        <v>2439</v>
      </c>
      <c r="F234" s="9">
        <v>39.4</v>
      </c>
      <c r="G234" s="7" t="s">
        <v>1478</v>
      </c>
      <c r="H234" s="7">
        <v>12</v>
      </c>
      <c r="I234" s="7">
        <v>0.88</v>
      </c>
      <c r="J234" s="7">
        <f t="shared" ref="J234:J248" si="18">H234*I234</f>
        <v>10.56</v>
      </c>
    </row>
    <row r="235" spans="1:16" ht="12.75" customHeight="1">
      <c r="A235" s="10"/>
      <c r="B235" s="10"/>
      <c r="E235" s="137" t="s">
        <v>2440</v>
      </c>
      <c r="F235" s="9">
        <f>201.5/5</f>
        <v>40.299999999999997</v>
      </c>
      <c r="G235" s="7" t="s">
        <v>1479</v>
      </c>
      <c r="H235" s="7">
        <v>5</v>
      </c>
      <c r="I235" s="7">
        <v>0.88</v>
      </c>
      <c r="J235" s="7">
        <f t="shared" si="18"/>
        <v>4.4000000000000004</v>
      </c>
    </row>
    <row r="236" spans="1:16" ht="12.75" customHeight="1">
      <c r="A236" s="10"/>
      <c r="B236" s="10"/>
      <c r="E236" s="137" t="s">
        <v>2441</v>
      </c>
      <c r="F236" s="9">
        <f>201.5/5</f>
        <v>40.299999999999997</v>
      </c>
      <c r="G236" s="7" t="s">
        <v>1480</v>
      </c>
      <c r="H236" s="7">
        <v>5</v>
      </c>
      <c r="I236" s="7">
        <v>0.88</v>
      </c>
      <c r="J236" s="7">
        <f t="shared" si="18"/>
        <v>4.4000000000000004</v>
      </c>
    </row>
    <row r="237" spans="1:16" ht="12.75" customHeight="1">
      <c r="A237" s="10"/>
      <c r="B237" s="10"/>
      <c r="E237" s="137" t="s">
        <v>2442</v>
      </c>
      <c r="F237" s="9">
        <f>201.5/5</f>
        <v>40.299999999999997</v>
      </c>
      <c r="G237" s="7" t="s">
        <v>1481</v>
      </c>
      <c r="H237" s="7">
        <v>5</v>
      </c>
      <c r="I237" s="7">
        <v>0.88</v>
      </c>
      <c r="J237" s="7">
        <f t="shared" si="18"/>
        <v>4.4000000000000004</v>
      </c>
    </row>
    <row r="238" spans="1:16" ht="12.75" customHeight="1">
      <c r="A238" s="10"/>
      <c r="B238" s="10"/>
      <c r="E238" s="137" t="s">
        <v>2443</v>
      </c>
      <c r="F238" s="9">
        <f>201.5/5</f>
        <v>40.299999999999997</v>
      </c>
      <c r="G238" s="7" t="s">
        <v>1482</v>
      </c>
      <c r="H238" s="7">
        <v>5</v>
      </c>
      <c r="I238" s="7">
        <v>0.88</v>
      </c>
      <c r="J238" s="7">
        <f t="shared" si="18"/>
        <v>4.4000000000000004</v>
      </c>
    </row>
    <row r="239" spans="1:16" ht="12.75" customHeight="1">
      <c r="A239" s="10"/>
      <c r="B239" s="10"/>
      <c r="E239" s="137" t="s">
        <v>2444</v>
      </c>
      <c r="F239" s="9">
        <f>201.5/5</f>
        <v>40.299999999999997</v>
      </c>
      <c r="G239" s="7" t="s">
        <v>1483</v>
      </c>
      <c r="H239" s="7">
        <v>5</v>
      </c>
      <c r="I239" s="7">
        <v>0.88</v>
      </c>
      <c r="J239" s="7">
        <f t="shared" si="18"/>
        <v>4.4000000000000004</v>
      </c>
    </row>
    <row r="240" spans="1:16" ht="12.75" customHeight="1">
      <c r="A240" s="10"/>
      <c r="B240" s="10"/>
      <c r="E240" s="137" t="s">
        <v>2445</v>
      </c>
      <c r="F240" s="9">
        <f>161/5</f>
        <v>32.200000000000003</v>
      </c>
      <c r="G240" s="7" t="s">
        <v>1484</v>
      </c>
      <c r="H240" s="7">
        <v>5</v>
      </c>
      <c r="I240" s="7">
        <v>0.9</v>
      </c>
      <c r="J240" s="7">
        <f t="shared" si="18"/>
        <v>4.5</v>
      </c>
    </row>
    <row r="241" spans="1:16" ht="12.75" customHeight="1">
      <c r="A241" s="10"/>
      <c r="B241" s="10"/>
      <c r="E241" s="137" t="s">
        <v>2446</v>
      </c>
      <c r="F241" s="9">
        <f>189.4/5</f>
        <v>37.880000000000003</v>
      </c>
      <c r="G241" s="7" t="s">
        <v>1485</v>
      </c>
      <c r="H241" s="7">
        <v>5</v>
      </c>
      <c r="I241" s="7">
        <v>1.05</v>
      </c>
      <c r="J241" s="7">
        <f t="shared" si="18"/>
        <v>5.25</v>
      </c>
    </row>
    <row r="242" spans="1:16" ht="12.75" customHeight="1">
      <c r="A242" s="10"/>
      <c r="B242" s="10"/>
      <c r="E242" s="137" t="s">
        <v>2447</v>
      </c>
      <c r="F242" s="9">
        <f>232.2/3</f>
        <v>77.399999999999991</v>
      </c>
      <c r="G242" s="7" t="s">
        <v>1486</v>
      </c>
      <c r="H242" s="7">
        <v>10</v>
      </c>
      <c r="I242" s="7">
        <v>1.65</v>
      </c>
      <c r="J242" s="7">
        <f t="shared" si="18"/>
        <v>16.5</v>
      </c>
    </row>
    <row r="243" spans="1:16" ht="12.75" customHeight="1">
      <c r="A243" s="10"/>
      <c r="B243" s="10"/>
      <c r="E243" s="137" t="s">
        <v>2448</v>
      </c>
      <c r="F243" s="9">
        <f t="shared" ref="F243:F248" si="19">232.2/3</f>
        <v>77.399999999999991</v>
      </c>
      <c r="G243" s="7" t="s">
        <v>1487</v>
      </c>
      <c r="H243" s="7">
        <v>3</v>
      </c>
      <c r="I243" s="7">
        <v>1.65</v>
      </c>
      <c r="J243" s="7">
        <f t="shared" si="18"/>
        <v>4.9499999999999993</v>
      </c>
    </row>
    <row r="244" spans="1:16" ht="12.75" customHeight="1">
      <c r="A244" s="10"/>
      <c r="B244" s="10"/>
      <c r="E244" s="137" t="s">
        <v>2449</v>
      </c>
      <c r="F244" s="9">
        <f t="shared" si="19"/>
        <v>77.399999999999991</v>
      </c>
      <c r="G244" s="7" t="s">
        <v>1488</v>
      </c>
      <c r="H244" s="7">
        <v>3</v>
      </c>
      <c r="I244" s="7">
        <v>1.65</v>
      </c>
      <c r="J244" s="7">
        <f t="shared" si="18"/>
        <v>4.9499999999999993</v>
      </c>
    </row>
    <row r="245" spans="1:16" ht="12.75" customHeight="1">
      <c r="A245" s="10"/>
      <c r="B245" s="10"/>
      <c r="E245" s="137" t="s">
        <v>2450</v>
      </c>
      <c r="F245" s="9">
        <f t="shared" si="19"/>
        <v>77.399999999999991</v>
      </c>
      <c r="G245" s="7" t="s">
        <v>1489</v>
      </c>
      <c r="H245" s="7">
        <v>3</v>
      </c>
      <c r="I245" s="7">
        <v>1.65</v>
      </c>
      <c r="J245" s="7">
        <f t="shared" si="18"/>
        <v>4.9499999999999993</v>
      </c>
    </row>
    <row r="246" spans="1:16" ht="12.75" customHeight="1">
      <c r="A246" s="10"/>
      <c r="B246" s="10"/>
      <c r="E246" s="137" t="s">
        <v>2451</v>
      </c>
      <c r="F246" s="9">
        <f t="shared" si="19"/>
        <v>77.399999999999991</v>
      </c>
      <c r="G246" s="7" t="s">
        <v>1490</v>
      </c>
      <c r="H246" s="7">
        <v>3</v>
      </c>
      <c r="I246" s="7">
        <v>1.65</v>
      </c>
      <c r="J246" s="7">
        <f t="shared" si="18"/>
        <v>4.9499999999999993</v>
      </c>
    </row>
    <row r="247" spans="1:16" ht="12.75" customHeight="1">
      <c r="A247" s="10"/>
      <c r="B247" s="10"/>
      <c r="E247" s="137" t="s">
        <v>2452</v>
      </c>
      <c r="F247" s="9">
        <f t="shared" si="19"/>
        <v>77.399999999999991</v>
      </c>
      <c r="G247" s="7" t="s">
        <v>1491</v>
      </c>
      <c r="H247" s="7">
        <v>3</v>
      </c>
      <c r="I247" s="7">
        <v>1.65</v>
      </c>
      <c r="J247" s="7">
        <f t="shared" si="18"/>
        <v>4.9499999999999993</v>
      </c>
    </row>
    <row r="248" spans="1:16" ht="12.75" customHeight="1">
      <c r="A248" s="10"/>
      <c r="B248" s="10"/>
      <c r="E248" s="137" t="s">
        <v>2453</v>
      </c>
      <c r="F248" s="9">
        <f t="shared" si="19"/>
        <v>77.399999999999991</v>
      </c>
      <c r="G248" s="7" t="s">
        <v>1492</v>
      </c>
      <c r="H248" s="7">
        <v>4</v>
      </c>
      <c r="I248" s="7">
        <v>1.7</v>
      </c>
      <c r="J248" s="7">
        <f t="shared" si="18"/>
        <v>6.8</v>
      </c>
    </row>
    <row r="249" spans="1:16" s="4" customFormat="1" ht="12.75" customHeight="1">
      <c r="A249" s="12"/>
      <c r="B249" s="12"/>
      <c r="D249" s="5"/>
      <c r="E249" s="114"/>
      <c r="F249" s="5"/>
      <c r="H249" s="4">
        <f>SUM(H234:H248)</f>
        <v>76</v>
      </c>
      <c r="J249" s="4">
        <f>SUM(J234:J248)</f>
        <v>90.36</v>
      </c>
      <c r="K249" s="4">
        <v>18.2</v>
      </c>
      <c r="L249" s="4">
        <v>-108.56</v>
      </c>
      <c r="O249" s="4">
        <f>SUM(J249:N249)</f>
        <v>0</v>
      </c>
      <c r="P249" s="13" t="s">
        <v>2921</v>
      </c>
    </row>
    <row r="250" spans="1:16" ht="12.75" customHeight="1">
      <c r="A250" s="10">
        <v>43825</v>
      </c>
      <c r="B250" s="10">
        <v>43827</v>
      </c>
      <c r="C250" s="7" t="s">
        <v>1267</v>
      </c>
      <c r="E250" s="128">
        <v>203.01</v>
      </c>
      <c r="F250" s="9">
        <v>25</v>
      </c>
      <c r="G250" s="7" t="s">
        <v>1493</v>
      </c>
      <c r="H250" s="7">
        <v>10</v>
      </c>
      <c r="I250" s="7">
        <v>1.3</v>
      </c>
      <c r="J250" s="7">
        <f>H250*I250</f>
        <v>13</v>
      </c>
    </row>
    <row r="251" spans="1:16" ht="12.75" customHeight="1">
      <c r="A251" s="10"/>
      <c r="B251" s="10"/>
      <c r="E251" s="128">
        <v>203.02</v>
      </c>
      <c r="F251" s="9">
        <v>53</v>
      </c>
      <c r="G251" s="7" t="s">
        <v>1494</v>
      </c>
      <c r="H251" s="7">
        <v>10</v>
      </c>
      <c r="I251" s="7">
        <v>2.5</v>
      </c>
      <c r="J251" s="7">
        <f>H251*I251</f>
        <v>25</v>
      </c>
    </row>
    <row r="252" spans="1:16" s="4" customFormat="1" ht="12.75" customHeight="1">
      <c r="A252" s="12"/>
      <c r="B252" s="12"/>
      <c r="D252" s="5"/>
      <c r="E252" s="114"/>
      <c r="F252" s="5"/>
      <c r="J252" s="4">
        <f>SUM(J250:J251)</f>
        <v>38</v>
      </c>
      <c r="K252" s="4">
        <v>0</v>
      </c>
      <c r="L252" s="4">
        <v>-37.9</v>
      </c>
      <c r="N252" s="4">
        <v>-0.1</v>
      </c>
      <c r="O252" s="4">
        <f>SUM(J252:N252)</f>
        <v>1.4155343563970746E-15</v>
      </c>
      <c r="P252" s="13" t="s">
        <v>2922</v>
      </c>
    </row>
    <row r="253" spans="1:16" ht="12.75" customHeight="1">
      <c r="A253" s="10">
        <v>43825</v>
      </c>
      <c r="B253" s="10">
        <v>1</v>
      </c>
      <c r="C253" s="7" t="s">
        <v>1268</v>
      </c>
      <c r="E253" s="128">
        <v>206.01</v>
      </c>
      <c r="F253" s="9">
        <v>120</v>
      </c>
      <c r="G253" s="7" t="s">
        <v>1495</v>
      </c>
      <c r="H253" s="7">
        <v>8</v>
      </c>
      <c r="I253" s="7">
        <v>1.9</v>
      </c>
      <c r="J253" s="7">
        <f>H253*I253</f>
        <v>15.2</v>
      </c>
    </row>
    <row r="254" spans="1:16" ht="12.75" customHeight="1">
      <c r="A254" s="10"/>
      <c r="B254" s="10"/>
      <c r="E254" s="128">
        <v>206.02</v>
      </c>
      <c r="F254" s="9">
        <v>168</v>
      </c>
      <c r="G254" s="7" t="s">
        <v>1496</v>
      </c>
      <c r="H254" s="7">
        <v>3</v>
      </c>
      <c r="I254" s="7">
        <v>2.8</v>
      </c>
      <c r="J254" s="7">
        <f>H254*I254</f>
        <v>8.3999999999999986</v>
      </c>
    </row>
    <row r="255" spans="1:16" s="4" customFormat="1" ht="12.75" customHeight="1">
      <c r="A255" s="12"/>
      <c r="B255" s="12"/>
      <c r="D255" s="5"/>
      <c r="E255" s="114"/>
      <c r="F255" s="5"/>
      <c r="J255" s="4">
        <f>SUM(J253:J254)</f>
        <v>23.599999999999998</v>
      </c>
      <c r="K255" s="4">
        <v>9</v>
      </c>
      <c r="L255" s="4">
        <v>-32.6</v>
      </c>
      <c r="O255" s="4">
        <f>SUM(J255:N255)</f>
        <v>0</v>
      </c>
      <c r="P255" s="13" t="s">
        <v>2923</v>
      </c>
    </row>
    <row r="256" spans="1:16" ht="12.75" customHeight="1">
      <c r="A256" s="10">
        <v>43825</v>
      </c>
      <c r="B256" s="10">
        <v>1</v>
      </c>
      <c r="C256" s="7" t="s">
        <v>1269</v>
      </c>
      <c r="E256" s="120" t="s">
        <v>2454</v>
      </c>
      <c r="F256" s="9">
        <v>36.299999999999997</v>
      </c>
      <c r="G256" s="7" t="s">
        <v>1497</v>
      </c>
      <c r="H256" s="7">
        <v>3</v>
      </c>
      <c r="I256" s="7">
        <v>2.5</v>
      </c>
      <c r="J256" s="7">
        <f t="shared" ref="J256:J303" si="20">H256*I256</f>
        <v>7.5</v>
      </c>
    </row>
    <row r="257" spans="1:10" ht="12.75" customHeight="1">
      <c r="A257" s="10"/>
      <c r="B257" s="10"/>
      <c r="E257" s="120" t="s">
        <v>2455</v>
      </c>
      <c r="F257" s="9">
        <v>36.299999999999997</v>
      </c>
      <c r="G257" s="7" t="s">
        <v>1498</v>
      </c>
      <c r="H257" s="7">
        <v>3</v>
      </c>
      <c r="I257" s="7">
        <v>2.5</v>
      </c>
      <c r="J257" s="7">
        <f t="shared" si="20"/>
        <v>7.5</v>
      </c>
    </row>
    <row r="258" spans="1:10" ht="12.75" customHeight="1">
      <c r="A258" s="10"/>
      <c r="B258" s="10"/>
      <c r="E258" s="120" t="s">
        <v>2456</v>
      </c>
      <c r="F258" s="9">
        <v>36.299999999999997</v>
      </c>
      <c r="G258" s="7" t="s">
        <v>1499</v>
      </c>
      <c r="H258" s="7">
        <v>3</v>
      </c>
      <c r="I258" s="7">
        <v>2.5</v>
      </c>
      <c r="J258" s="7">
        <f t="shared" si="20"/>
        <v>7.5</v>
      </c>
    </row>
    <row r="259" spans="1:10" ht="12.75" customHeight="1">
      <c r="A259" s="10"/>
      <c r="B259" s="10"/>
      <c r="E259" s="120" t="s">
        <v>2457</v>
      </c>
      <c r="F259" s="9">
        <v>36.299999999999997</v>
      </c>
      <c r="G259" s="7" t="s">
        <v>1500</v>
      </c>
      <c r="H259" s="7">
        <v>3</v>
      </c>
      <c r="I259" s="7">
        <v>2.5</v>
      </c>
      <c r="J259" s="7">
        <f t="shared" si="20"/>
        <v>7.5</v>
      </c>
    </row>
    <row r="260" spans="1:10" ht="12.75" customHeight="1">
      <c r="A260" s="10"/>
      <c r="B260" s="10"/>
      <c r="E260" s="120" t="s">
        <v>2458</v>
      </c>
      <c r="F260" s="9">
        <v>36.299999999999997</v>
      </c>
      <c r="G260" s="7" t="s">
        <v>1369</v>
      </c>
      <c r="H260" s="7">
        <v>3</v>
      </c>
      <c r="I260" s="7">
        <v>2.5</v>
      </c>
      <c r="J260" s="7">
        <f t="shared" si="20"/>
        <v>7.5</v>
      </c>
    </row>
    <row r="261" spans="1:10" ht="12.75" customHeight="1">
      <c r="A261" s="10"/>
      <c r="B261" s="10"/>
      <c r="E261" s="120" t="s">
        <v>2459</v>
      </c>
      <c r="F261" s="9">
        <v>36.299999999999997</v>
      </c>
      <c r="G261" s="7" t="s">
        <v>1501</v>
      </c>
      <c r="H261" s="7">
        <v>3</v>
      </c>
      <c r="I261" s="7">
        <v>2.5</v>
      </c>
      <c r="J261" s="7">
        <f t="shared" si="20"/>
        <v>7.5</v>
      </c>
    </row>
    <row r="262" spans="1:10" ht="12.75" customHeight="1">
      <c r="A262" s="10"/>
      <c r="B262" s="10"/>
      <c r="E262" s="120" t="s">
        <v>2460</v>
      </c>
      <c r="F262" s="9">
        <v>36.299999999999997</v>
      </c>
      <c r="G262" s="7" t="s">
        <v>1502</v>
      </c>
      <c r="H262" s="7">
        <v>3</v>
      </c>
      <c r="I262" s="7">
        <v>2.5</v>
      </c>
      <c r="J262" s="7">
        <f t="shared" si="20"/>
        <v>7.5</v>
      </c>
    </row>
    <row r="263" spans="1:10" ht="12.75" customHeight="1">
      <c r="A263" s="10"/>
      <c r="B263" s="10"/>
      <c r="E263" s="120" t="s">
        <v>2461</v>
      </c>
      <c r="F263" s="9">
        <v>36.299999999999997</v>
      </c>
      <c r="G263" s="7" t="s">
        <v>1503</v>
      </c>
      <c r="H263" s="7">
        <v>3</v>
      </c>
      <c r="I263" s="7">
        <v>2.5</v>
      </c>
      <c r="J263" s="7">
        <f t="shared" si="20"/>
        <v>7.5</v>
      </c>
    </row>
    <row r="264" spans="1:10" ht="12.75" customHeight="1">
      <c r="A264" s="10"/>
      <c r="B264" s="10"/>
      <c r="E264" s="120" t="s">
        <v>2462</v>
      </c>
      <c r="F264" s="9">
        <v>36.299999999999997</v>
      </c>
      <c r="G264" s="7" t="s">
        <v>1504</v>
      </c>
      <c r="H264" s="7">
        <v>3</v>
      </c>
      <c r="I264" s="7">
        <v>2.5</v>
      </c>
      <c r="J264" s="7">
        <f t="shared" si="20"/>
        <v>7.5</v>
      </c>
    </row>
    <row r="265" spans="1:10" ht="12.75" customHeight="1">
      <c r="A265" s="10"/>
      <c r="B265" s="10"/>
      <c r="E265" s="120" t="s">
        <v>2463</v>
      </c>
      <c r="F265" s="9">
        <v>36.299999999999997</v>
      </c>
      <c r="G265" s="7" t="s">
        <v>1505</v>
      </c>
      <c r="H265" s="7">
        <v>3</v>
      </c>
      <c r="I265" s="7">
        <v>2.5</v>
      </c>
      <c r="J265" s="7">
        <f t="shared" si="20"/>
        <v>7.5</v>
      </c>
    </row>
    <row r="266" spans="1:10" ht="12.75" customHeight="1">
      <c r="A266" s="10"/>
      <c r="B266" s="10"/>
      <c r="E266" s="120" t="s">
        <v>2464</v>
      </c>
      <c r="F266" s="9">
        <v>36.299999999999997</v>
      </c>
      <c r="G266" s="7" t="s">
        <v>1506</v>
      </c>
      <c r="H266" s="7">
        <v>3</v>
      </c>
      <c r="I266" s="7">
        <v>2.5</v>
      </c>
      <c r="J266" s="7">
        <f t="shared" si="20"/>
        <v>7.5</v>
      </c>
    </row>
    <row r="267" spans="1:10" ht="12.75" customHeight="1">
      <c r="A267" s="10"/>
      <c r="B267" s="10"/>
      <c r="C267" s="9"/>
      <c r="E267" s="120" t="s">
        <v>2465</v>
      </c>
      <c r="F267" s="9">
        <v>36.299999999999997</v>
      </c>
      <c r="G267" s="7" t="s">
        <v>1507</v>
      </c>
      <c r="H267" s="7">
        <v>3</v>
      </c>
      <c r="I267" s="7">
        <v>2.5</v>
      </c>
      <c r="J267" s="7">
        <f t="shared" si="20"/>
        <v>7.5</v>
      </c>
    </row>
    <row r="268" spans="1:10" ht="12.75" customHeight="1">
      <c r="A268" s="10"/>
      <c r="B268" s="10"/>
      <c r="C268" s="9"/>
      <c r="D268" s="3"/>
      <c r="E268" s="120" t="s">
        <v>2466</v>
      </c>
      <c r="F268" s="9">
        <v>9.5</v>
      </c>
      <c r="G268" s="1" t="s">
        <v>1270</v>
      </c>
      <c r="H268" s="7">
        <v>5</v>
      </c>
      <c r="I268" s="7">
        <v>0.55000000000000004</v>
      </c>
      <c r="J268" s="7">
        <f t="shared" si="20"/>
        <v>2.75</v>
      </c>
    </row>
    <row r="269" spans="1:10" ht="12.75" customHeight="1">
      <c r="A269" s="10"/>
      <c r="B269" s="10"/>
      <c r="D269" s="3"/>
      <c r="E269" s="120" t="s">
        <v>2467</v>
      </c>
      <c r="F269" s="9">
        <v>9.5</v>
      </c>
      <c r="G269" s="1" t="s">
        <v>1283</v>
      </c>
      <c r="H269" s="7">
        <v>5</v>
      </c>
      <c r="I269" s="7">
        <v>0.55000000000000004</v>
      </c>
      <c r="J269" s="7">
        <f t="shared" si="20"/>
        <v>2.75</v>
      </c>
    </row>
    <row r="270" spans="1:10" ht="12.75" customHeight="1">
      <c r="A270" s="10"/>
      <c r="B270" s="10"/>
      <c r="D270" s="3"/>
      <c r="E270" s="120" t="s">
        <v>2468</v>
      </c>
      <c r="F270" s="9">
        <v>9.5</v>
      </c>
      <c r="G270" s="1" t="s">
        <v>1271</v>
      </c>
      <c r="H270" s="7">
        <v>5</v>
      </c>
      <c r="I270" s="7">
        <v>0.55000000000000004</v>
      </c>
      <c r="J270" s="7">
        <f t="shared" si="20"/>
        <v>2.75</v>
      </c>
    </row>
    <row r="271" spans="1:10" ht="12.75" customHeight="1">
      <c r="A271" s="10"/>
      <c r="B271" s="10"/>
      <c r="D271" s="3"/>
      <c r="E271" s="120" t="s">
        <v>2469</v>
      </c>
      <c r="F271" s="9">
        <v>9.5</v>
      </c>
      <c r="G271" s="1" t="s">
        <v>1272</v>
      </c>
      <c r="H271" s="7">
        <v>5</v>
      </c>
      <c r="I271" s="7">
        <v>0.55000000000000004</v>
      </c>
      <c r="J271" s="7">
        <f t="shared" si="20"/>
        <v>2.75</v>
      </c>
    </row>
    <row r="272" spans="1:10" ht="12.75" customHeight="1">
      <c r="A272" s="10"/>
      <c r="B272" s="10"/>
      <c r="D272" s="3"/>
      <c r="E272" s="120" t="s">
        <v>2470</v>
      </c>
      <c r="F272" s="9">
        <v>9.5</v>
      </c>
      <c r="G272" s="1" t="s">
        <v>1273</v>
      </c>
      <c r="H272" s="7">
        <v>5</v>
      </c>
      <c r="I272" s="7">
        <v>0.55000000000000004</v>
      </c>
      <c r="J272" s="7">
        <f t="shared" si="20"/>
        <v>2.75</v>
      </c>
    </row>
    <row r="273" spans="1:10" ht="12.75" customHeight="1">
      <c r="A273" s="10"/>
      <c r="B273" s="10"/>
      <c r="D273" s="3"/>
      <c r="E273" s="120" t="s">
        <v>2471</v>
      </c>
      <c r="F273" s="9">
        <v>9.5</v>
      </c>
      <c r="G273" s="1" t="s">
        <v>1370</v>
      </c>
      <c r="H273" s="7">
        <v>5</v>
      </c>
      <c r="I273" s="7">
        <v>0.55000000000000004</v>
      </c>
      <c r="J273" s="7">
        <f t="shared" si="20"/>
        <v>2.75</v>
      </c>
    </row>
    <row r="274" spans="1:10" ht="12.75" customHeight="1">
      <c r="A274" s="10"/>
      <c r="B274" s="10"/>
      <c r="D274" s="3"/>
      <c r="E274" s="120" t="s">
        <v>2472</v>
      </c>
      <c r="F274" s="9">
        <v>9.5</v>
      </c>
      <c r="G274" s="1" t="s">
        <v>1274</v>
      </c>
      <c r="H274" s="7">
        <v>5</v>
      </c>
      <c r="I274" s="7">
        <v>0.55000000000000004</v>
      </c>
      <c r="J274" s="7">
        <f t="shared" si="20"/>
        <v>2.75</v>
      </c>
    </row>
    <row r="275" spans="1:10" ht="12.75" customHeight="1">
      <c r="A275" s="10"/>
      <c r="B275" s="10"/>
      <c r="D275" s="3"/>
      <c r="E275" s="120" t="s">
        <v>3153</v>
      </c>
      <c r="F275" s="9">
        <v>9.5</v>
      </c>
      <c r="G275" s="1" t="s">
        <v>1275</v>
      </c>
      <c r="H275" s="7">
        <v>5</v>
      </c>
      <c r="I275" s="7">
        <v>0.55000000000000004</v>
      </c>
      <c r="J275" s="7">
        <f t="shared" si="20"/>
        <v>2.75</v>
      </c>
    </row>
    <row r="276" spans="1:10" ht="12.75" customHeight="1">
      <c r="A276" s="10"/>
      <c r="B276" s="10"/>
      <c r="D276" s="3"/>
      <c r="E276" s="120" t="s">
        <v>2473</v>
      </c>
      <c r="F276" s="9">
        <v>9.5</v>
      </c>
      <c r="G276" s="1" t="s">
        <v>1276</v>
      </c>
      <c r="H276" s="7">
        <v>5</v>
      </c>
      <c r="I276" s="7">
        <v>0.55000000000000004</v>
      </c>
      <c r="J276" s="7">
        <f t="shared" si="20"/>
        <v>2.75</v>
      </c>
    </row>
    <row r="277" spans="1:10" ht="12.75" customHeight="1">
      <c r="A277" s="10"/>
      <c r="B277" s="10"/>
      <c r="D277" s="3"/>
      <c r="E277" s="120" t="s">
        <v>2474</v>
      </c>
      <c r="F277" s="9">
        <v>9.5</v>
      </c>
      <c r="G277" s="1" t="s">
        <v>1298</v>
      </c>
      <c r="H277" s="7">
        <v>5</v>
      </c>
      <c r="I277" s="7">
        <v>0.55000000000000004</v>
      </c>
      <c r="J277" s="7">
        <f t="shared" si="20"/>
        <v>2.75</v>
      </c>
    </row>
    <row r="278" spans="1:10" ht="12.75" customHeight="1">
      <c r="A278" s="10"/>
      <c r="B278" s="10"/>
      <c r="D278" s="3"/>
      <c r="E278" s="120" t="s">
        <v>2475</v>
      </c>
      <c r="F278" s="9">
        <v>9.5</v>
      </c>
      <c r="G278" s="1" t="s">
        <v>1277</v>
      </c>
      <c r="H278" s="7">
        <v>5</v>
      </c>
      <c r="I278" s="7">
        <v>0.55000000000000004</v>
      </c>
      <c r="J278" s="7">
        <f t="shared" si="20"/>
        <v>2.75</v>
      </c>
    </row>
    <row r="279" spans="1:10" ht="12.75" customHeight="1">
      <c r="A279" s="10"/>
      <c r="B279" s="10"/>
      <c r="D279" s="3"/>
      <c r="E279" s="120" t="s">
        <v>2476</v>
      </c>
      <c r="F279" s="9">
        <v>9.5</v>
      </c>
      <c r="G279" s="1" t="s">
        <v>1278</v>
      </c>
      <c r="H279" s="7">
        <v>5</v>
      </c>
      <c r="I279" s="7">
        <v>0.55000000000000004</v>
      </c>
      <c r="J279" s="7">
        <f t="shared" si="20"/>
        <v>2.75</v>
      </c>
    </row>
    <row r="280" spans="1:10" ht="12.75" customHeight="1">
      <c r="A280" s="10"/>
      <c r="B280" s="10"/>
      <c r="D280" s="3"/>
      <c r="E280" s="120" t="s">
        <v>2477</v>
      </c>
      <c r="F280" s="9">
        <v>9.5</v>
      </c>
      <c r="G280" s="1" t="s">
        <v>1279</v>
      </c>
      <c r="H280" s="7">
        <v>5</v>
      </c>
      <c r="I280" s="7">
        <v>0.55000000000000004</v>
      </c>
      <c r="J280" s="7">
        <f t="shared" si="20"/>
        <v>2.75</v>
      </c>
    </row>
    <row r="281" spans="1:10" ht="12.75" customHeight="1">
      <c r="A281" s="10"/>
      <c r="B281" s="10"/>
      <c r="D281" s="3"/>
      <c r="E281" s="120" t="s">
        <v>2478</v>
      </c>
      <c r="F281" s="9">
        <v>9.5</v>
      </c>
      <c r="G281" s="1" t="s">
        <v>1280</v>
      </c>
      <c r="H281" s="7">
        <v>5</v>
      </c>
      <c r="I281" s="7">
        <v>0.55000000000000004</v>
      </c>
      <c r="J281" s="7">
        <f t="shared" si="20"/>
        <v>2.75</v>
      </c>
    </row>
    <row r="282" spans="1:10" ht="12.75" customHeight="1">
      <c r="A282" s="10"/>
      <c r="B282" s="10"/>
      <c r="D282" s="3"/>
      <c r="E282" s="120" t="s">
        <v>2479</v>
      </c>
      <c r="F282" s="9">
        <v>9.5</v>
      </c>
      <c r="G282" s="1" t="s">
        <v>1282</v>
      </c>
      <c r="H282" s="7">
        <v>5</v>
      </c>
      <c r="I282" s="7">
        <v>0.55000000000000004</v>
      </c>
      <c r="J282" s="7">
        <f t="shared" si="20"/>
        <v>2.75</v>
      </c>
    </row>
    <row r="283" spans="1:10" ht="12.75" customHeight="1">
      <c r="A283" s="10"/>
      <c r="B283" s="10"/>
      <c r="D283" s="3"/>
      <c r="E283" s="120" t="s">
        <v>2480</v>
      </c>
      <c r="F283" s="9">
        <v>9.5</v>
      </c>
      <c r="G283" s="1" t="s">
        <v>1281</v>
      </c>
      <c r="H283" s="7">
        <v>5</v>
      </c>
      <c r="I283" s="7">
        <v>0.55000000000000004</v>
      </c>
      <c r="J283" s="7">
        <f t="shared" si="20"/>
        <v>2.75</v>
      </c>
    </row>
    <row r="284" spans="1:10" ht="12.75" customHeight="1">
      <c r="A284" s="10"/>
      <c r="B284" s="10"/>
      <c r="D284" s="3"/>
      <c r="E284" s="120" t="s">
        <v>2481</v>
      </c>
      <c r="F284" s="9">
        <v>9.5</v>
      </c>
      <c r="G284" s="1" t="s">
        <v>1371</v>
      </c>
      <c r="H284" s="7">
        <v>5</v>
      </c>
      <c r="I284" s="7">
        <v>0.55000000000000004</v>
      </c>
      <c r="J284" s="7">
        <f t="shared" si="20"/>
        <v>2.75</v>
      </c>
    </row>
    <row r="285" spans="1:10" ht="12.75" customHeight="1">
      <c r="A285" s="10"/>
      <c r="B285" s="10"/>
      <c r="C285" s="9"/>
      <c r="D285" s="3"/>
      <c r="E285" s="120" t="s">
        <v>2482</v>
      </c>
      <c r="F285" s="9">
        <v>9.5</v>
      </c>
      <c r="G285" s="1" t="s">
        <v>1284</v>
      </c>
      <c r="H285" s="7">
        <v>5</v>
      </c>
      <c r="I285" s="7">
        <v>0.55000000000000004</v>
      </c>
      <c r="J285" s="7">
        <f t="shared" si="20"/>
        <v>2.75</v>
      </c>
    </row>
    <row r="286" spans="1:10" ht="12.75" customHeight="1">
      <c r="A286" s="10"/>
      <c r="B286" s="10"/>
      <c r="D286" s="3"/>
      <c r="E286" s="120" t="s">
        <v>2483</v>
      </c>
      <c r="F286" s="9">
        <v>20</v>
      </c>
      <c r="G286" s="1" t="s">
        <v>1299</v>
      </c>
      <c r="H286" s="7">
        <v>3</v>
      </c>
      <c r="I286" s="7">
        <v>1.1000000000000001</v>
      </c>
      <c r="J286" s="7">
        <f t="shared" si="20"/>
        <v>3.3000000000000003</v>
      </c>
    </row>
    <row r="287" spans="1:10" ht="12.75" customHeight="1">
      <c r="A287" s="10"/>
      <c r="B287" s="10"/>
      <c r="D287" s="3"/>
      <c r="E287" s="120" t="s">
        <v>2484</v>
      </c>
      <c r="F287" s="9">
        <v>20</v>
      </c>
      <c r="G287" s="1" t="s">
        <v>3152</v>
      </c>
      <c r="H287" s="7">
        <v>3</v>
      </c>
      <c r="I287" s="7">
        <v>1.1000000000000001</v>
      </c>
      <c r="J287" s="7">
        <f t="shared" si="20"/>
        <v>3.3000000000000003</v>
      </c>
    </row>
    <row r="288" spans="1:10" ht="12.75" customHeight="1">
      <c r="A288" s="10"/>
      <c r="B288" s="10"/>
      <c r="D288" s="3"/>
      <c r="E288" s="120" t="s">
        <v>2485</v>
      </c>
      <c r="F288" s="9">
        <v>20</v>
      </c>
      <c r="G288" s="1" t="s">
        <v>1285</v>
      </c>
      <c r="H288" s="7">
        <v>3</v>
      </c>
      <c r="I288" s="7">
        <v>1.1000000000000001</v>
      </c>
      <c r="J288" s="7">
        <f t="shared" si="20"/>
        <v>3.3000000000000003</v>
      </c>
    </row>
    <row r="289" spans="1:16" ht="12.75" customHeight="1">
      <c r="A289" s="10"/>
      <c r="B289" s="10"/>
      <c r="D289" s="3"/>
      <c r="E289" s="120" t="s">
        <v>2486</v>
      </c>
      <c r="F289" s="9">
        <v>20</v>
      </c>
      <c r="G289" s="1" t="s">
        <v>1286</v>
      </c>
      <c r="H289" s="7">
        <v>3</v>
      </c>
      <c r="I289" s="7">
        <v>1.1000000000000001</v>
      </c>
      <c r="J289" s="7">
        <f t="shared" si="20"/>
        <v>3.3000000000000003</v>
      </c>
    </row>
    <row r="290" spans="1:16" ht="12.75" customHeight="1">
      <c r="A290" s="10"/>
      <c r="B290" s="10"/>
      <c r="D290" s="3"/>
      <c r="E290" s="120" t="s">
        <v>2487</v>
      </c>
      <c r="F290" s="9">
        <v>20</v>
      </c>
      <c r="G290" s="1" t="s">
        <v>1287</v>
      </c>
      <c r="H290" s="7">
        <v>3</v>
      </c>
      <c r="I290" s="7">
        <v>1.1000000000000001</v>
      </c>
      <c r="J290" s="7">
        <f t="shared" si="20"/>
        <v>3.3000000000000003</v>
      </c>
    </row>
    <row r="291" spans="1:16" ht="12.75" customHeight="1">
      <c r="A291" s="10"/>
      <c r="B291" s="10"/>
      <c r="D291" s="3"/>
      <c r="E291" s="120" t="s">
        <v>2488</v>
      </c>
      <c r="F291" s="9">
        <v>20</v>
      </c>
      <c r="G291" s="1" t="s">
        <v>1373</v>
      </c>
      <c r="H291" s="7">
        <v>3</v>
      </c>
      <c r="I291" s="7">
        <v>1.1000000000000001</v>
      </c>
      <c r="J291" s="7">
        <f t="shared" si="20"/>
        <v>3.3000000000000003</v>
      </c>
    </row>
    <row r="292" spans="1:16" ht="12.75" customHeight="1">
      <c r="A292" s="10"/>
      <c r="B292" s="10"/>
      <c r="D292" s="3"/>
      <c r="E292" s="120" t="s">
        <v>2489</v>
      </c>
      <c r="F292" s="9">
        <v>20</v>
      </c>
      <c r="G292" s="1" t="s">
        <v>1288</v>
      </c>
      <c r="H292" s="7">
        <v>3</v>
      </c>
      <c r="I292" s="7">
        <v>1.1000000000000001</v>
      </c>
      <c r="J292" s="7">
        <f t="shared" si="20"/>
        <v>3.3000000000000003</v>
      </c>
    </row>
    <row r="293" spans="1:16" ht="12.75" customHeight="1">
      <c r="A293" s="10"/>
      <c r="B293" s="10"/>
      <c r="D293" s="3"/>
      <c r="E293" s="120" t="s">
        <v>2490</v>
      </c>
      <c r="F293" s="9">
        <v>20</v>
      </c>
      <c r="G293" s="1" t="s">
        <v>1289</v>
      </c>
      <c r="H293" s="7">
        <v>3</v>
      </c>
      <c r="I293" s="7">
        <v>1.1000000000000001</v>
      </c>
      <c r="J293" s="7">
        <f t="shared" si="20"/>
        <v>3.3000000000000003</v>
      </c>
    </row>
    <row r="294" spans="1:16" ht="12.75" customHeight="1">
      <c r="A294" s="10"/>
      <c r="B294" s="10"/>
      <c r="D294" s="3"/>
      <c r="E294" s="120" t="s">
        <v>2491</v>
      </c>
      <c r="F294" s="9">
        <v>20</v>
      </c>
      <c r="G294" s="1" t="s">
        <v>1290</v>
      </c>
      <c r="H294" s="7">
        <v>3</v>
      </c>
      <c r="I294" s="7">
        <v>1.1000000000000001</v>
      </c>
      <c r="J294" s="7">
        <f t="shared" si="20"/>
        <v>3.3000000000000003</v>
      </c>
    </row>
    <row r="295" spans="1:16" ht="12.75" customHeight="1">
      <c r="A295" s="10"/>
      <c r="B295" s="10"/>
      <c r="D295" s="3"/>
      <c r="E295" s="120" t="s">
        <v>2492</v>
      </c>
      <c r="F295" s="9">
        <v>20</v>
      </c>
      <c r="G295" s="1" t="s">
        <v>1300</v>
      </c>
      <c r="H295" s="7">
        <v>3</v>
      </c>
      <c r="I295" s="7">
        <v>1.1000000000000001</v>
      </c>
      <c r="J295" s="7">
        <f t="shared" si="20"/>
        <v>3.3000000000000003</v>
      </c>
    </row>
    <row r="296" spans="1:16" ht="12.75" customHeight="1">
      <c r="A296" s="10"/>
      <c r="B296" s="10"/>
      <c r="D296" s="3"/>
      <c r="E296" s="120" t="s">
        <v>2493</v>
      </c>
      <c r="F296" s="9">
        <v>20</v>
      </c>
      <c r="G296" s="1" t="s">
        <v>1372</v>
      </c>
      <c r="H296" s="7">
        <v>3</v>
      </c>
      <c r="I296" s="7">
        <v>1.1000000000000001</v>
      </c>
      <c r="J296" s="7">
        <f t="shared" si="20"/>
        <v>3.3000000000000003</v>
      </c>
    </row>
    <row r="297" spans="1:16" ht="12.75" customHeight="1">
      <c r="A297" s="10"/>
      <c r="B297" s="10"/>
      <c r="D297" s="3"/>
      <c r="E297" s="120" t="s">
        <v>2494</v>
      </c>
      <c r="F297" s="9">
        <v>20</v>
      </c>
      <c r="G297" s="1" t="s">
        <v>1292</v>
      </c>
      <c r="H297" s="7">
        <v>3</v>
      </c>
      <c r="I297" s="7">
        <v>1.1000000000000001</v>
      </c>
      <c r="J297" s="7">
        <f t="shared" si="20"/>
        <v>3.3000000000000003</v>
      </c>
    </row>
    <row r="298" spans="1:16" ht="12.75" customHeight="1">
      <c r="A298" s="10"/>
      <c r="B298" s="10"/>
      <c r="D298" s="3"/>
      <c r="E298" s="120" t="s">
        <v>2495</v>
      </c>
      <c r="F298" s="9">
        <v>20</v>
      </c>
      <c r="G298" s="1" t="s">
        <v>1293</v>
      </c>
      <c r="H298" s="7">
        <v>3</v>
      </c>
      <c r="I298" s="7">
        <v>1.1000000000000001</v>
      </c>
      <c r="J298" s="7">
        <f t="shared" si="20"/>
        <v>3.3000000000000003</v>
      </c>
    </row>
    <row r="299" spans="1:16" ht="12.75" customHeight="1">
      <c r="A299" s="10"/>
      <c r="B299" s="10"/>
      <c r="D299" s="3"/>
      <c r="E299" s="120" t="s">
        <v>2496</v>
      </c>
      <c r="F299" s="9">
        <v>20</v>
      </c>
      <c r="G299" s="1" t="s">
        <v>1294</v>
      </c>
      <c r="H299" s="7">
        <v>3</v>
      </c>
      <c r="I299" s="7">
        <v>1.1000000000000001</v>
      </c>
      <c r="J299" s="7">
        <f t="shared" si="20"/>
        <v>3.3000000000000003</v>
      </c>
    </row>
    <row r="300" spans="1:16" ht="12.75" customHeight="1">
      <c r="A300" s="10"/>
      <c r="B300" s="10"/>
      <c r="D300" s="3"/>
      <c r="E300" s="120" t="s">
        <v>2497</v>
      </c>
      <c r="F300" s="9">
        <v>20</v>
      </c>
      <c r="G300" s="1" t="s">
        <v>1295</v>
      </c>
      <c r="H300" s="7">
        <v>3</v>
      </c>
      <c r="I300" s="7">
        <v>1.1000000000000001</v>
      </c>
      <c r="J300" s="7">
        <f t="shared" si="20"/>
        <v>3.3000000000000003</v>
      </c>
    </row>
    <row r="301" spans="1:16" ht="12.75" customHeight="1">
      <c r="A301" s="10"/>
      <c r="B301" s="10"/>
      <c r="D301" s="3"/>
      <c r="E301" s="120" t="s">
        <v>2498</v>
      </c>
      <c r="F301" s="9">
        <v>20</v>
      </c>
      <c r="G301" s="1" t="s">
        <v>1296</v>
      </c>
      <c r="H301" s="7">
        <v>3</v>
      </c>
      <c r="I301" s="7">
        <v>1.1000000000000001</v>
      </c>
      <c r="J301" s="7">
        <f t="shared" si="20"/>
        <v>3.3000000000000003</v>
      </c>
    </row>
    <row r="302" spans="1:16" ht="12.75" customHeight="1">
      <c r="A302" s="10"/>
      <c r="B302" s="10"/>
      <c r="D302" s="3"/>
      <c r="E302" s="120" t="s">
        <v>2499</v>
      </c>
      <c r="F302" s="9">
        <v>20</v>
      </c>
      <c r="G302" s="1" t="s">
        <v>1291</v>
      </c>
      <c r="H302" s="7">
        <v>3</v>
      </c>
      <c r="I302" s="7">
        <v>1.1000000000000001</v>
      </c>
      <c r="J302" s="7">
        <f t="shared" si="20"/>
        <v>3.3000000000000003</v>
      </c>
    </row>
    <row r="303" spans="1:16" ht="12.75" customHeight="1">
      <c r="A303" s="10"/>
      <c r="B303" s="10"/>
      <c r="C303" s="9"/>
      <c r="D303" s="3"/>
      <c r="E303" s="120" t="s">
        <v>2500</v>
      </c>
      <c r="F303" s="9">
        <v>20</v>
      </c>
      <c r="G303" s="1" t="s">
        <v>1297</v>
      </c>
      <c r="H303" s="7">
        <v>3</v>
      </c>
      <c r="I303" s="7">
        <v>1.1000000000000001</v>
      </c>
      <c r="J303" s="7">
        <f t="shared" si="20"/>
        <v>3.3000000000000003</v>
      </c>
    </row>
    <row r="304" spans="1:16" s="4" customFormat="1" ht="12.75" customHeight="1">
      <c r="A304" s="12"/>
      <c r="B304" s="12"/>
      <c r="D304" s="5"/>
      <c r="E304" s="114"/>
      <c r="F304" s="5"/>
      <c r="H304" s="4">
        <f>SUM(H256:H303)</f>
        <v>180</v>
      </c>
      <c r="J304" s="4">
        <f>SUM(J256:J303)</f>
        <v>198.9000000000002</v>
      </c>
      <c r="K304" s="4">
        <v>8</v>
      </c>
      <c r="L304" s="4">
        <v>-206.9</v>
      </c>
      <c r="O304" s="4">
        <f>SUM(J304:N304)</f>
        <v>0</v>
      </c>
      <c r="P304" s="13" t="s">
        <v>2924</v>
      </c>
    </row>
    <row r="305" spans="1:16" ht="12.75" customHeight="1">
      <c r="A305" s="10">
        <v>43825</v>
      </c>
      <c r="B305" s="10">
        <v>43828</v>
      </c>
      <c r="C305" s="7" t="s">
        <v>1302</v>
      </c>
      <c r="E305" s="137" t="s">
        <v>2501</v>
      </c>
      <c r="F305" s="9">
        <v>10</v>
      </c>
      <c r="G305" s="7" t="s">
        <v>1303</v>
      </c>
      <c r="H305" s="7">
        <v>20</v>
      </c>
      <c r="I305" s="7">
        <v>0.68</v>
      </c>
      <c r="J305" s="7">
        <f>H305*I305</f>
        <v>13.600000000000001</v>
      </c>
    </row>
    <row r="306" spans="1:16" ht="12.75" customHeight="1">
      <c r="A306" s="10"/>
      <c r="B306" s="10"/>
      <c r="E306" s="137" t="s">
        <v>2502</v>
      </c>
      <c r="F306" s="9">
        <v>10</v>
      </c>
      <c r="G306" s="7" t="s">
        <v>1304</v>
      </c>
      <c r="H306" s="7">
        <v>10</v>
      </c>
      <c r="I306" s="7">
        <v>0.68</v>
      </c>
      <c r="J306" s="7">
        <f>H306*I306</f>
        <v>6.8000000000000007</v>
      </c>
    </row>
    <row r="307" spans="1:16" ht="12.75" customHeight="1">
      <c r="A307" s="10"/>
      <c r="B307" s="10"/>
      <c r="E307" s="137" t="s">
        <v>2503</v>
      </c>
      <c r="F307" s="9">
        <v>10</v>
      </c>
      <c r="G307" s="7" t="s">
        <v>1305</v>
      </c>
      <c r="H307" s="7">
        <v>10</v>
      </c>
      <c r="I307" s="7">
        <v>0.68</v>
      </c>
      <c r="J307" s="7">
        <f>H307*I307</f>
        <v>6.8000000000000007</v>
      </c>
    </row>
    <row r="308" spans="1:16" ht="12.75" customHeight="1">
      <c r="A308" s="10"/>
      <c r="B308" s="10"/>
      <c r="E308" s="137" t="s">
        <v>2504</v>
      </c>
      <c r="F308" s="9">
        <v>10</v>
      </c>
      <c r="G308" s="7" t="s">
        <v>1306</v>
      </c>
      <c r="H308" s="7">
        <v>10</v>
      </c>
      <c r="I308" s="7">
        <v>0.68</v>
      </c>
      <c r="J308" s="7">
        <f>H308*I308</f>
        <v>6.8000000000000007</v>
      </c>
    </row>
    <row r="309" spans="1:16" ht="12.75" customHeight="1">
      <c r="A309" s="10"/>
      <c r="B309" s="10"/>
      <c r="E309" s="137" t="s">
        <v>2505</v>
      </c>
      <c r="F309" s="9">
        <v>10</v>
      </c>
      <c r="G309" s="7" t="s">
        <v>1307</v>
      </c>
      <c r="H309" s="7">
        <v>10</v>
      </c>
      <c r="I309" s="7">
        <v>0.68</v>
      </c>
      <c r="J309" s="7">
        <f>H309*I309</f>
        <v>6.8000000000000007</v>
      </c>
    </row>
    <row r="310" spans="1:16" s="4" customFormat="1" ht="12.75" customHeight="1">
      <c r="A310" s="12"/>
      <c r="B310" s="12"/>
      <c r="D310" s="5"/>
      <c r="E310" s="114"/>
      <c r="F310" s="5"/>
      <c r="H310" s="4">
        <f>SUM(H305:H309)</f>
        <v>60</v>
      </c>
      <c r="J310" s="4">
        <f>SUM(J305:J309)</f>
        <v>40.799999999999997</v>
      </c>
      <c r="K310" s="4">
        <v>5</v>
      </c>
      <c r="L310" s="4">
        <v>-39.68</v>
      </c>
      <c r="N310" s="4">
        <v>-6.12</v>
      </c>
      <c r="O310" s="4">
        <f>SUM(J310:N310)</f>
        <v>0</v>
      </c>
      <c r="P310" s="13" t="s">
        <v>2925</v>
      </c>
    </row>
    <row r="311" spans="1:16" ht="12.75" customHeight="1">
      <c r="A311" s="10">
        <v>43826</v>
      </c>
      <c r="B311" s="10">
        <v>43827</v>
      </c>
      <c r="C311" s="7" t="s">
        <v>1309</v>
      </c>
      <c r="E311" s="128" t="s">
        <v>2506</v>
      </c>
      <c r="F311" s="9">
        <v>10</v>
      </c>
      <c r="G311" s="7" t="s">
        <v>1310</v>
      </c>
      <c r="H311" s="7">
        <v>3</v>
      </c>
      <c r="I311" s="7">
        <v>1</v>
      </c>
      <c r="J311" s="7">
        <f t="shared" ref="J311:J325" si="21">H311*I311</f>
        <v>3</v>
      </c>
    </row>
    <row r="312" spans="1:16" ht="12.75" customHeight="1">
      <c r="A312" s="10"/>
      <c r="B312" s="10"/>
      <c r="E312" s="128" t="s">
        <v>2507</v>
      </c>
      <c r="F312" s="9">
        <v>10</v>
      </c>
      <c r="G312" s="7" t="s">
        <v>1314</v>
      </c>
      <c r="H312" s="7">
        <v>3</v>
      </c>
      <c r="I312" s="7">
        <v>1.2</v>
      </c>
      <c r="J312" s="7">
        <f t="shared" si="21"/>
        <v>3.5999999999999996</v>
      </c>
    </row>
    <row r="313" spans="1:16" ht="12.75" customHeight="1">
      <c r="A313" s="10"/>
      <c r="B313" s="10"/>
      <c r="E313" s="128" t="s">
        <v>2508</v>
      </c>
      <c r="F313" s="9">
        <v>10</v>
      </c>
      <c r="G313" s="7" t="s">
        <v>1313</v>
      </c>
      <c r="H313" s="7">
        <v>3</v>
      </c>
      <c r="I313" s="7">
        <v>1.2</v>
      </c>
      <c r="J313" s="7">
        <f t="shared" si="21"/>
        <v>3.5999999999999996</v>
      </c>
    </row>
    <row r="314" spans="1:16" ht="12.75" customHeight="1">
      <c r="A314" s="10"/>
      <c r="B314" s="10"/>
      <c r="E314" s="128" t="s">
        <v>2509</v>
      </c>
      <c r="F314" s="9">
        <v>10</v>
      </c>
      <c r="G314" s="7" t="s">
        <v>1312</v>
      </c>
      <c r="H314" s="7">
        <v>3</v>
      </c>
      <c r="I314" s="7">
        <v>1.2</v>
      </c>
      <c r="J314" s="7">
        <f t="shared" si="21"/>
        <v>3.5999999999999996</v>
      </c>
    </row>
    <row r="315" spans="1:16" ht="12.75" customHeight="1">
      <c r="A315" s="10"/>
      <c r="B315" s="10"/>
      <c r="E315" s="128" t="s">
        <v>2510</v>
      </c>
      <c r="F315" s="9">
        <v>10</v>
      </c>
      <c r="G315" s="7" t="s">
        <v>1311</v>
      </c>
      <c r="H315" s="7">
        <v>3</v>
      </c>
      <c r="I315" s="7">
        <v>1.2</v>
      </c>
      <c r="J315" s="7">
        <f t="shared" si="21"/>
        <v>3.5999999999999996</v>
      </c>
    </row>
    <row r="316" spans="1:16" ht="12.75" customHeight="1">
      <c r="A316" s="10"/>
      <c r="B316" s="10"/>
      <c r="E316" s="128" t="s">
        <v>2511</v>
      </c>
      <c r="F316" s="9">
        <v>10</v>
      </c>
      <c r="G316" s="135" t="s">
        <v>3323</v>
      </c>
      <c r="H316" s="7">
        <v>3</v>
      </c>
      <c r="I316" s="7">
        <v>1.2</v>
      </c>
      <c r="J316" s="7">
        <f t="shared" si="21"/>
        <v>3.5999999999999996</v>
      </c>
    </row>
    <row r="317" spans="1:16" ht="12.75" customHeight="1">
      <c r="A317" s="10"/>
      <c r="B317" s="10"/>
      <c r="E317" s="128" t="s">
        <v>2512</v>
      </c>
      <c r="F317" s="9">
        <v>10</v>
      </c>
      <c r="G317" s="135" t="s">
        <v>3321</v>
      </c>
      <c r="H317" s="7">
        <v>3</v>
      </c>
      <c r="I317" s="7">
        <v>1.2</v>
      </c>
      <c r="J317" s="7">
        <f t="shared" si="21"/>
        <v>3.5999999999999996</v>
      </c>
    </row>
    <row r="318" spans="1:16" ht="12.75" customHeight="1">
      <c r="A318" s="10"/>
      <c r="B318" s="10"/>
      <c r="E318" s="128" t="s">
        <v>2513</v>
      </c>
      <c r="F318" s="9">
        <v>10</v>
      </c>
      <c r="G318" s="135" t="s">
        <v>3319</v>
      </c>
      <c r="H318" s="7">
        <v>3</v>
      </c>
      <c r="I318" s="7">
        <v>1.2</v>
      </c>
      <c r="J318" s="7">
        <f t="shared" si="21"/>
        <v>3.5999999999999996</v>
      </c>
    </row>
    <row r="319" spans="1:16" ht="12.75" customHeight="1">
      <c r="A319" s="10"/>
      <c r="B319" s="10"/>
      <c r="E319" s="128" t="s">
        <v>2514</v>
      </c>
      <c r="F319" s="9">
        <v>22</v>
      </c>
      <c r="G319" s="7" t="s">
        <v>1315</v>
      </c>
      <c r="H319" s="7">
        <v>3</v>
      </c>
      <c r="I319" s="7">
        <v>2</v>
      </c>
      <c r="J319" s="7">
        <f t="shared" si="21"/>
        <v>6</v>
      </c>
    </row>
    <row r="320" spans="1:16" ht="12.75" customHeight="1">
      <c r="A320" s="10"/>
      <c r="B320" s="10"/>
      <c r="E320" s="128" t="s">
        <v>2515</v>
      </c>
      <c r="F320" s="9">
        <v>22</v>
      </c>
      <c r="G320" s="7" t="s">
        <v>1316</v>
      </c>
      <c r="H320" s="7">
        <v>3</v>
      </c>
      <c r="I320" s="7">
        <v>2</v>
      </c>
      <c r="J320" s="7">
        <f t="shared" si="21"/>
        <v>6</v>
      </c>
    </row>
    <row r="321" spans="1:16" ht="12.75" customHeight="1">
      <c r="A321" s="10"/>
      <c r="B321" s="10"/>
      <c r="E321" s="128" t="s">
        <v>2516</v>
      </c>
      <c r="F321" s="9">
        <v>22</v>
      </c>
      <c r="G321" s="136" t="s">
        <v>3324</v>
      </c>
      <c r="H321" s="7">
        <v>3</v>
      </c>
      <c r="I321" s="7">
        <v>2</v>
      </c>
      <c r="J321" s="7">
        <f t="shared" si="21"/>
        <v>6</v>
      </c>
    </row>
    <row r="322" spans="1:16" ht="12.75" customHeight="1">
      <c r="A322" s="10"/>
      <c r="B322" s="10"/>
      <c r="E322" s="128" t="s">
        <v>2517</v>
      </c>
      <c r="F322" s="9">
        <v>22</v>
      </c>
      <c r="G322" s="7" t="s">
        <v>1317</v>
      </c>
      <c r="H322" s="7">
        <v>3</v>
      </c>
      <c r="I322" s="7">
        <v>2</v>
      </c>
      <c r="J322" s="7">
        <f t="shared" si="21"/>
        <v>6</v>
      </c>
    </row>
    <row r="323" spans="1:16" ht="12.75" customHeight="1">
      <c r="A323" s="10"/>
      <c r="B323" s="10"/>
      <c r="E323" s="128" t="s">
        <v>2518</v>
      </c>
      <c r="F323" s="9">
        <v>22</v>
      </c>
      <c r="G323" s="7" t="s">
        <v>1318</v>
      </c>
      <c r="H323" s="7">
        <v>3</v>
      </c>
      <c r="I323" s="7">
        <v>2</v>
      </c>
      <c r="J323" s="7">
        <f t="shared" si="21"/>
        <v>6</v>
      </c>
    </row>
    <row r="324" spans="1:16" ht="12.75" customHeight="1">
      <c r="A324" s="10"/>
      <c r="B324" s="10"/>
      <c r="E324" s="128" t="s">
        <v>2519</v>
      </c>
      <c r="F324" s="9">
        <v>22</v>
      </c>
      <c r="G324" s="135" t="s">
        <v>3320</v>
      </c>
      <c r="H324" s="7">
        <v>3</v>
      </c>
      <c r="I324" s="7">
        <v>2</v>
      </c>
      <c r="J324" s="7">
        <f t="shared" si="21"/>
        <v>6</v>
      </c>
    </row>
    <row r="325" spans="1:16" ht="12.75" customHeight="1">
      <c r="A325" s="10"/>
      <c r="B325" s="10"/>
      <c r="E325" s="128" t="s">
        <v>2520</v>
      </c>
      <c r="F325" s="9">
        <v>22</v>
      </c>
      <c r="G325" s="135" t="s">
        <v>3322</v>
      </c>
      <c r="H325" s="7">
        <v>3</v>
      </c>
      <c r="I325" s="7">
        <v>2</v>
      </c>
      <c r="J325" s="7">
        <f t="shared" si="21"/>
        <v>6</v>
      </c>
    </row>
    <row r="326" spans="1:16" s="4" customFormat="1" ht="12.75" customHeight="1">
      <c r="A326" s="12"/>
      <c r="B326" s="12"/>
      <c r="D326" s="5"/>
      <c r="E326" s="114"/>
      <c r="F326" s="5"/>
      <c r="H326" s="4">
        <f>SUM(H311:H325)</f>
        <v>45</v>
      </c>
      <c r="J326" s="4">
        <f>SUM(J311:J325)</f>
        <v>70.2</v>
      </c>
      <c r="K326" s="4">
        <v>6</v>
      </c>
      <c r="L326" s="4">
        <v>-76.2</v>
      </c>
      <c r="O326" s="4">
        <f>SUM(J326:N326)</f>
        <v>0</v>
      </c>
      <c r="P326" s="13" t="s">
        <v>2926</v>
      </c>
    </row>
    <row r="327" spans="1:16" ht="12.75" customHeight="1">
      <c r="A327" s="10">
        <v>43826</v>
      </c>
      <c r="B327" s="10">
        <v>43472</v>
      </c>
      <c r="C327" s="7" t="s">
        <v>1327</v>
      </c>
      <c r="E327" s="115">
        <v>204.01</v>
      </c>
      <c r="F327" s="124">
        <f>25.3/3</f>
        <v>8.4333333333333336</v>
      </c>
      <c r="G327" s="7" t="s">
        <v>1508</v>
      </c>
      <c r="H327" s="7">
        <v>3</v>
      </c>
      <c r="I327" s="7">
        <v>0.65</v>
      </c>
      <c r="J327" s="7">
        <f>H327*I327</f>
        <v>1.9500000000000002</v>
      </c>
      <c r="P327" s="11" t="s">
        <v>1328</v>
      </c>
    </row>
    <row r="328" spans="1:16" ht="12.75" customHeight="1">
      <c r="A328" s="10"/>
      <c r="B328" s="10"/>
      <c r="E328" s="115">
        <v>204.02</v>
      </c>
      <c r="F328" s="124">
        <f>49.5/3</f>
        <v>16.5</v>
      </c>
      <c r="G328" s="7" t="s">
        <v>1509</v>
      </c>
      <c r="H328" s="7">
        <v>3</v>
      </c>
      <c r="I328" s="7">
        <v>1.3</v>
      </c>
      <c r="J328" s="7">
        <f>H328*I328</f>
        <v>3.9000000000000004</v>
      </c>
    </row>
    <row r="329" spans="1:16" ht="12.75" customHeight="1">
      <c r="A329" s="10"/>
      <c r="B329" s="10"/>
      <c r="E329" s="115">
        <v>204.03</v>
      </c>
      <c r="F329" s="124">
        <f>80.2/3</f>
        <v>26.733333333333334</v>
      </c>
      <c r="G329" s="7" t="s">
        <v>1510</v>
      </c>
      <c r="H329" s="7">
        <v>3</v>
      </c>
      <c r="I329" s="7">
        <v>2.2000000000000002</v>
      </c>
      <c r="J329" s="7">
        <f>H329*I329</f>
        <v>6.6000000000000005</v>
      </c>
    </row>
    <row r="330" spans="1:16" ht="12.75" customHeight="1">
      <c r="A330" s="10"/>
      <c r="B330" s="10"/>
      <c r="E330" s="115">
        <v>204.04</v>
      </c>
      <c r="F330" s="124">
        <f>96.5/3</f>
        <v>32.166666666666664</v>
      </c>
      <c r="G330" s="7" t="s">
        <v>1511</v>
      </c>
      <c r="H330" s="7">
        <v>3</v>
      </c>
      <c r="I330" s="7">
        <v>2.6</v>
      </c>
      <c r="J330" s="7">
        <f>H330*I330</f>
        <v>7.8000000000000007</v>
      </c>
    </row>
    <row r="331" spans="1:16" s="4" customFormat="1" ht="12.75" customHeight="1">
      <c r="A331" s="12"/>
      <c r="B331" s="12"/>
      <c r="D331" s="5"/>
      <c r="E331" s="114"/>
      <c r="F331" s="5"/>
      <c r="H331" s="4">
        <f>SUM(H327:H330)</f>
        <v>12</v>
      </c>
      <c r="J331" s="26">
        <f>SUM(J327:J330)</f>
        <v>20.25</v>
      </c>
      <c r="K331" s="4">
        <v>0</v>
      </c>
      <c r="N331" s="4">
        <f>-20.05-0.2</f>
        <v>-20.25</v>
      </c>
      <c r="O331" s="4">
        <f>SUM(J331:N331)</f>
        <v>0</v>
      </c>
      <c r="P331" s="13" t="s">
        <v>2927</v>
      </c>
    </row>
    <row r="332" spans="1:16" ht="12.75" customHeight="1">
      <c r="A332" s="10">
        <v>43826</v>
      </c>
      <c r="B332" s="10">
        <v>1</v>
      </c>
      <c r="C332" s="7" t="s">
        <v>1329</v>
      </c>
      <c r="E332" s="128" t="s">
        <v>2521</v>
      </c>
      <c r="F332" s="124">
        <f>165/3</f>
        <v>55</v>
      </c>
      <c r="G332" s="7" t="s">
        <v>1512</v>
      </c>
      <c r="H332" s="7">
        <v>3</v>
      </c>
      <c r="I332" s="7">
        <v>3.3</v>
      </c>
      <c r="J332" s="7">
        <f t="shared" ref="J332:J337" si="22">H332*I332</f>
        <v>9.8999999999999986</v>
      </c>
    </row>
    <row r="333" spans="1:16" ht="12.75" customHeight="1">
      <c r="A333" s="10"/>
      <c r="B333" s="10"/>
      <c r="E333" s="128" t="s">
        <v>2522</v>
      </c>
      <c r="F333" s="124">
        <f>134/3</f>
        <v>44.666666666666664</v>
      </c>
      <c r="G333" s="7" t="s">
        <v>1513</v>
      </c>
      <c r="H333" s="7">
        <v>3</v>
      </c>
      <c r="I333" s="7">
        <v>2.64</v>
      </c>
      <c r="J333" s="7">
        <f t="shared" si="22"/>
        <v>7.92</v>
      </c>
    </row>
    <row r="334" spans="1:16" ht="12.75" customHeight="1">
      <c r="A334" s="10"/>
      <c r="B334" s="10"/>
      <c r="E334" s="128" t="s">
        <v>2523</v>
      </c>
      <c r="F334" s="124">
        <f>126.7/3</f>
        <v>42.233333333333334</v>
      </c>
      <c r="G334" s="7" t="s">
        <v>1514</v>
      </c>
      <c r="H334" s="7">
        <v>3</v>
      </c>
      <c r="I334" s="7">
        <v>2.8</v>
      </c>
      <c r="J334" s="7">
        <f t="shared" si="22"/>
        <v>8.3999999999999986</v>
      </c>
    </row>
    <row r="335" spans="1:16" ht="12.75" customHeight="1">
      <c r="A335" s="10"/>
      <c r="B335" s="10"/>
      <c r="E335" s="128" t="s">
        <v>2524</v>
      </c>
      <c r="F335" s="124">
        <f>202/3</f>
        <v>67.333333333333329</v>
      </c>
      <c r="G335" s="7" t="s">
        <v>1515</v>
      </c>
      <c r="H335" s="7">
        <v>3</v>
      </c>
      <c r="I335" s="7">
        <v>3.3</v>
      </c>
      <c r="J335" s="7">
        <f t="shared" si="22"/>
        <v>9.8999999999999986</v>
      </c>
    </row>
    <row r="336" spans="1:16" ht="12.75" customHeight="1">
      <c r="A336" s="10"/>
      <c r="B336" s="10"/>
      <c r="E336" s="128" t="s">
        <v>2525</v>
      </c>
      <c r="F336" s="124">
        <f>74/3</f>
        <v>24.666666666666668</v>
      </c>
      <c r="G336" s="7" t="s">
        <v>1516</v>
      </c>
      <c r="H336" s="7">
        <v>3</v>
      </c>
      <c r="I336" s="7">
        <v>2</v>
      </c>
      <c r="J336" s="7">
        <f t="shared" si="22"/>
        <v>6</v>
      </c>
    </row>
    <row r="337" spans="1:16" ht="12.75" customHeight="1">
      <c r="A337" s="10"/>
      <c r="B337" s="10"/>
      <c r="E337" s="128" t="s">
        <v>2526</v>
      </c>
      <c r="F337" s="124">
        <f>131/3</f>
        <v>43.666666666666664</v>
      </c>
      <c r="G337" s="7" t="s">
        <v>1517</v>
      </c>
      <c r="H337" s="7">
        <v>3</v>
      </c>
      <c r="I337" s="7">
        <v>3</v>
      </c>
      <c r="J337" s="7">
        <f t="shared" si="22"/>
        <v>9</v>
      </c>
    </row>
    <row r="338" spans="1:16" s="4" customFormat="1" ht="12.75" customHeight="1">
      <c r="A338" s="12"/>
      <c r="B338" s="12"/>
      <c r="D338" s="5"/>
      <c r="E338" s="114"/>
      <c r="F338" s="5"/>
      <c r="H338" s="4">
        <f>SUM(H332:H337)</f>
        <v>18</v>
      </c>
      <c r="J338" s="4">
        <f>SUM(J332:J337)</f>
        <v>51.12</v>
      </c>
      <c r="K338" s="4">
        <v>8</v>
      </c>
      <c r="L338" s="4">
        <v>-59.12</v>
      </c>
      <c r="O338" s="4">
        <f>SUM(J338:N338)</f>
        <v>0</v>
      </c>
      <c r="P338" s="13" t="s">
        <v>2928</v>
      </c>
    </row>
    <row r="339" spans="1:16" ht="12.75" customHeight="1">
      <c r="A339" s="10">
        <v>43826</v>
      </c>
      <c r="B339" s="10">
        <v>1</v>
      </c>
      <c r="C339" s="7" t="s">
        <v>1330</v>
      </c>
      <c r="E339" s="128" t="s">
        <v>2527</v>
      </c>
      <c r="F339" s="9">
        <v>18</v>
      </c>
      <c r="G339" s="7" t="s">
        <v>1518</v>
      </c>
      <c r="H339" s="7">
        <v>3</v>
      </c>
      <c r="I339" s="7">
        <v>1</v>
      </c>
      <c r="J339" s="7">
        <f t="shared" ref="J339:J358" si="23">H339*I339</f>
        <v>3</v>
      </c>
    </row>
    <row r="340" spans="1:16" ht="12.75" customHeight="1">
      <c r="A340" s="10"/>
      <c r="B340" s="10"/>
      <c r="E340" s="128" t="s">
        <v>2528</v>
      </c>
      <c r="F340" s="9">
        <v>18</v>
      </c>
      <c r="G340" s="7" t="s">
        <v>1519</v>
      </c>
      <c r="H340" s="7">
        <v>3</v>
      </c>
      <c r="I340" s="7">
        <v>1</v>
      </c>
      <c r="J340" s="7">
        <f t="shared" si="23"/>
        <v>3</v>
      </c>
    </row>
    <row r="341" spans="1:16" ht="12.75" customHeight="1">
      <c r="A341" s="10"/>
      <c r="B341" s="10"/>
      <c r="E341" s="128" t="s">
        <v>2529</v>
      </c>
      <c r="F341" s="9">
        <v>18</v>
      </c>
      <c r="G341" s="7" t="s">
        <v>1520</v>
      </c>
      <c r="H341" s="7">
        <v>3</v>
      </c>
      <c r="I341" s="7">
        <v>1</v>
      </c>
      <c r="J341" s="7">
        <f t="shared" si="23"/>
        <v>3</v>
      </c>
    </row>
    <row r="342" spans="1:16" ht="12.75" customHeight="1">
      <c r="A342" s="10"/>
      <c r="B342" s="10"/>
      <c r="E342" s="128" t="s">
        <v>2530</v>
      </c>
      <c r="F342" s="9">
        <v>18</v>
      </c>
      <c r="G342" s="7" t="s">
        <v>1521</v>
      </c>
      <c r="H342" s="7">
        <v>3</v>
      </c>
      <c r="I342" s="7">
        <v>1</v>
      </c>
      <c r="J342" s="7">
        <f t="shared" si="23"/>
        <v>3</v>
      </c>
    </row>
    <row r="343" spans="1:16" ht="12.75" customHeight="1">
      <c r="A343" s="10"/>
      <c r="B343" s="10"/>
      <c r="E343" s="128" t="s">
        <v>2531</v>
      </c>
      <c r="F343" s="9">
        <v>18</v>
      </c>
      <c r="G343" s="7" t="s">
        <v>1522</v>
      </c>
      <c r="H343" s="7">
        <v>3</v>
      </c>
      <c r="I343" s="7">
        <v>1</v>
      </c>
      <c r="J343" s="7">
        <f t="shared" si="23"/>
        <v>3</v>
      </c>
    </row>
    <row r="344" spans="1:16" ht="12.75" customHeight="1">
      <c r="A344" s="10"/>
      <c r="B344" s="10"/>
      <c r="E344" s="128" t="s">
        <v>2532</v>
      </c>
      <c r="F344" s="9">
        <v>18</v>
      </c>
      <c r="G344" s="7" t="s">
        <v>1523</v>
      </c>
      <c r="H344" s="7">
        <v>3</v>
      </c>
      <c r="I344" s="7">
        <v>1</v>
      </c>
      <c r="J344" s="7">
        <f t="shared" si="23"/>
        <v>3</v>
      </c>
    </row>
    <row r="345" spans="1:16" ht="12.75" customHeight="1">
      <c r="A345" s="10"/>
      <c r="B345" s="10"/>
      <c r="E345" s="128" t="s">
        <v>2533</v>
      </c>
      <c r="F345" s="9">
        <v>18</v>
      </c>
      <c r="G345" s="7" t="s">
        <v>1525</v>
      </c>
      <c r="H345" s="7">
        <v>3</v>
      </c>
      <c r="I345" s="7">
        <v>1</v>
      </c>
      <c r="J345" s="7">
        <f t="shared" si="23"/>
        <v>3</v>
      </c>
    </row>
    <row r="346" spans="1:16" ht="12.75" customHeight="1">
      <c r="A346" s="10"/>
      <c r="B346" s="10"/>
      <c r="E346" s="128" t="s">
        <v>2534</v>
      </c>
      <c r="F346" s="9">
        <v>18</v>
      </c>
      <c r="G346" s="7" t="s">
        <v>1524</v>
      </c>
      <c r="H346" s="7">
        <v>3</v>
      </c>
      <c r="I346" s="7">
        <v>1</v>
      </c>
      <c r="J346" s="7">
        <f t="shared" si="23"/>
        <v>3</v>
      </c>
    </row>
    <row r="347" spans="1:16" ht="12.75" customHeight="1">
      <c r="A347" s="10"/>
      <c r="B347" s="10"/>
      <c r="E347" s="128" t="s">
        <v>2535</v>
      </c>
      <c r="F347" s="9">
        <v>18</v>
      </c>
      <c r="G347" s="7" t="s">
        <v>1526</v>
      </c>
      <c r="H347" s="7">
        <v>3</v>
      </c>
      <c r="I347" s="7">
        <v>1</v>
      </c>
      <c r="J347" s="7">
        <f t="shared" si="23"/>
        <v>3</v>
      </c>
    </row>
    <row r="348" spans="1:16" ht="12.75" customHeight="1">
      <c r="A348" s="10"/>
      <c r="B348" s="10"/>
      <c r="E348" s="128" t="s">
        <v>2536</v>
      </c>
      <c r="F348" s="9">
        <v>18</v>
      </c>
      <c r="G348" s="7" t="s">
        <v>1527</v>
      </c>
      <c r="H348" s="7">
        <v>3</v>
      </c>
      <c r="I348" s="7">
        <v>1</v>
      </c>
      <c r="J348" s="7">
        <f t="shared" si="23"/>
        <v>3</v>
      </c>
    </row>
    <row r="349" spans="1:16" ht="12.75" customHeight="1">
      <c r="A349" s="10"/>
      <c r="B349" s="10"/>
      <c r="E349" s="128" t="s">
        <v>2537</v>
      </c>
      <c r="F349" s="9">
        <v>52</v>
      </c>
      <c r="G349" s="7" t="s">
        <v>1331</v>
      </c>
      <c r="H349" s="7">
        <v>3</v>
      </c>
      <c r="I349" s="7">
        <v>2.5</v>
      </c>
      <c r="J349" s="7">
        <f t="shared" si="23"/>
        <v>7.5</v>
      </c>
    </row>
    <row r="350" spans="1:16" ht="12.75" customHeight="1">
      <c r="A350" s="10"/>
      <c r="B350" s="10"/>
      <c r="E350" s="128" t="s">
        <v>2538</v>
      </c>
      <c r="F350" s="9">
        <v>52</v>
      </c>
      <c r="G350" s="7" t="s">
        <v>1332</v>
      </c>
      <c r="H350" s="7">
        <v>3</v>
      </c>
      <c r="I350" s="7">
        <v>2.5</v>
      </c>
      <c r="J350" s="7">
        <f t="shared" si="23"/>
        <v>7.5</v>
      </c>
    </row>
    <row r="351" spans="1:16" ht="12.75" customHeight="1">
      <c r="A351" s="10"/>
      <c r="B351" s="10"/>
      <c r="E351" s="128" t="s">
        <v>2539</v>
      </c>
      <c r="F351" s="9">
        <v>52</v>
      </c>
      <c r="G351" s="7" t="s">
        <v>1333</v>
      </c>
      <c r="H351" s="7">
        <v>3</v>
      </c>
      <c r="I351" s="7">
        <v>2.5</v>
      </c>
      <c r="J351" s="7">
        <f t="shared" si="23"/>
        <v>7.5</v>
      </c>
    </row>
    <row r="352" spans="1:16" ht="12.75" customHeight="1">
      <c r="A352" s="10"/>
      <c r="B352" s="10"/>
      <c r="E352" s="128" t="s">
        <v>2540</v>
      </c>
      <c r="F352" s="9">
        <v>52</v>
      </c>
      <c r="G352" s="7" t="s">
        <v>1334</v>
      </c>
      <c r="H352" s="7">
        <v>3</v>
      </c>
      <c r="I352" s="7">
        <v>2.5</v>
      </c>
      <c r="J352" s="7">
        <f t="shared" si="23"/>
        <v>7.5</v>
      </c>
    </row>
    <row r="353" spans="1:16" ht="12.75" customHeight="1">
      <c r="A353" s="10"/>
      <c r="B353" s="10"/>
      <c r="E353" s="128" t="s">
        <v>2541</v>
      </c>
      <c r="F353" s="9">
        <v>52</v>
      </c>
      <c r="G353" s="7" t="s">
        <v>1335</v>
      </c>
      <c r="H353" s="7">
        <v>3</v>
      </c>
      <c r="I353" s="7">
        <v>2.5</v>
      </c>
      <c r="J353" s="7">
        <f t="shared" si="23"/>
        <v>7.5</v>
      </c>
    </row>
    <row r="354" spans="1:16" ht="12.75" customHeight="1">
      <c r="A354" s="10"/>
      <c r="B354" s="10"/>
      <c r="E354" s="128" t="s">
        <v>2542</v>
      </c>
      <c r="F354" s="9">
        <v>52</v>
      </c>
      <c r="G354" s="7" t="s">
        <v>1336</v>
      </c>
      <c r="H354" s="7">
        <v>3</v>
      </c>
      <c r="I354" s="7">
        <v>2.5</v>
      </c>
      <c r="J354" s="7">
        <f t="shared" si="23"/>
        <v>7.5</v>
      </c>
    </row>
    <row r="355" spans="1:16" ht="12.75" customHeight="1">
      <c r="A355" s="10"/>
      <c r="B355" s="10"/>
      <c r="E355" s="128" t="s">
        <v>2543</v>
      </c>
      <c r="F355" s="9">
        <v>52</v>
      </c>
      <c r="G355" s="7" t="s">
        <v>1337</v>
      </c>
      <c r="H355" s="7">
        <v>3</v>
      </c>
      <c r="I355" s="7">
        <v>2.5</v>
      </c>
      <c r="J355" s="7">
        <f t="shared" si="23"/>
        <v>7.5</v>
      </c>
    </row>
    <row r="356" spans="1:16" ht="12.75" customHeight="1">
      <c r="A356" s="10"/>
      <c r="B356" s="10"/>
      <c r="E356" s="128" t="s">
        <v>2544</v>
      </c>
      <c r="F356" s="9">
        <v>52</v>
      </c>
      <c r="G356" s="7" t="s">
        <v>1338</v>
      </c>
      <c r="H356" s="7">
        <v>3</v>
      </c>
      <c r="I356" s="7">
        <v>2.5</v>
      </c>
      <c r="J356" s="7">
        <f t="shared" si="23"/>
        <v>7.5</v>
      </c>
    </row>
    <row r="357" spans="1:16" ht="12.75" customHeight="1">
      <c r="A357" s="10"/>
      <c r="B357" s="10"/>
      <c r="E357" s="128" t="s">
        <v>2545</v>
      </c>
      <c r="F357" s="9">
        <v>52</v>
      </c>
      <c r="G357" s="7" t="s">
        <v>1339</v>
      </c>
      <c r="H357" s="7">
        <v>3</v>
      </c>
      <c r="I357" s="7">
        <v>2.5</v>
      </c>
      <c r="J357" s="7">
        <f t="shared" si="23"/>
        <v>7.5</v>
      </c>
    </row>
    <row r="358" spans="1:16" ht="12.75" customHeight="1">
      <c r="A358" s="10"/>
      <c r="B358" s="10"/>
      <c r="E358" s="128" t="s">
        <v>2546</v>
      </c>
      <c r="F358" s="9">
        <v>52</v>
      </c>
      <c r="G358" s="7" t="s">
        <v>1340</v>
      </c>
      <c r="H358" s="7">
        <v>3</v>
      </c>
      <c r="I358" s="7">
        <v>2.5</v>
      </c>
      <c r="J358" s="7">
        <f t="shared" si="23"/>
        <v>7.5</v>
      </c>
    </row>
    <row r="359" spans="1:16" s="4" customFormat="1" ht="12.75" customHeight="1">
      <c r="A359" s="12"/>
      <c r="B359" s="12"/>
      <c r="D359" s="5"/>
      <c r="E359" s="114"/>
      <c r="F359" s="5"/>
      <c r="H359" s="4">
        <f>SUM(H339:H358)</f>
        <v>60</v>
      </c>
      <c r="J359" s="4">
        <f>SUM(J339:J358)</f>
        <v>105</v>
      </c>
      <c r="K359" s="4">
        <v>10</v>
      </c>
      <c r="L359" s="4">
        <v>-115</v>
      </c>
      <c r="O359" s="4">
        <f>SUM(J359:N359)</f>
        <v>0</v>
      </c>
      <c r="P359" s="13" t="s">
        <v>2929</v>
      </c>
    </row>
    <row r="360" spans="1:16" ht="12.75" customHeight="1">
      <c r="A360" s="10">
        <v>43826</v>
      </c>
      <c r="B360" s="10">
        <v>1</v>
      </c>
      <c r="C360" s="7" t="s">
        <v>1341</v>
      </c>
      <c r="E360" s="119" t="s">
        <v>2547</v>
      </c>
      <c r="F360" s="9">
        <v>173</v>
      </c>
      <c r="G360" s="7" t="s">
        <v>1528</v>
      </c>
      <c r="H360" s="7">
        <v>6</v>
      </c>
      <c r="I360" s="7">
        <v>2.8</v>
      </c>
      <c r="J360" s="7">
        <f t="shared" ref="J360:J368" si="24">H360*I360</f>
        <v>16.799999999999997</v>
      </c>
    </row>
    <row r="361" spans="1:16" ht="12.75" customHeight="1">
      <c r="A361" s="10"/>
      <c r="B361" s="10"/>
      <c r="E361" s="119" t="s">
        <v>2548</v>
      </c>
      <c r="F361" s="9">
        <v>187.2</v>
      </c>
      <c r="G361" s="7" t="s">
        <v>1529</v>
      </c>
      <c r="H361" s="7">
        <v>3</v>
      </c>
      <c r="I361" s="7">
        <v>2.8</v>
      </c>
      <c r="J361" s="7">
        <f t="shared" si="24"/>
        <v>8.3999999999999986</v>
      </c>
    </row>
    <row r="362" spans="1:16" ht="12.75" customHeight="1">
      <c r="A362" s="10"/>
      <c r="B362" s="10"/>
      <c r="E362" s="119" t="s">
        <v>2549</v>
      </c>
      <c r="F362" s="9">
        <v>170</v>
      </c>
      <c r="G362" s="7" t="s">
        <v>1530</v>
      </c>
      <c r="H362" s="7">
        <v>3</v>
      </c>
      <c r="I362" s="7">
        <v>2.8</v>
      </c>
      <c r="J362" s="7">
        <f t="shared" si="24"/>
        <v>8.3999999999999986</v>
      </c>
    </row>
    <row r="363" spans="1:16" ht="12.75" customHeight="1">
      <c r="A363" s="10"/>
      <c r="B363" s="10"/>
      <c r="E363" s="119" t="s">
        <v>2550</v>
      </c>
      <c r="F363" s="9">
        <v>174</v>
      </c>
      <c r="G363" s="7" t="s">
        <v>1531</v>
      </c>
      <c r="H363" s="7">
        <v>3</v>
      </c>
      <c r="I363" s="7">
        <v>2.8</v>
      </c>
      <c r="J363" s="7">
        <f t="shared" si="24"/>
        <v>8.3999999999999986</v>
      </c>
    </row>
    <row r="364" spans="1:16" ht="12.75" customHeight="1">
      <c r="A364" s="10"/>
      <c r="B364" s="10"/>
      <c r="E364" s="119" t="s">
        <v>2551</v>
      </c>
      <c r="F364" s="9">
        <v>175</v>
      </c>
      <c r="G364" s="7" t="s">
        <v>1532</v>
      </c>
      <c r="H364" s="7">
        <v>3</v>
      </c>
      <c r="I364" s="7">
        <v>2.8</v>
      </c>
      <c r="J364" s="7">
        <f t="shared" si="24"/>
        <v>8.3999999999999986</v>
      </c>
    </row>
    <row r="365" spans="1:16" ht="12.75" customHeight="1">
      <c r="A365" s="10"/>
      <c r="B365" s="10"/>
      <c r="E365" s="119" t="s">
        <v>2552</v>
      </c>
      <c r="F365" s="9">
        <v>189</v>
      </c>
      <c r="G365" s="7" t="s">
        <v>1533</v>
      </c>
      <c r="H365" s="7">
        <v>3</v>
      </c>
      <c r="I365" s="7">
        <v>2.8</v>
      </c>
      <c r="J365" s="7">
        <f t="shared" si="24"/>
        <v>8.3999999999999986</v>
      </c>
    </row>
    <row r="366" spans="1:16" ht="12.75" customHeight="1">
      <c r="A366" s="10"/>
      <c r="B366" s="10"/>
      <c r="E366" s="119" t="s">
        <v>2553</v>
      </c>
      <c r="F366" s="9">
        <v>184</v>
      </c>
      <c r="G366" s="7" t="s">
        <v>1534</v>
      </c>
      <c r="H366" s="7">
        <v>3</v>
      </c>
      <c r="I366" s="7">
        <v>2.8</v>
      </c>
      <c r="J366" s="7">
        <f t="shared" si="24"/>
        <v>8.3999999999999986</v>
      </c>
    </row>
    <row r="367" spans="1:16" ht="12.75" customHeight="1">
      <c r="A367" s="10"/>
      <c r="B367" s="10"/>
      <c r="E367" s="119" t="s">
        <v>2554</v>
      </c>
      <c r="F367" s="9">
        <v>190.3</v>
      </c>
      <c r="G367" s="7" t="s">
        <v>1535</v>
      </c>
      <c r="H367" s="7">
        <v>3</v>
      </c>
      <c r="I367" s="7">
        <v>2.8</v>
      </c>
      <c r="J367" s="7">
        <f t="shared" si="24"/>
        <v>8.3999999999999986</v>
      </c>
    </row>
    <row r="368" spans="1:16" ht="12.75" customHeight="1">
      <c r="A368" s="10"/>
      <c r="B368" s="10"/>
      <c r="E368" s="119" t="s">
        <v>2555</v>
      </c>
      <c r="F368" s="9">
        <v>173</v>
      </c>
      <c r="G368" s="7" t="s">
        <v>1536</v>
      </c>
      <c r="H368" s="7">
        <v>3</v>
      </c>
      <c r="I368" s="7">
        <v>2.8</v>
      </c>
      <c r="J368" s="7">
        <f t="shared" si="24"/>
        <v>8.3999999999999986</v>
      </c>
    </row>
    <row r="369" spans="1:16" s="4" customFormat="1" ht="12.75" customHeight="1">
      <c r="A369" s="12"/>
      <c r="B369" s="12"/>
      <c r="D369" s="5"/>
      <c r="E369" s="114"/>
      <c r="F369" s="5"/>
      <c r="H369" s="4">
        <f>SUM(H360:H368)</f>
        <v>30</v>
      </c>
      <c r="J369" s="4">
        <f>SUM(J360:J368)</f>
        <v>84</v>
      </c>
      <c r="K369" s="4">
        <v>0</v>
      </c>
      <c r="L369" s="4">
        <v>-84</v>
      </c>
      <c r="O369" s="4">
        <f>SUM(J369:N369)</f>
        <v>0</v>
      </c>
      <c r="P369" s="13" t="s">
        <v>2930</v>
      </c>
    </row>
    <row r="370" spans="1:16" ht="12.75" customHeight="1">
      <c r="A370" s="10">
        <v>43826</v>
      </c>
      <c r="B370" s="10">
        <v>1</v>
      </c>
      <c r="C370" s="7" t="s">
        <v>1342</v>
      </c>
      <c r="E370" s="128" t="s">
        <v>2556</v>
      </c>
      <c r="F370" s="124">
        <f>11.6/3</f>
        <v>3.8666666666666667</v>
      </c>
      <c r="G370" s="7" t="s">
        <v>1538</v>
      </c>
      <c r="H370" s="7">
        <v>3</v>
      </c>
      <c r="I370" s="7">
        <v>0.15</v>
      </c>
      <c r="J370" s="7">
        <f t="shared" ref="J370:J381" si="25">H370*I370</f>
        <v>0.44999999999999996</v>
      </c>
    </row>
    <row r="371" spans="1:16" ht="12.75" customHeight="1">
      <c r="A371" s="10"/>
      <c r="B371" s="10"/>
      <c r="E371" s="128" t="s">
        <v>2557</v>
      </c>
      <c r="F371" s="124">
        <f>34.4/3</f>
        <v>11.466666666666667</v>
      </c>
      <c r="G371" s="7" t="s">
        <v>1539</v>
      </c>
      <c r="H371" s="7">
        <v>3</v>
      </c>
      <c r="I371" s="7">
        <v>0.45</v>
      </c>
      <c r="J371" s="7">
        <f t="shared" si="25"/>
        <v>1.35</v>
      </c>
    </row>
    <row r="372" spans="1:16" ht="12.75" customHeight="1">
      <c r="A372" s="10"/>
      <c r="B372" s="10"/>
      <c r="E372" s="128" t="s">
        <v>2558</v>
      </c>
      <c r="F372" s="124">
        <f>99.7/3</f>
        <v>33.233333333333334</v>
      </c>
      <c r="G372" s="7" t="s">
        <v>1540</v>
      </c>
      <c r="H372" s="7">
        <v>3</v>
      </c>
      <c r="I372" s="7">
        <v>0.9</v>
      </c>
      <c r="J372" s="7">
        <f t="shared" si="25"/>
        <v>2.7</v>
      </c>
    </row>
    <row r="373" spans="1:16" ht="12.75" customHeight="1">
      <c r="A373" s="10"/>
      <c r="B373" s="10"/>
      <c r="E373" s="128" t="s">
        <v>2559</v>
      </c>
      <c r="F373" s="124">
        <f>162.1/3</f>
        <v>54.033333333333331</v>
      </c>
      <c r="G373" s="7" t="s">
        <v>1541</v>
      </c>
      <c r="H373" s="7">
        <v>3</v>
      </c>
      <c r="I373" s="7">
        <v>1.5</v>
      </c>
      <c r="J373" s="7">
        <f t="shared" si="25"/>
        <v>4.5</v>
      </c>
    </row>
    <row r="374" spans="1:16" ht="12.75" customHeight="1">
      <c r="A374" s="10"/>
      <c r="B374" s="10"/>
      <c r="E374" s="128" t="s">
        <v>2560</v>
      </c>
      <c r="F374" s="124">
        <f>201.8/3</f>
        <v>67.266666666666666</v>
      </c>
      <c r="G374" s="7" t="s">
        <v>1542</v>
      </c>
      <c r="H374" s="7">
        <v>3</v>
      </c>
      <c r="I374" s="7">
        <v>1.88</v>
      </c>
      <c r="J374" s="7">
        <f t="shared" si="25"/>
        <v>5.64</v>
      </c>
    </row>
    <row r="375" spans="1:16" ht="12.75" customHeight="1">
      <c r="A375" s="10"/>
      <c r="B375" s="10"/>
      <c r="E375" s="128" t="s">
        <v>2561</v>
      </c>
      <c r="F375" s="124">
        <f>322/3</f>
        <v>107.33333333333333</v>
      </c>
      <c r="G375" s="7" t="s">
        <v>1543</v>
      </c>
      <c r="H375" s="7">
        <v>3</v>
      </c>
      <c r="I375" s="7">
        <v>3</v>
      </c>
      <c r="J375" s="7">
        <f t="shared" si="25"/>
        <v>9</v>
      </c>
    </row>
    <row r="376" spans="1:16" ht="12.75" customHeight="1">
      <c r="A376" s="10"/>
      <c r="B376" s="10"/>
      <c r="E376" s="128" t="s">
        <v>2562</v>
      </c>
      <c r="F376" s="124">
        <f>405.5/3</f>
        <v>135.16666666666666</v>
      </c>
      <c r="G376" s="7" t="s">
        <v>1537</v>
      </c>
      <c r="H376" s="7">
        <v>3</v>
      </c>
      <c r="I376" s="7">
        <v>3.75</v>
      </c>
      <c r="J376" s="7">
        <f t="shared" si="25"/>
        <v>11.25</v>
      </c>
    </row>
    <row r="377" spans="1:16" ht="12.75" customHeight="1">
      <c r="A377" s="10"/>
      <c r="B377" s="10"/>
      <c r="E377" s="128" t="s">
        <v>2563</v>
      </c>
      <c r="F377" s="124">
        <f>19.4/3</f>
        <v>6.4666666666666659</v>
      </c>
      <c r="G377" s="7" t="s">
        <v>1343</v>
      </c>
      <c r="H377" s="7">
        <v>3</v>
      </c>
      <c r="I377" s="7">
        <v>0.21</v>
      </c>
      <c r="J377" s="7">
        <f t="shared" si="25"/>
        <v>0.63</v>
      </c>
    </row>
    <row r="378" spans="1:16" ht="12.75" customHeight="1">
      <c r="A378" s="10"/>
      <c r="B378" s="10"/>
      <c r="E378" s="128" t="s">
        <v>2564</v>
      </c>
      <c r="F378" s="124">
        <f>62/3</f>
        <v>20.666666666666668</v>
      </c>
      <c r="G378" s="7" t="s">
        <v>1344</v>
      </c>
      <c r="H378" s="7">
        <v>3</v>
      </c>
      <c r="I378" s="7">
        <v>0.56999999999999995</v>
      </c>
      <c r="J378" s="7">
        <f t="shared" si="25"/>
        <v>1.71</v>
      </c>
    </row>
    <row r="379" spans="1:16" ht="12.75" customHeight="1">
      <c r="A379" s="10"/>
      <c r="B379" s="10"/>
      <c r="E379" s="128" t="s">
        <v>2565</v>
      </c>
      <c r="F379" s="124">
        <f>123.1/3</f>
        <v>41.033333333333331</v>
      </c>
      <c r="G379" s="7" t="s">
        <v>1345</v>
      </c>
      <c r="H379" s="7">
        <v>3</v>
      </c>
      <c r="I379" s="7">
        <v>1.1200000000000001</v>
      </c>
      <c r="J379" s="7">
        <f t="shared" si="25"/>
        <v>3.3600000000000003</v>
      </c>
    </row>
    <row r="380" spans="1:16" ht="12.75" customHeight="1">
      <c r="A380" s="10"/>
      <c r="B380" s="10"/>
      <c r="E380" s="128" t="s">
        <v>2566</v>
      </c>
      <c r="F380" s="124">
        <f>205.4/3</f>
        <v>68.466666666666669</v>
      </c>
      <c r="G380" s="7" t="s">
        <v>1346</v>
      </c>
      <c r="H380" s="7">
        <v>3</v>
      </c>
      <c r="I380" s="7">
        <v>1.84</v>
      </c>
      <c r="J380" s="7">
        <f t="shared" si="25"/>
        <v>5.5200000000000005</v>
      </c>
    </row>
    <row r="381" spans="1:16" ht="12.75" customHeight="1">
      <c r="A381" s="10"/>
      <c r="B381" s="10"/>
      <c r="E381" s="128" t="s">
        <v>2567</v>
      </c>
      <c r="F381" s="124">
        <f>323.4/3</f>
        <v>107.8</v>
      </c>
      <c r="G381" s="7" t="s">
        <v>1347</v>
      </c>
      <c r="H381" s="7">
        <v>3</v>
      </c>
      <c r="I381" s="7">
        <v>2.29</v>
      </c>
      <c r="J381" s="7">
        <f t="shared" si="25"/>
        <v>6.87</v>
      </c>
    </row>
    <row r="382" spans="1:16" s="4" customFormat="1" ht="12.75" customHeight="1">
      <c r="A382" s="12"/>
      <c r="B382" s="12"/>
      <c r="D382" s="5"/>
      <c r="E382" s="114"/>
      <c r="F382" s="5"/>
      <c r="H382" s="4">
        <f>SUM(H370:H381)</f>
        <v>36</v>
      </c>
      <c r="J382" s="4">
        <f>SUM(J370:J381)</f>
        <v>52.980000000000004</v>
      </c>
      <c r="K382" s="4">
        <v>6</v>
      </c>
      <c r="L382" s="4">
        <v>-58.98</v>
      </c>
      <c r="O382" s="4">
        <f>SUM(J382:N382)</f>
        <v>0</v>
      </c>
      <c r="P382" s="13" t="s">
        <v>2931</v>
      </c>
    </row>
    <row r="383" spans="1:16" ht="12.75" customHeight="1">
      <c r="A383" s="10">
        <v>43826</v>
      </c>
      <c r="B383" s="10">
        <v>1</v>
      </c>
      <c r="C383" s="7" t="s">
        <v>1348</v>
      </c>
      <c r="E383" s="128" t="s">
        <v>2568</v>
      </c>
      <c r="F383" s="9">
        <v>49.6</v>
      </c>
      <c r="G383" s="7" t="s">
        <v>1544</v>
      </c>
      <c r="H383" s="7">
        <v>5</v>
      </c>
      <c r="I383" s="7">
        <v>2</v>
      </c>
      <c r="J383" s="7">
        <f>H383*I383</f>
        <v>10</v>
      </c>
    </row>
    <row r="384" spans="1:16" ht="12.75" customHeight="1">
      <c r="A384" s="10"/>
      <c r="B384" s="10"/>
      <c r="E384" s="128" t="s">
        <v>2569</v>
      </c>
      <c r="F384" s="9">
        <v>114.9</v>
      </c>
      <c r="G384" s="7" t="s">
        <v>1545</v>
      </c>
      <c r="H384" s="7">
        <v>3</v>
      </c>
      <c r="I384" s="7">
        <v>3.7</v>
      </c>
      <c r="J384" s="7">
        <f>H384*I384</f>
        <v>11.100000000000001</v>
      </c>
    </row>
    <row r="385" spans="1:16" ht="12.75" customHeight="1">
      <c r="A385" s="10"/>
      <c r="B385" s="10"/>
      <c r="E385" s="128" t="s">
        <v>2570</v>
      </c>
      <c r="F385" s="9">
        <v>86.2</v>
      </c>
      <c r="G385" s="7" t="s">
        <v>1546</v>
      </c>
      <c r="H385" s="7">
        <v>3</v>
      </c>
      <c r="I385" s="7">
        <v>2.5</v>
      </c>
      <c r="J385" s="7">
        <f>H385*I385</f>
        <v>7.5</v>
      </c>
    </row>
    <row r="386" spans="1:16" ht="12.75" customHeight="1">
      <c r="A386" s="10"/>
      <c r="B386" s="10"/>
      <c r="E386" s="128" t="s">
        <v>2571</v>
      </c>
      <c r="F386" s="9">
        <v>121.4</v>
      </c>
      <c r="G386" s="7" t="s">
        <v>1547</v>
      </c>
      <c r="H386" s="7">
        <v>3</v>
      </c>
      <c r="I386" s="7">
        <v>3.7</v>
      </c>
      <c r="J386" s="7">
        <f>H386*I386</f>
        <v>11.100000000000001</v>
      </c>
    </row>
    <row r="387" spans="1:16" s="4" customFormat="1" ht="12.75" customHeight="1">
      <c r="A387" s="12"/>
      <c r="B387" s="12"/>
      <c r="D387" s="5"/>
      <c r="E387" s="114"/>
      <c r="F387" s="5"/>
      <c r="H387" s="4">
        <f>SUM(H383:H386)</f>
        <v>14</v>
      </c>
      <c r="J387" s="4">
        <f>SUM(J383:J386)</f>
        <v>39.700000000000003</v>
      </c>
      <c r="K387" s="4">
        <v>0</v>
      </c>
      <c r="L387" s="4">
        <v>-39.700000000000003</v>
      </c>
      <c r="O387" s="4">
        <f>SUM(J387:N387)</f>
        <v>0</v>
      </c>
      <c r="P387" s="13" t="s">
        <v>2932</v>
      </c>
    </row>
    <row r="388" spans="1:16" ht="12.75" customHeight="1">
      <c r="A388" s="10">
        <v>43826</v>
      </c>
      <c r="B388" s="10">
        <v>1</v>
      </c>
      <c r="C388" s="7" t="s">
        <v>1350</v>
      </c>
      <c r="E388" s="128" t="s">
        <v>3096</v>
      </c>
      <c r="F388" s="9">
        <v>40.5</v>
      </c>
      <c r="G388" s="7" t="s">
        <v>1351</v>
      </c>
      <c r="H388" s="7">
        <v>3</v>
      </c>
      <c r="I388" s="7">
        <v>0.62</v>
      </c>
      <c r="J388" s="7">
        <f t="shared" ref="J388:J411" si="26">H388*I388</f>
        <v>1.8599999999999999</v>
      </c>
    </row>
    <row r="389" spans="1:16" ht="12.75" customHeight="1">
      <c r="A389" s="10"/>
      <c r="B389" s="10"/>
      <c r="E389" s="128" t="s">
        <v>3097</v>
      </c>
      <c r="F389" s="9">
        <v>40.5</v>
      </c>
      <c r="G389" s="7" t="s">
        <v>1374</v>
      </c>
      <c r="H389" s="7">
        <v>3</v>
      </c>
      <c r="I389" s="7">
        <v>0.62</v>
      </c>
      <c r="J389" s="7">
        <f t="shared" si="26"/>
        <v>1.8599999999999999</v>
      </c>
    </row>
    <row r="390" spans="1:16" ht="12.75" customHeight="1">
      <c r="A390" s="10"/>
      <c r="B390" s="10"/>
      <c r="E390" s="128" t="s">
        <v>3098</v>
      </c>
      <c r="F390" s="9">
        <v>40.5</v>
      </c>
      <c r="G390" s="7" t="s">
        <v>1353</v>
      </c>
      <c r="H390" s="7">
        <v>3</v>
      </c>
      <c r="I390" s="7">
        <v>0.62</v>
      </c>
      <c r="J390" s="7">
        <f t="shared" si="26"/>
        <v>1.8599999999999999</v>
      </c>
    </row>
    <row r="391" spans="1:16" ht="12.75" customHeight="1">
      <c r="A391" s="10"/>
      <c r="B391" s="10"/>
      <c r="E391" s="128" t="s">
        <v>3099</v>
      </c>
      <c r="F391" s="9">
        <v>40.5</v>
      </c>
      <c r="G391" s="7" t="s">
        <v>1355</v>
      </c>
      <c r="H391" s="7">
        <v>3</v>
      </c>
      <c r="I391" s="7">
        <v>0.62</v>
      </c>
      <c r="J391" s="7">
        <f t="shared" si="26"/>
        <v>1.8599999999999999</v>
      </c>
    </row>
    <row r="392" spans="1:16" ht="12.75" customHeight="1">
      <c r="A392" s="10"/>
      <c r="B392" s="10"/>
      <c r="E392" s="128" t="s">
        <v>3100</v>
      </c>
      <c r="F392" s="9">
        <v>40.5</v>
      </c>
      <c r="G392" s="7" t="s">
        <v>1356</v>
      </c>
      <c r="H392" s="7">
        <v>3</v>
      </c>
      <c r="I392" s="7">
        <v>0.62</v>
      </c>
      <c r="J392" s="7">
        <f t="shared" si="26"/>
        <v>1.8599999999999999</v>
      </c>
    </row>
    <row r="393" spans="1:16" ht="12.75" customHeight="1">
      <c r="A393" s="10"/>
      <c r="B393" s="10"/>
      <c r="E393" s="128" t="s">
        <v>3101</v>
      </c>
      <c r="F393" s="9">
        <v>40.5</v>
      </c>
      <c r="G393" s="7" t="s">
        <v>1354</v>
      </c>
      <c r="H393" s="7">
        <v>3</v>
      </c>
      <c r="I393" s="7">
        <v>0.62</v>
      </c>
      <c r="J393" s="7">
        <f t="shared" si="26"/>
        <v>1.8599999999999999</v>
      </c>
    </row>
    <row r="394" spans="1:16" ht="12.75" customHeight="1">
      <c r="A394" s="10"/>
      <c r="B394" s="10"/>
      <c r="E394" s="128" t="s">
        <v>3102</v>
      </c>
      <c r="F394" s="9">
        <v>40.5</v>
      </c>
      <c r="G394" s="7" t="s">
        <v>1352</v>
      </c>
      <c r="H394" s="7">
        <v>3</v>
      </c>
      <c r="I394" s="7">
        <v>0.62</v>
      </c>
      <c r="J394" s="7">
        <f t="shared" si="26"/>
        <v>1.8599999999999999</v>
      </c>
    </row>
    <row r="395" spans="1:16" ht="12.75" customHeight="1">
      <c r="A395" s="10"/>
      <c r="B395" s="10"/>
      <c r="E395" s="128" t="s">
        <v>3103</v>
      </c>
      <c r="F395" s="9">
        <f>15.6+30.7</f>
        <v>46.3</v>
      </c>
      <c r="G395" s="7" t="s">
        <v>1357</v>
      </c>
      <c r="H395" s="7">
        <v>3</v>
      </c>
      <c r="I395" s="7">
        <v>2.4</v>
      </c>
      <c r="J395" s="7">
        <f t="shared" si="26"/>
        <v>7.1999999999999993</v>
      </c>
    </row>
    <row r="396" spans="1:16" ht="12.75" customHeight="1">
      <c r="A396" s="10"/>
      <c r="B396" s="10"/>
      <c r="E396" s="128" t="s">
        <v>3104</v>
      </c>
      <c r="F396" s="9">
        <f>15.6+30.7</f>
        <v>46.3</v>
      </c>
      <c r="G396" s="7" t="s">
        <v>1358</v>
      </c>
      <c r="H396" s="7">
        <v>3</v>
      </c>
      <c r="I396" s="7">
        <v>2.4</v>
      </c>
      <c r="J396" s="7">
        <f t="shared" si="26"/>
        <v>7.1999999999999993</v>
      </c>
    </row>
    <row r="397" spans="1:16" ht="12.75" customHeight="1">
      <c r="A397" s="10"/>
      <c r="B397" s="10"/>
      <c r="E397" s="128" t="s">
        <v>3105</v>
      </c>
      <c r="F397" s="9">
        <f>46-7</f>
        <v>39</v>
      </c>
      <c r="G397" s="7" t="s">
        <v>1359</v>
      </c>
      <c r="H397" s="7">
        <v>6</v>
      </c>
      <c r="I397" s="7">
        <v>1.45</v>
      </c>
      <c r="J397" s="7">
        <f t="shared" si="26"/>
        <v>8.6999999999999993</v>
      </c>
    </row>
    <row r="398" spans="1:16" ht="12.75" customHeight="1">
      <c r="A398" s="10"/>
      <c r="B398" s="10"/>
      <c r="E398" s="128" t="s">
        <v>3106</v>
      </c>
      <c r="F398" s="9">
        <f>53.2-7</f>
        <v>46.2</v>
      </c>
      <c r="G398" s="7" t="s">
        <v>1377</v>
      </c>
      <c r="H398" s="7">
        <v>3</v>
      </c>
      <c r="I398" s="7">
        <v>2.1</v>
      </c>
      <c r="J398" s="7">
        <f t="shared" si="26"/>
        <v>6.3000000000000007</v>
      </c>
    </row>
    <row r="399" spans="1:16" ht="12.75" customHeight="1">
      <c r="A399" s="10"/>
      <c r="B399" s="10"/>
      <c r="E399" s="128" t="s">
        <v>3107</v>
      </c>
      <c r="F399" s="9">
        <f>85.4-7</f>
        <v>78.400000000000006</v>
      </c>
      <c r="G399" s="7" t="s">
        <v>1360</v>
      </c>
      <c r="H399" s="7">
        <v>3</v>
      </c>
      <c r="I399" s="7">
        <v>1.94</v>
      </c>
      <c r="J399" s="7">
        <f t="shared" si="26"/>
        <v>5.82</v>
      </c>
    </row>
    <row r="400" spans="1:16" ht="12.75" customHeight="1">
      <c r="A400" s="10"/>
      <c r="B400" s="10"/>
      <c r="E400" s="128" t="s">
        <v>3108</v>
      </c>
      <c r="F400" s="9">
        <f>85.4-7</f>
        <v>78.400000000000006</v>
      </c>
      <c r="G400" s="7" t="s">
        <v>1380</v>
      </c>
      <c r="H400" s="7">
        <v>3</v>
      </c>
      <c r="I400" s="7">
        <v>1.94</v>
      </c>
      <c r="J400" s="7">
        <f t="shared" si="26"/>
        <v>5.82</v>
      </c>
    </row>
    <row r="401" spans="1:16" ht="12.75" customHeight="1">
      <c r="A401" s="10"/>
      <c r="B401" s="10"/>
      <c r="E401" s="128" t="s">
        <v>3109</v>
      </c>
      <c r="F401" s="9">
        <f>85.4-7</f>
        <v>78.400000000000006</v>
      </c>
      <c r="G401" s="7" t="s">
        <v>1381</v>
      </c>
      <c r="H401" s="7">
        <v>3</v>
      </c>
      <c r="I401" s="7">
        <v>1.94</v>
      </c>
      <c r="J401" s="7">
        <f t="shared" si="26"/>
        <v>5.82</v>
      </c>
    </row>
    <row r="402" spans="1:16" ht="12.75" customHeight="1">
      <c r="A402" s="10"/>
      <c r="B402" s="10"/>
      <c r="E402" s="128" t="s">
        <v>3110</v>
      </c>
      <c r="F402" s="9">
        <f>39.5-7</f>
        <v>32.5</v>
      </c>
      <c r="G402" s="7" t="s">
        <v>1361</v>
      </c>
      <c r="H402" s="7">
        <v>3</v>
      </c>
      <c r="I402" s="7">
        <v>1.88</v>
      </c>
      <c r="J402" s="7">
        <f t="shared" si="26"/>
        <v>5.64</v>
      </c>
    </row>
    <row r="403" spans="1:16" ht="12.75" customHeight="1">
      <c r="A403" s="10"/>
      <c r="B403" s="10"/>
      <c r="E403" s="128" t="s">
        <v>3111</v>
      </c>
      <c r="F403" s="9">
        <f>39.5-7</f>
        <v>32.5</v>
      </c>
      <c r="G403" s="7" t="s">
        <v>1362</v>
      </c>
      <c r="H403" s="7">
        <v>3</v>
      </c>
      <c r="I403" s="7">
        <v>1.88</v>
      </c>
      <c r="J403" s="7">
        <f t="shared" si="26"/>
        <v>5.64</v>
      </c>
    </row>
    <row r="404" spans="1:16" ht="12.75" customHeight="1">
      <c r="A404" s="10"/>
      <c r="B404" s="10"/>
      <c r="E404" s="128" t="s">
        <v>3112</v>
      </c>
      <c r="F404" s="9">
        <f>39.5-7</f>
        <v>32.5</v>
      </c>
      <c r="G404" s="7" t="s">
        <v>1382</v>
      </c>
      <c r="H404" s="7">
        <v>3</v>
      </c>
      <c r="I404" s="7">
        <v>1.88</v>
      </c>
      <c r="J404" s="7">
        <f t="shared" si="26"/>
        <v>5.64</v>
      </c>
    </row>
    <row r="405" spans="1:16" ht="12.75" customHeight="1">
      <c r="A405" s="10"/>
      <c r="B405" s="10"/>
      <c r="E405" s="128" t="s">
        <v>3113</v>
      </c>
      <c r="F405" s="9">
        <v>25.5</v>
      </c>
      <c r="G405" s="7" t="s">
        <v>3183</v>
      </c>
      <c r="H405" s="7">
        <v>6</v>
      </c>
      <c r="I405" s="7">
        <v>1.49</v>
      </c>
      <c r="J405" s="7">
        <f t="shared" si="26"/>
        <v>8.94</v>
      </c>
    </row>
    <row r="406" spans="1:16" ht="12.75" customHeight="1">
      <c r="A406" s="10"/>
      <c r="B406" s="10"/>
      <c r="E406" s="128" t="s">
        <v>3114</v>
      </c>
      <c r="F406" s="9">
        <v>24.5</v>
      </c>
      <c r="G406" s="7" t="s">
        <v>1363</v>
      </c>
      <c r="H406" s="7">
        <v>3</v>
      </c>
      <c r="I406" s="7">
        <v>2.0699999999999998</v>
      </c>
      <c r="J406" s="7">
        <f t="shared" si="26"/>
        <v>6.2099999999999991</v>
      </c>
    </row>
    <row r="407" spans="1:16" ht="12.75" customHeight="1">
      <c r="A407" s="10"/>
      <c r="B407" s="10"/>
      <c r="E407" s="128" t="s">
        <v>3115</v>
      </c>
      <c r="F407" s="9">
        <v>24.5</v>
      </c>
      <c r="G407" s="7" t="s">
        <v>1379</v>
      </c>
      <c r="H407" s="7">
        <v>3</v>
      </c>
      <c r="I407" s="7">
        <v>2.0699999999999998</v>
      </c>
      <c r="J407" s="7">
        <f t="shared" si="26"/>
        <v>6.2099999999999991</v>
      </c>
    </row>
    <row r="408" spans="1:16" ht="12.75" customHeight="1">
      <c r="A408" s="10"/>
      <c r="B408" s="10"/>
      <c r="E408" s="128" t="s">
        <v>3116</v>
      </c>
      <c r="F408" s="9">
        <v>24.5</v>
      </c>
      <c r="G408" s="7" t="s">
        <v>1383</v>
      </c>
      <c r="H408" s="7">
        <v>3</v>
      </c>
      <c r="I408" s="7">
        <v>2.0699999999999998</v>
      </c>
      <c r="J408" s="7">
        <f t="shared" si="26"/>
        <v>6.2099999999999991</v>
      </c>
    </row>
    <row r="409" spans="1:16" ht="12.75" customHeight="1">
      <c r="A409" s="10"/>
      <c r="B409" s="10"/>
      <c r="E409" s="128" t="s">
        <v>3117</v>
      </c>
      <c r="F409" s="9">
        <v>28</v>
      </c>
      <c r="G409" s="7" t="s">
        <v>1375</v>
      </c>
      <c r="H409" s="7">
        <v>3</v>
      </c>
      <c r="I409" s="7">
        <v>2.2200000000000002</v>
      </c>
      <c r="J409" s="7">
        <f t="shared" si="26"/>
        <v>6.66</v>
      </c>
    </row>
    <row r="410" spans="1:16" ht="12.75" customHeight="1">
      <c r="A410" s="10"/>
      <c r="B410" s="10"/>
      <c r="E410" s="128" t="s">
        <v>3118</v>
      </c>
      <c r="F410" s="9">
        <v>28</v>
      </c>
      <c r="G410" s="7" t="s">
        <v>1376</v>
      </c>
      <c r="H410" s="7">
        <v>3</v>
      </c>
      <c r="I410" s="7">
        <v>2.2200000000000002</v>
      </c>
      <c r="J410" s="7">
        <f t="shared" si="26"/>
        <v>6.66</v>
      </c>
    </row>
    <row r="411" spans="1:16" ht="12.75" customHeight="1">
      <c r="A411" s="10"/>
      <c r="B411" s="10"/>
      <c r="E411" s="128" t="s">
        <v>3119</v>
      </c>
      <c r="F411" s="9">
        <v>28</v>
      </c>
      <c r="G411" s="7" t="s">
        <v>1378</v>
      </c>
      <c r="H411" s="7">
        <v>3</v>
      </c>
      <c r="I411" s="7">
        <v>2.2200000000000002</v>
      </c>
      <c r="J411" s="7">
        <f t="shared" si="26"/>
        <v>6.66</v>
      </c>
    </row>
    <row r="412" spans="1:16" s="4" customFormat="1" ht="12.75" customHeight="1">
      <c r="A412" s="12"/>
      <c r="B412" s="12"/>
      <c r="D412" s="5"/>
      <c r="E412" s="114"/>
      <c r="F412" s="5"/>
      <c r="H412" s="4">
        <f>SUM(H388:H411)</f>
        <v>78</v>
      </c>
      <c r="J412" s="4">
        <f>SUM(J388:J411)</f>
        <v>124.34999999999997</v>
      </c>
      <c r="K412" s="4">
        <v>18</v>
      </c>
      <c r="L412" s="4">
        <v>-142.35</v>
      </c>
      <c r="O412" s="4">
        <f>SUM(J412:N412)</f>
        <v>0</v>
      </c>
      <c r="P412" s="13" t="s">
        <v>2933</v>
      </c>
    </row>
    <row r="413" spans="1:16" ht="12.75" customHeight="1">
      <c r="A413" s="10">
        <v>43826</v>
      </c>
      <c r="B413" s="10">
        <v>1</v>
      </c>
      <c r="C413" s="7" t="s">
        <v>1387</v>
      </c>
      <c r="E413" s="128" t="s">
        <v>2572</v>
      </c>
      <c r="F413" s="9">
        <v>169.4</v>
      </c>
      <c r="G413" s="7" t="s">
        <v>1548</v>
      </c>
      <c r="H413" s="7">
        <v>3</v>
      </c>
      <c r="I413" s="7">
        <v>3.18</v>
      </c>
      <c r="J413" s="7">
        <f t="shared" ref="J413:J418" si="27">H413*I413</f>
        <v>9.5400000000000009</v>
      </c>
    </row>
    <row r="414" spans="1:16" ht="12.75" customHeight="1">
      <c r="A414" s="10"/>
      <c r="B414" s="10"/>
      <c r="E414" s="128" t="s">
        <v>2573</v>
      </c>
      <c r="F414" s="9">
        <v>169.4</v>
      </c>
      <c r="G414" s="7" t="s">
        <v>1549</v>
      </c>
      <c r="H414" s="7">
        <v>3</v>
      </c>
      <c r="I414" s="7">
        <v>3.18</v>
      </c>
      <c r="J414" s="7">
        <f t="shared" si="27"/>
        <v>9.5400000000000009</v>
      </c>
    </row>
    <row r="415" spans="1:16" ht="12.75" customHeight="1">
      <c r="A415" s="10"/>
      <c r="B415" s="10"/>
      <c r="E415" s="128" t="s">
        <v>2574</v>
      </c>
      <c r="F415" s="9">
        <v>162.19999999999999</v>
      </c>
      <c r="G415" s="7" t="s">
        <v>1550</v>
      </c>
      <c r="H415" s="7">
        <v>3</v>
      </c>
      <c r="I415" s="7">
        <v>3.18</v>
      </c>
      <c r="J415" s="7">
        <f t="shared" si="27"/>
        <v>9.5400000000000009</v>
      </c>
    </row>
    <row r="416" spans="1:16" ht="12.75" customHeight="1">
      <c r="A416" s="10"/>
      <c r="B416" s="10"/>
      <c r="E416" s="128" t="s">
        <v>2575</v>
      </c>
      <c r="F416" s="9">
        <v>70</v>
      </c>
      <c r="G416" s="7" t="s">
        <v>1384</v>
      </c>
      <c r="H416" s="7">
        <v>5</v>
      </c>
      <c r="I416" s="7">
        <v>0.57999999999999996</v>
      </c>
      <c r="J416" s="7">
        <f t="shared" si="27"/>
        <v>2.9</v>
      </c>
    </row>
    <row r="417" spans="1:16" ht="12.75" customHeight="1">
      <c r="A417" s="10"/>
      <c r="B417" s="10"/>
      <c r="E417" s="128" t="s">
        <v>2576</v>
      </c>
      <c r="F417" s="9">
        <v>70</v>
      </c>
      <c r="G417" s="7" t="s">
        <v>1385</v>
      </c>
      <c r="H417" s="7">
        <v>5</v>
      </c>
      <c r="I417" s="7">
        <v>0.57999999999999996</v>
      </c>
      <c r="J417" s="7">
        <f t="shared" si="27"/>
        <v>2.9</v>
      </c>
    </row>
    <row r="418" spans="1:16" ht="12.75" customHeight="1">
      <c r="A418" s="10"/>
      <c r="B418" s="10"/>
      <c r="E418" s="128" t="s">
        <v>2577</v>
      </c>
      <c r="F418" s="9">
        <v>70</v>
      </c>
      <c r="G418" s="7" t="s">
        <v>1386</v>
      </c>
      <c r="H418" s="7">
        <v>5</v>
      </c>
      <c r="I418" s="7">
        <v>0.57999999999999996</v>
      </c>
      <c r="J418" s="7">
        <f t="shared" si="27"/>
        <v>2.9</v>
      </c>
    </row>
    <row r="419" spans="1:16" s="4" customFormat="1" ht="12.75" customHeight="1">
      <c r="A419" s="12"/>
      <c r="B419" s="12"/>
      <c r="D419" s="5"/>
      <c r="E419" s="128" t="s">
        <v>2577</v>
      </c>
      <c r="F419" s="5"/>
      <c r="H419" s="4">
        <f>SUM(H413:H418)</f>
        <v>24</v>
      </c>
      <c r="J419" s="4">
        <f>SUM(J413:J418)</f>
        <v>37.32</v>
      </c>
      <c r="K419" s="4">
        <v>12.5</v>
      </c>
      <c r="L419" s="4">
        <v>-49.82</v>
      </c>
      <c r="O419" s="4">
        <f>SUM(J419:N419)</f>
        <v>0</v>
      </c>
      <c r="P419" s="13" t="s">
        <v>2934</v>
      </c>
    </row>
    <row r="420" spans="1:16" ht="12.75" customHeight="1">
      <c r="A420" s="10">
        <v>43826</v>
      </c>
      <c r="B420" s="10">
        <v>1</v>
      </c>
      <c r="C420" s="7" t="s">
        <v>1402</v>
      </c>
      <c r="E420" s="128" t="s">
        <v>2578</v>
      </c>
      <c r="F420" s="9">
        <v>8.6999999999999993</v>
      </c>
      <c r="G420" s="7" t="s">
        <v>1551</v>
      </c>
      <c r="H420" s="7">
        <v>10</v>
      </c>
      <c r="I420" s="7">
        <v>0.5</v>
      </c>
      <c r="J420" s="7">
        <f t="shared" ref="J420:J446" si="28">H420*I420</f>
        <v>5</v>
      </c>
    </row>
    <row r="421" spans="1:16" ht="12.75" customHeight="1">
      <c r="A421" s="10"/>
      <c r="B421" s="10"/>
      <c r="E421" s="128" t="s">
        <v>2579</v>
      </c>
      <c r="F421" s="9">
        <v>13.5</v>
      </c>
      <c r="G421" s="7" t="s">
        <v>1552</v>
      </c>
      <c r="H421" s="7">
        <v>6</v>
      </c>
      <c r="I421" s="7">
        <v>0.5</v>
      </c>
      <c r="J421" s="7">
        <f t="shared" si="28"/>
        <v>3</v>
      </c>
    </row>
    <row r="422" spans="1:16" ht="12.75" customHeight="1">
      <c r="A422" s="10"/>
      <c r="B422" s="10"/>
      <c r="E422" s="128" t="s">
        <v>2580</v>
      </c>
      <c r="F422" s="9">
        <v>14.5</v>
      </c>
      <c r="G422" s="7" t="s">
        <v>1553</v>
      </c>
      <c r="H422" s="7">
        <v>6</v>
      </c>
      <c r="I422" s="7">
        <v>0.5</v>
      </c>
      <c r="J422" s="7">
        <f t="shared" si="28"/>
        <v>3</v>
      </c>
    </row>
    <row r="423" spans="1:16" ht="12.75" customHeight="1">
      <c r="A423" s="10"/>
      <c r="B423" s="10"/>
      <c r="E423" s="128" t="s">
        <v>2581</v>
      </c>
      <c r="F423" s="9">
        <v>20.399999999999999</v>
      </c>
      <c r="G423" s="7" t="s">
        <v>1554</v>
      </c>
      <c r="H423" s="7">
        <v>3</v>
      </c>
      <c r="I423" s="7">
        <v>0.52</v>
      </c>
      <c r="J423" s="7">
        <f t="shared" si="28"/>
        <v>1.56</v>
      </c>
    </row>
    <row r="424" spans="1:16" ht="12.75" customHeight="1">
      <c r="A424" s="10"/>
      <c r="B424" s="10"/>
      <c r="E424" s="128" t="s">
        <v>2582</v>
      </c>
      <c r="F424" s="9">
        <v>20.399999999999999</v>
      </c>
      <c r="G424" s="7" t="s">
        <v>1555</v>
      </c>
      <c r="H424" s="7">
        <v>3</v>
      </c>
      <c r="I424" s="7">
        <v>0.52</v>
      </c>
      <c r="J424" s="7">
        <f t="shared" si="28"/>
        <v>1.56</v>
      </c>
    </row>
    <row r="425" spans="1:16" ht="12.75" customHeight="1">
      <c r="A425" s="10"/>
      <c r="B425" s="10"/>
      <c r="E425" s="128" t="s">
        <v>2583</v>
      </c>
      <c r="F425" s="9">
        <v>20.399999999999999</v>
      </c>
      <c r="G425" s="7" t="s">
        <v>1556</v>
      </c>
      <c r="H425" s="7">
        <v>3</v>
      </c>
      <c r="I425" s="7">
        <v>0.52</v>
      </c>
      <c r="J425" s="7">
        <f t="shared" si="28"/>
        <v>1.56</v>
      </c>
    </row>
    <row r="426" spans="1:16" ht="12.75" customHeight="1">
      <c r="A426" s="10"/>
      <c r="B426" s="10"/>
      <c r="E426" s="128" t="s">
        <v>2584</v>
      </c>
      <c r="F426" s="9">
        <v>41.5</v>
      </c>
      <c r="G426" s="7" t="s">
        <v>1558</v>
      </c>
      <c r="H426" s="7">
        <v>3</v>
      </c>
      <c r="I426" s="7">
        <v>2.4</v>
      </c>
      <c r="J426" s="7">
        <f t="shared" si="28"/>
        <v>7.1999999999999993</v>
      </c>
    </row>
    <row r="427" spans="1:16" ht="12.75" customHeight="1">
      <c r="A427" s="10"/>
      <c r="B427" s="10"/>
      <c r="E427" s="128" t="s">
        <v>2585</v>
      </c>
      <c r="F427" s="9">
        <v>42.9</v>
      </c>
      <c r="G427" s="7" t="s">
        <v>1559</v>
      </c>
      <c r="H427" s="7">
        <v>3</v>
      </c>
      <c r="I427" s="7">
        <v>2.4</v>
      </c>
      <c r="J427" s="7">
        <f t="shared" si="28"/>
        <v>7.1999999999999993</v>
      </c>
    </row>
    <row r="428" spans="1:16" ht="12.75" customHeight="1">
      <c r="A428" s="10"/>
      <c r="B428" s="10"/>
      <c r="E428" s="128" t="s">
        <v>2586</v>
      </c>
      <c r="F428" s="9">
        <v>65.400000000000006</v>
      </c>
      <c r="G428" s="7" t="s">
        <v>1557</v>
      </c>
      <c r="H428" s="7">
        <v>3</v>
      </c>
      <c r="I428" s="7">
        <v>3.2</v>
      </c>
      <c r="J428" s="7">
        <f t="shared" si="28"/>
        <v>9.6000000000000014</v>
      </c>
    </row>
    <row r="429" spans="1:16" ht="12.75" customHeight="1">
      <c r="E429" s="128" t="s">
        <v>2587</v>
      </c>
      <c r="F429" s="9">
        <v>43</v>
      </c>
      <c r="G429" s="7" t="s">
        <v>1560</v>
      </c>
      <c r="H429" s="7">
        <v>3</v>
      </c>
      <c r="I429" s="7">
        <v>0.9</v>
      </c>
      <c r="J429" s="7">
        <f t="shared" si="28"/>
        <v>2.7</v>
      </c>
    </row>
    <row r="430" spans="1:16" ht="12.75" customHeight="1">
      <c r="A430" s="10"/>
      <c r="B430" s="10"/>
      <c r="E430" s="128" t="s">
        <v>2588</v>
      </c>
      <c r="F430" s="9">
        <v>43</v>
      </c>
      <c r="G430" s="7" t="s">
        <v>1561</v>
      </c>
      <c r="H430" s="7">
        <v>3</v>
      </c>
      <c r="I430" s="7">
        <v>0.9</v>
      </c>
      <c r="J430" s="7">
        <f t="shared" si="28"/>
        <v>2.7</v>
      </c>
    </row>
    <row r="431" spans="1:16" ht="12.75" customHeight="1">
      <c r="A431" s="10"/>
      <c r="B431" s="10"/>
      <c r="E431" s="128" t="s">
        <v>2589</v>
      </c>
      <c r="F431" s="9">
        <v>43</v>
      </c>
      <c r="G431" s="7" t="s">
        <v>1562</v>
      </c>
      <c r="H431" s="7">
        <v>3</v>
      </c>
      <c r="I431" s="7">
        <v>0.9</v>
      </c>
      <c r="J431" s="7">
        <f t="shared" si="28"/>
        <v>2.7</v>
      </c>
    </row>
    <row r="432" spans="1:16" ht="12.75" customHeight="1">
      <c r="A432" s="10"/>
      <c r="B432" s="10"/>
      <c r="E432" s="128" t="s">
        <v>2590</v>
      </c>
      <c r="F432" s="9">
        <v>43</v>
      </c>
      <c r="G432" s="7" t="s">
        <v>1563</v>
      </c>
      <c r="H432" s="7">
        <v>3</v>
      </c>
      <c r="I432" s="7">
        <v>0.9</v>
      </c>
      <c r="J432" s="7">
        <f t="shared" si="28"/>
        <v>2.7</v>
      </c>
    </row>
    <row r="433" spans="1:16" ht="12.75" customHeight="1">
      <c r="A433" s="10"/>
      <c r="B433" s="10"/>
      <c r="E433" s="128" t="s">
        <v>2591</v>
      </c>
      <c r="F433" s="9">
        <v>43</v>
      </c>
      <c r="G433" s="7" t="s">
        <v>1564</v>
      </c>
      <c r="H433" s="7">
        <v>3</v>
      </c>
      <c r="I433" s="7">
        <v>0.9</v>
      </c>
      <c r="J433" s="7">
        <f t="shared" si="28"/>
        <v>2.7</v>
      </c>
    </row>
    <row r="434" spans="1:16" ht="12.75" customHeight="1">
      <c r="A434" s="10"/>
      <c r="B434" s="10"/>
      <c r="E434" s="128" t="s">
        <v>2592</v>
      </c>
      <c r="F434" s="9">
        <v>43</v>
      </c>
      <c r="G434" s="7" t="s">
        <v>1565</v>
      </c>
      <c r="H434" s="7">
        <v>3</v>
      </c>
      <c r="I434" s="7">
        <v>0.9</v>
      </c>
      <c r="J434" s="7">
        <f t="shared" si="28"/>
        <v>2.7</v>
      </c>
    </row>
    <row r="435" spans="1:16" ht="12.75" customHeight="1">
      <c r="A435" s="10"/>
      <c r="B435" s="10"/>
      <c r="E435" s="128" t="s">
        <v>2593</v>
      </c>
      <c r="F435" s="9">
        <v>43</v>
      </c>
      <c r="G435" s="7" t="s">
        <v>1566</v>
      </c>
      <c r="H435" s="7">
        <v>3</v>
      </c>
      <c r="I435" s="7">
        <v>0.9</v>
      </c>
      <c r="J435" s="7">
        <f t="shared" si="28"/>
        <v>2.7</v>
      </c>
    </row>
    <row r="436" spans="1:16" ht="12.75" customHeight="1">
      <c r="A436" s="10"/>
      <c r="B436" s="10"/>
      <c r="E436" s="128" t="s">
        <v>2594</v>
      </c>
      <c r="F436" s="9">
        <v>43</v>
      </c>
      <c r="G436" s="7" t="s">
        <v>1567</v>
      </c>
      <c r="H436" s="7">
        <v>3</v>
      </c>
      <c r="I436" s="7">
        <v>0.9</v>
      </c>
      <c r="J436" s="7">
        <f t="shared" si="28"/>
        <v>2.7</v>
      </c>
    </row>
    <row r="437" spans="1:16" ht="12.75" customHeight="1">
      <c r="A437" s="10"/>
      <c r="B437" s="10"/>
      <c r="E437" s="119" t="s">
        <v>2595</v>
      </c>
      <c r="F437" s="9">
        <v>20</v>
      </c>
      <c r="G437" s="7" t="s">
        <v>1392</v>
      </c>
      <c r="H437" s="7">
        <v>3</v>
      </c>
      <c r="I437" s="7">
        <v>0.9</v>
      </c>
      <c r="J437" s="7">
        <f t="shared" si="28"/>
        <v>2.7</v>
      </c>
    </row>
    <row r="438" spans="1:16" ht="12.75" customHeight="1">
      <c r="A438" s="10"/>
      <c r="B438" s="10"/>
      <c r="E438" s="119" t="s">
        <v>2596</v>
      </c>
      <c r="F438" s="9">
        <v>20</v>
      </c>
      <c r="G438" s="7" t="s">
        <v>1393</v>
      </c>
      <c r="H438" s="7">
        <v>3</v>
      </c>
      <c r="I438" s="7">
        <v>0.9</v>
      </c>
      <c r="J438" s="7">
        <f t="shared" si="28"/>
        <v>2.7</v>
      </c>
    </row>
    <row r="439" spans="1:16" ht="12.75" customHeight="1">
      <c r="A439" s="10"/>
      <c r="B439" s="10"/>
      <c r="E439" s="119" t="s">
        <v>2597</v>
      </c>
      <c r="F439" s="9">
        <v>20</v>
      </c>
      <c r="G439" s="7" t="s">
        <v>1399</v>
      </c>
      <c r="H439" s="7">
        <v>3</v>
      </c>
      <c r="I439" s="7">
        <v>0.9</v>
      </c>
      <c r="J439" s="7">
        <f t="shared" si="28"/>
        <v>2.7</v>
      </c>
    </row>
    <row r="440" spans="1:16" ht="12.75" customHeight="1">
      <c r="A440" s="10"/>
      <c r="B440" s="10"/>
      <c r="E440" s="119" t="s">
        <v>2598</v>
      </c>
      <c r="F440" s="9">
        <v>20</v>
      </c>
      <c r="G440" s="7" t="s">
        <v>1394</v>
      </c>
      <c r="H440" s="7">
        <v>3</v>
      </c>
      <c r="I440" s="7">
        <v>0.9</v>
      </c>
      <c r="J440" s="7">
        <f t="shared" si="28"/>
        <v>2.7</v>
      </c>
    </row>
    <row r="441" spans="1:16" ht="12.75" customHeight="1">
      <c r="A441" s="10"/>
      <c r="B441" s="10"/>
      <c r="E441" s="119" t="s">
        <v>2599</v>
      </c>
      <c r="F441" s="9">
        <v>20</v>
      </c>
      <c r="G441" s="7" t="s">
        <v>1395</v>
      </c>
      <c r="H441" s="7">
        <v>3</v>
      </c>
      <c r="I441" s="7">
        <v>0.9</v>
      </c>
      <c r="J441" s="7">
        <f t="shared" si="28"/>
        <v>2.7</v>
      </c>
    </row>
    <row r="442" spans="1:16" ht="12.75" customHeight="1">
      <c r="A442" s="10"/>
      <c r="B442" s="10"/>
      <c r="E442" s="119" t="s">
        <v>2600</v>
      </c>
      <c r="F442" s="9">
        <v>20</v>
      </c>
      <c r="G442" s="7" t="s">
        <v>1396</v>
      </c>
      <c r="H442" s="7">
        <v>3</v>
      </c>
      <c r="I442" s="7">
        <v>0.9</v>
      </c>
      <c r="J442" s="7">
        <f t="shared" si="28"/>
        <v>2.7</v>
      </c>
    </row>
    <row r="443" spans="1:16" ht="12.75" customHeight="1">
      <c r="A443" s="10"/>
      <c r="B443" s="10"/>
      <c r="E443" s="119" t="s">
        <v>2601</v>
      </c>
      <c r="F443" s="9">
        <v>20</v>
      </c>
      <c r="G443" s="7" t="s">
        <v>1397</v>
      </c>
      <c r="H443" s="7">
        <v>3</v>
      </c>
      <c r="I443" s="7">
        <v>0.9</v>
      </c>
      <c r="J443" s="7">
        <f t="shared" si="28"/>
        <v>2.7</v>
      </c>
    </row>
    <row r="444" spans="1:16" ht="12.75" customHeight="1">
      <c r="A444" s="10"/>
      <c r="B444" s="10"/>
      <c r="E444" s="119" t="s">
        <v>2602</v>
      </c>
      <c r="F444" s="9">
        <v>20</v>
      </c>
      <c r="G444" s="7" t="s">
        <v>1398</v>
      </c>
      <c r="H444" s="7">
        <v>3</v>
      </c>
      <c r="I444" s="7">
        <v>0.9</v>
      </c>
      <c r="J444" s="7">
        <f t="shared" si="28"/>
        <v>2.7</v>
      </c>
    </row>
    <row r="445" spans="1:16" ht="12.75" customHeight="1">
      <c r="A445" s="10"/>
      <c r="B445" s="10"/>
      <c r="E445" s="119" t="s">
        <v>2603</v>
      </c>
      <c r="F445" s="9">
        <v>20</v>
      </c>
      <c r="G445" s="7" t="s">
        <v>1400</v>
      </c>
      <c r="H445" s="7">
        <v>3</v>
      </c>
      <c r="I445" s="7">
        <v>0.9</v>
      </c>
      <c r="J445" s="7">
        <f t="shared" si="28"/>
        <v>2.7</v>
      </c>
      <c r="L445" s="7">
        <f>0.007*98000</f>
        <v>686</v>
      </c>
    </row>
    <row r="446" spans="1:16" ht="12.75" customHeight="1">
      <c r="A446" s="10"/>
      <c r="B446" s="10"/>
      <c r="E446" s="119" t="s">
        <v>2604</v>
      </c>
      <c r="F446" s="9">
        <v>20</v>
      </c>
      <c r="G446" s="7" t="s">
        <v>1401</v>
      </c>
      <c r="H446" s="7">
        <v>3</v>
      </c>
      <c r="I446" s="7">
        <v>0.9</v>
      </c>
      <c r="J446" s="7">
        <f t="shared" si="28"/>
        <v>2.7</v>
      </c>
    </row>
    <row r="447" spans="1:16" s="4" customFormat="1" ht="12.75" customHeight="1">
      <c r="A447" s="12"/>
      <c r="B447" s="12"/>
      <c r="D447" s="5"/>
      <c r="E447" s="114"/>
      <c r="F447" s="5"/>
      <c r="H447" s="4">
        <f>SUM(H420:H446)</f>
        <v>94</v>
      </c>
      <c r="J447" s="4">
        <f>SUM(J420:J446)</f>
        <v>88.280000000000058</v>
      </c>
      <c r="K447" s="4">
        <v>10</v>
      </c>
      <c r="L447" s="4">
        <v>-98.28</v>
      </c>
      <c r="O447" s="4">
        <f>SUM(J447:N447)</f>
        <v>0</v>
      </c>
      <c r="P447" s="13" t="s">
        <v>2935</v>
      </c>
    </row>
    <row r="448" spans="1:16" ht="12.75" customHeight="1">
      <c r="A448" s="10">
        <v>43826</v>
      </c>
      <c r="B448" s="10">
        <v>1</v>
      </c>
      <c r="C448" s="7" t="s">
        <v>1403</v>
      </c>
      <c r="E448" s="128">
        <v>201.01</v>
      </c>
      <c r="F448" s="9">
        <v>118</v>
      </c>
      <c r="G448" s="7" t="s">
        <v>1568</v>
      </c>
      <c r="H448" s="7">
        <f>60*2</f>
        <v>120</v>
      </c>
      <c r="I448" s="7">
        <v>1.417</v>
      </c>
      <c r="J448" s="7">
        <v>170</v>
      </c>
    </row>
    <row r="449" spans="1:16" s="4" customFormat="1" ht="12.75" customHeight="1">
      <c r="A449" s="12"/>
      <c r="B449" s="12"/>
      <c r="D449" s="5"/>
      <c r="E449" s="114"/>
      <c r="F449" s="5"/>
      <c r="J449" s="4">
        <f>SUM(J448:J448)</f>
        <v>170</v>
      </c>
      <c r="K449" s="4">
        <v>0</v>
      </c>
      <c r="M449" s="4">
        <v>-153</v>
      </c>
      <c r="N449" s="4">
        <v>-17</v>
      </c>
      <c r="O449" s="4">
        <f>SUM(J449:N449)</f>
        <v>0</v>
      </c>
      <c r="P449" s="13" t="s">
        <v>1404</v>
      </c>
    </row>
    <row r="450" spans="1:16" ht="12.75" customHeight="1">
      <c r="A450" s="10">
        <v>43827</v>
      </c>
      <c r="B450" s="10">
        <v>1</v>
      </c>
      <c r="C450" s="7" t="s">
        <v>1407</v>
      </c>
      <c r="E450" s="128" t="s">
        <v>2605</v>
      </c>
      <c r="F450" s="9">
        <f>53.6/2</f>
        <v>26.8</v>
      </c>
      <c r="G450" s="53" t="s">
        <v>1408</v>
      </c>
      <c r="H450" s="7">
        <f t="shared" ref="H450:H457" si="29">2*2</f>
        <v>4</v>
      </c>
      <c r="I450" s="7">
        <f t="shared" ref="I450:I457" si="30">1.85/2</f>
        <v>0.92500000000000004</v>
      </c>
      <c r="J450" s="7">
        <f t="shared" ref="J450:J475" si="31">H450*I450</f>
        <v>3.7</v>
      </c>
      <c r="P450" s="11" t="s">
        <v>2936</v>
      </c>
    </row>
    <row r="451" spans="1:16" ht="12.75" customHeight="1">
      <c r="A451" s="10"/>
      <c r="B451" s="10"/>
      <c r="E451" s="128" t="s">
        <v>2606</v>
      </c>
      <c r="F451" s="9">
        <f>53.6/2</f>
        <v>26.8</v>
      </c>
      <c r="G451" s="53" t="s">
        <v>1409</v>
      </c>
      <c r="H451" s="7">
        <f t="shared" si="29"/>
        <v>4</v>
      </c>
      <c r="I451" s="7">
        <f t="shared" si="30"/>
        <v>0.92500000000000004</v>
      </c>
      <c r="J451" s="7">
        <f t="shared" si="31"/>
        <v>3.7</v>
      </c>
      <c r="P451" s="11" t="s">
        <v>2936</v>
      </c>
    </row>
    <row r="452" spans="1:16" ht="12.75" customHeight="1">
      <c r="A452" s="10"/>
      <c r="B452" s="10"/>
      <c r="E452" s="128" t="s">
        <v>2607</v>
      </c>
      <c r="F452" s="9">
        <f>53.3/2</f>
        <v>26.65</v>
      </c>
      <c r="G452" s="53" t="s">
        <v>1410</v>
      </c>
      <c r="H452" s="7">
        <f t="shared" si="29"/>
        <v>4</v>
      </c>
      <c r="I452" s="7">
        <f t="shared" si="30"/>
        <v>0.92500000000000004</v>
      </c>
      <c r="J452" s="7">
        <f t="shared" si="31"/>
        <v>3.7</v>
      </c>
      <c r="P452" s="11" t="s">
        <v>2936</v>
      </c>
    </row>
    <row r="453" spans="1:16" ht="12.75" customHeight="1">
      <c r="A453" s="10"/>
      <c r="B453" s="10"/>
      <c r="E453" s="128" t="s">
        <v>2608</v>
      </c>
      <c r="F453" s="133">
        <f>55.6/2</f>
        <v>27.8</v>
      </c>
      <c r="G453" s="53" t="s">
        <v>1411</v>
      </c>
      <c r="H453" s="7">
        <f t="shared" si="29"/>
        <v>4</v>
      </c>
      <c r="I453" s="7">
        <f t="shared" si="30"/>
        <v>0.92500000000000004</v>
      </c>
      <c r="J453" s="7">
        <f t="shared" si="31"/>
        <v>3.7</v>
      </c>
      <c r="P453" s="11" t="s">
        <v>2936</v>
      </c>
    </row>
    <row r="454" spans="1:16" ht="12.75" customHeight="1">
      <c r="A454" s="10"/>
      <c r="B454" s="10"/>
      <c r="E454" s="128" t="s">
        <v>2609</v>
      </c>
      <c r="F454" s="9">
        <f>55.1/2</f>
        <v>27.55</v>
      </c>
      <c r="G454" s="53" t="s">
        <v>1412</v>
      </c>
      <c r="H454" s="7">
        <f t="shared" si="29"/>
        <v>4</v>
      </c>
      <c r="I454" s="7">
        <f t="shared" si="30"/>
        <v>0.92500000000000004</v>
      </c>
      <c r="J454" s="7">
        <f t="shared" si="31"/>
        <v>3.7</v>
      </c>
      <c r="P454" s="11" t="s">
        <v>2936</v>
      </c>
    </row>
    <row r="455" spans="1:16" ht="12.75" customHeight="1">
      <c r="A455" s="10"/>
      <c r="B455" s="10"/>
      <c r="E455" s="128" t="s">
        <v>2610</v>
      </c>
      <c r="F455" s="9">
        <f>52.6/2</f>
        <v>26.3</v>
      </c>
      <c r="G455" s="53" t="s">
        <v>1413</v>
      </c>
      <c r="H455" s="7">
        <f t="shared" si="29"/>
        <v>4</v>
      </c>
      <c r="I455" s="7">
        <f t="shared" si="30"/>
        <v>0.92500000000000004</v>
      </c>
      <c r="J455" s="7">
        <f t="shared" si="31"/>
        <v>3.7</v>
      </c>
      <c r="P455" s="11" t="s">
        <v>2936</v>
      </c>
    </row>
    <row r="456" spans="1:16" ht="12.75" customHeight="1">
      <c r="A456" s="10"/>
      <c r="B456" s="10"/>
      <c r="E456" s="128" t="s">
        <v>2611</v>
      </c>
      <c r="F456" s="9">
        <f>54/2</f>
        <v>27</v>
      </c>
      <c r="G456" s="53" t="s">
        <v>1414</v>
      </c>
      <c r="H456" s="7">
        <f t="shared" si="29"/>
        <v>4</v>
      </c>
      <c r="I456" s="7">
        <f t="shared" si="30"/>
        <v>0.92500000000000004</v>
      </c>
      <c r="J456" s="7">
        <f t="shared" si="31"/>
        <v>3.7</v>
      </c>
      <c r="P456" s="11" t="s">
        <v>2936</v>
      </c>
    </row>
    <row r="457" spans="1:16" ht="12.75" customHeight="1">
      <c r="A457" s="10"/>
      <c r="B457" s="10"/>
      <c r="E457" s="128" t="s">
        <v>2612</v>
      </c>
      <c r="F457" s="9">
        <f>52.5/2</f>
        <v>26.25</v>
      </c>
      <c r="G457" s="53" t="s">
        <v>1415</v>
      </c>
      <c r="H457" s="7">
        <f t="shared" si="29"/>
        <v>4</v>
      </c>
      <c r="I457" s="7">
        <f t="shared" si="30"/>
        <v>0.92500000000000004</v>
      </c>
      <c r="J457" s="7">
        <f t="shared" si="31"/>
        <v>3.7</v>
      </c>
      <c r="P457" s="11" t="s">
        <v>2936</v>
      </c>
    </row>
    <row r="458" spans="1:16" ht="12.75" customHeight="1">
      <c r="A458" s="10"/>
      <c r="B458" s="10"/>
      <c r="E458" s="128" t="s">
        <v>2613</v>
      </c>
      <c r="F458" s="9">
        <v>14</v>
      </c>
      <c r="G458" s="7" t="s">
        <v>1417</v>
      </c>
      <c r="H458" s="7">
        <v>3</v>
      </c>
      <c r="I458" s="7">
        <v>1.5</v>
      </c>
      <c r="J458" s="7">
        <f t="shared" si="31"/>
        <v>4.5</v>
      </c>
    </row>
    <row r="459" spans="1:16" ht="12.75" customHeight="1">
      <c r="A459" s="10"/>
      <c r="B459" s="10"/>
      <c r="E459" s="128" t="s">
        <v>2614</v>
      </c>
      <c r="F459" s="9">
        <v>14</v>
      </c>
      <c r="G459" s="7" t="s">
        <v>1416</v>
      </c>
      <c r="H459" s="7">
        <v>3</v>
      </c>
      <c r="I459" s="7">
        <v>1.5</v>
      </c>
      <c r="J459" s="7">
        <f t="shared" si="31"/>
        <v>4.5</v>
      </c>
    </row>
    <row r="460" spans="1:16" ht="12.75" customHeight="1">
      <c r="A460" s="10"/>
      <c r="B460" s="10"/>
      <c r="E460" s="128" t="s">
        <v>2615</v>
      </c>
      <c r="F460" s="9">
        <v>14</v>
      </c>
      <c r="G460" s="7" t="s">
        <v>1419</v>
      </c>
      <c r="H460" s="7">
        <v>3</v>
      </c>
      <c r="I460" s="7">
        <v>1.5</v>
      </c>
      <c r="J460" s="7">
        <f t="shared" si="31"/>
        <v>4.5</v>
      </c>
    </row>
    <row r="461" spans="1:16" ht="12.75" customHeight="1">
      <c r="A461" s="10"/>
      <c r="B461" s="10"/>
      <c r="E461" s="128" t="s">
        <v>2616</v>
      </c>
      <c r="F461" s="9">
        <v>14</v>
      </c>
      <c r="G461" s="7" t="s">
        <v>1420</v>
      </c>
      <c r="H461" s="7">
        <v>3</v>
      </c>
      <c r="I461" s="7">
        <v>1.5</v>
      </c>
      <c r="J461" s="7">
        <f t="shared" si="31"/>
        <v>4.5</v>
      </c>
    </row>
    <row r="462" spans="1:16" ht="12.75" customHeight="1">
      <c r="A462" s="10"/>
      <c r="B462" s="10"/>
      <c r="E462" s="128" t="s">
        <v>2617</v>
      </c>
      <c r="F462" s="9">
        <v>14</v>
      </c>
      <c r="G462" s="7" t="s">
        <v>1421</v>
      </c>
      <c r="H462" s="7">
        <v>3</v>
      </c>
      <c r="I462" s="7">
        <v>1.5</v>
      </c>
      <c r="J462" s="7">
        <f t="shared" si="31"/>
        <v>4.5</v>
      </c>
    </row>
    <row r="463" spans="1:16" ht="12.75" customHeight="1">
      <c r="A463" s="10"/>
      <c r="B463" s="10"/>
      <c r="E463" s="128" t="s">
        <v>2618</v>
      </c>
      <c r="F463" s="9">
        <v>14</v>
      </c>
      <c r="G463" s="7" t="s">
        <v>1418</v>
      </c>
      <c r="H463" s="7">
        <v>3</v>
      </c>
      <c r="I463" s="7">
        <v>1.5</v>
      </c>
      <c r="J463" s="7">
        <f t="shared" si="31"/>
        <v>4.5</v>
      </c>
    </row>
    <row r="464" spans="1:16" ht="12.75" customHeight="1">
      <c r="A464" s="10"/>
      <c r="B464" s="10"/>
      <c r="E464" s="128" t="s">
        <v>2619</v>
      </c>
      <c r="F464" s="9">
        <v>14</v>
      </c>
      <c r="G464" s="7" t="s">
        <v>1422</v>
      </c>
      <c r="H464" s="7">
        <v>3</v>
      </c>
      <c r="I464" s="7">
        <v>1.5</v>
      </c>
      <c r="J464" s="7">
        <f t="shared" si="31"/>
        <v>4.5</v>
      </c>
    </row>
    <row r="465" spans="1:16" ht="12.75" customHeight="1">
      <c r="A465" s="10"/>
      <c r="B465" s="10"/>
      <c r="E465" s="128" t="s">
        <v>2620</v>
      </c>
      <c r="F465" s="9">
        <v>13</v>
      </c>
      <c r="G465" s="7" t="s">
        <v>1423</v>
      </c>
      <c r="H465" s="7">
        <v>3</v>
      </c>
      <c r="I465" s="7">
        <v>0.9</v>
      </c>
      <c r="J465" s="7">
        <f t="shared" si="31"/>
        <v>2.7</v>
      </c>
    </row>
    <row r="466" spans="1:16" ht="12.75" customHeight="1">
      <c r="A466" s="10"/>
      <c r="B466" s="10"/>
      <c r="E466" s="128" t="s">
        <v>2621</v>
      </c>
      <c r="F466" s="9">
        <v>13</v>
      </c>
      <c r="G466" s="7" t="s">
        <v>1424</v>
      </c>
      <c r="H466" s="7">
        <v>3</v>
      </c>
      <c r="I466" s="7">
        <v>0.9</v>
      </c>
      <c r="J466" s="7">
        <f t="shared" si="31"/>
        <v>2.7</v>
      </c>
    </row>
    <row r="467" spans="1:16" ht="12.75" customHeight="1">
      <c r="A467" s="10"/>
      <c r="B467" s="10"/>
      <c r="E467" s="128" t="s">
        <v>2622</v>
      </c>
      <c r="F467" s="9">
        <v>13</v>
      </c>
      <c r="G467" s="7" t="s">
        <v>1425</v>
      </c>
      <c r="H467" s="7">
        <v>3</v>
      </c>
      <c r="I467" s="7">
        <v>0.9</v>
      </c>
      <c r="J467" s="7">
        <f t="shared" si="31"/>
        <v>2.7</v>
      </c>
    </row>
    <row r="468" spans="1:16" ht="12.75" customHeight="1">
      <c r="A468" s="10"/>
      <c r="B468" s="10"/>
      <c r="E468" s="128" t="s">
        <v>2623</v>
      </c>
      <c r="F468" s="9">
        <v>13</v>
      </c>
      <c r="G468" s="7" t="s">
        <v>1426</v>
      </c>
      <c r="H468" s="7">
        <v>3</v>
      </c>
      <c r="I468" s="7">
        <v>0.9</v>
      </c>
      <c r="J468" s="7">
        <f t="shared" si="31"/>
        <v>2.7</v>
      </c>
    </row>
    <row r="469" spans="1:16" ht="12.75" customHeight="1">
      <c r="A469" s="10"/>
      <c r="B469" s="10"/>
      <c r="E469" s="128" t="s">
        <v>2624</v>
      </c>
      <c r="F469" s="9">
        <v>13</v>
      </c>
      <c r="G469" s="7" t="s">
        <v>1427</v>
      </c>
      <c r="H469" s="7">
        <v>3</v>
      </c>
      <c r="I469" s="7">
        <v>0.9</v>
      </c>
      <c r="J469" s="7">
        <f t="shared" si="31"/>
        <v>2.7</v>
      </c>
    </row>
    <row r="470" spans="1:16" ht="12.75" customHeight="1">
      <c r="A470" s="10"/>
      <c r="B470" s="10"/>
      <c r="E470" s="128" t="s">
        <v>2625</v>
      </c>
      <c r="F470" s="9">
        <v>13</v>
      </c>
      <c r="G470" s="7" t="s">
        <v>1428</v>
      </c>
      <c r="H470" s="7">
        <v>3</v>
      </c>
      <c r="I470" s="7">
        <v>0.9</v>
      </c>
      <c r="J470" s="7">
        <f t="shared" si="31"/>
        <v>2.7</v>
      </c>
    </row>
    <row r="471" spans="1:16" ht="12.75" customHeight="1">
      <c r="A471" s="10"/>
      <c r="B471" s="10"/>
      <c r="E471" s="128" t="s">
        <v>2626</v>
      </c>
      <c r="F471" s="9">
        <v>6</v>
      </c>
      <c r="G471" s="7" t="s">
        <v>1429</v>
      </c>
      <c r="H471" s="7">
        <v>3</v>
      </c>
      <c r="I471" s="7">
        <v>1.6</v>
      </c>
      <c r="J471" s="7">
        <f t="shared" si="31"/>
        <v>4.8000000000000007</v>
      </c>
    </row>
    <row r="472" spans="1:16" ht="12.75" customHeight="1">
      <c r="A472" s="10"/>
      <c r="B472" s="10"/>
      <c r="E472" s="128" t="s">
        <v>2627</v>
      </c>
      <c r="F472" s="9">
        <v>6</v>
      </c>
      <c r="G472" s="7" t="s">
        <v>1430</v>
      </c>
      <c r="H472" s="7">
        <v>3</v>
      </c>
      <c r="I472" s="7">
        <v>1.6</v>
      </c>
      <c r="J472" s="7">
        <f t="shared" si="31"/>
        <v>4.8000000000000007</v>
      </c>
    </row>
    <row r="473" spans="1:16" ht="12.75" customHeight="1">
      <c r="A473" s="10"/>
      <c r="B473" s="10"/>
      <c r="E473" s="128" t="s">
        <v>2628</v>
      </c>
      <c r="F473" s="9">
        <v>6</v>
      </c>
      <c r="G473" s="7" t="s">
        <v>1431</v>
      </c>
      <c r="H473" s="7">
        <v>3</v>
      </c>
      <c r="I473" s="7">
        <v>1.6</v>
      </c>
      <c r="J473" s="7">
        <f t="shared" si="31"/>
        <v>4.8000000000000007</v>
      </c>
    </row>
    <row r="474" spans="1:16" ht="12.75" customHeight="1">
      <c r="A474" s="10"/>
      <c r="B474" s="10"/>
      <c r="E474" s="128" t="s">
        <v>2629</v>
      </c>
      <c r="F474" s="9">
        <v>6</v>
      </c>
      <c r="G474" s="7" t="s">
        <v>1433</v>
      </c>
      <c r="H474" s="7">
        <v>3</v>
      </c>
      <c r="I474" s="7">
        <v>1.6</v>
      </c>
      <c r="J474" s="7">
        <f t="shared" si="31"/>
        <v>4.8000000000000007</v>
      </c>
    </row>
    <row r="475" spans="1:16" ht="12.75" customHeight="1">
      <c r="A475" s="10"/>
      <c r="B475" s="10"/>
      <c r="E475" s="128" t="s">
        <v>2630</v>
      </c>
      <c r="F475" s="9">
        <v>6</v>
      </c>
      <c r="G475" s="7" t="s">
        <v>1432</v>
      </c>
      <c r="H475" s="7">
        <v>3</v>
      </c>
      <c r="I475" s="7">
        <v>1.6</v>
      </c>
      <c r="J475" s="7">
        <f t="shared" si="31"/>
        <v>4.8000000000000007</v>
      </c>
    </row>
    <row r="476" spans="1:16" s="4" customFormat="1" ht="12.75" customHeight="1">
      <c r="A476" s="12"/>
      <c r="B476" s="12"/>
      <c r="D476" s="5"/>
      <c r="E476" s="114"/>
      <c r="F476" s="5"/>
      <c r="H476" s="4">
        <f>SUM(H450:H475)</f>
        <v>86</v>
      </c>
      <c r="J476" s="4">
        <f>SUM(J450:J475)</f>
        <v>101.3</v>
      </c>
      <c r="K476" s="4">
        <v>8</v>
      </c>
      <c r="L476" s="4">
        <v>-109.3</v>
      </c>
      <c r="O476" s="4">
        <f>SUM(J476:N476)</f>
        <v>0</v>
      </c>
      <c r="P476" s="13" t="s">
        <v>2937</v>
      </c>
    </row>
    <row r="477" spans="1:16" ht="12.75" customHeight="1">
      <c r="A477" s="10">
        <v>43828</v>
      </c>
      <c r="B477" s="10">
        <v>1</v>
      </c>
      <c r="C477" s="7" t="s">
        <v>1434</v>
      </c>
      <c r="E477" s="128" t="s">
        <v>2631</v>
      </c>
      <c r="F477" s="9">
        <v>25.5</v>
      </c>
      <c r="G477" s="7" t="s">
        <v>1436</v>
      </c>
      <c r="H477" s="7">
        <v>2</v>
      </c>
      <c r="I477" s="7">
        <v>0.8</v>
      </c>
      <c r="J477" s="7">
        <f t="shared" ref="J477:J496" si="32">H477*I477</f>
        <v>1.6</v>
      </c>
      <c r="P477" s="7"/>
    </row>
    <row r="478" spans="1:16" ht="12.75" customHeight="1">
      <c r="A478" s="10"/>
      <c r="B478" s="10"/>
      <c r="E478" s="128" t="s">
        <v>2632</v>
      </c>
      <c r="F478" s="9">
        <v>25.5</v>
      </c>
      <c r="G478" s="7" t="s">
        <v>1437</v>
      </c>
      <c r="H478" s="7">
        <v>2</v>
      </c>
      <c r="I478" s="7">
        <v>0.8</v>
      </c>
      <c r="J478" s="7">
        <f t="shared" si="32"/>
        <v>1.6</v>
      </c>
    </row>
    <row r="479" spans="1:16" ht="12.75" customHeight="1">
      <c r="A479" s="10"/>
      <c r="B479" s="10"/>
      <c r="E479" s="128" t="s">
        <v>2633</v>
      </c>
      <c r="F479" s="9">
        <v>25.5</v>
      </c>
      <c r="G479" s="7" t="s">
        <v>1438</v>
      </c>
      <c r="H479" s="7">
        <v>1</v>
      </c>
      <c r="I479" s="7">
        <v>0.8</v>
      </c>
      <c r="J479" s="7">
        <f t="shared" si="32"/>
        <v>0.8</v>
      </c>
    </row>
    <row r="480" spans="1:16" ht="12.75" customHeight="1">
      <c r="A480" s="10"/>
      <c r="B480" s="10"/>
      <c r="E480" s="128" t="s">
        <v>2634</v>
      </c>
      <c r="F480" s="9">
        <v>25.5</v>
      </c>
      <c r="G480" s="7" t="s">
        <v>1439</v>
      </c>
      <c r="H480" s="7">
        <v>1</v>
      </c>
      <c r="I480" s="7">
        <v>0.8</v>
      </c>
      <c r="J480" s="7">
        <f t="shared" si="32"/>
        <v>0.8</v>
      </c>
    </row>
    <row r="481" spans="1:10" ht="12.75" customHeight="1">
      <c r="A481" s="10"/>
      <c r="B481" s="10"/>
      <c r="E481" s="128" t="s">
        <v>2635</v>
      </c>
      <c r="F481" s="9">
        <v>25.5</v>
      </c>
      <c r="G481" s="7" t="s">
        <v>1440</v>
      </c>
      <c r="H481" s="7">
        <v>1</v>
      </c>
      <c r="I481" s="7">
        <v>0.8</v>
      </c>
      <c r="J481" s="7">
        <f t="shared" si="32"/>
        <v>0.8</v>
      </c>
    </row>
    <row r="482" spans="1:10" ht="12.75" customHeight="1">
      <c r="A482" s="10"/>
      <c r="B482" s="10"/>
      <c r="E482" s="128" t="s">
        <v>2636</v>
      </c>
      <c r="F482" s="9">
        <v>25.5</v>
      </c>
      <c r="G482" s="7" t="s">
        <v>1441</v>
      </c>
      <c r="H482" s="7">
        <v>1</v>
      </c>
      <c r="I482" s="7">
        <v>0.8</v>
      </c>
      <c r="J482" s="7">
        <f t="shared" si="32"/>
        <v>0.8</v>
      </c>
    </row>
    <row r="483" spans="1:10" ht="12.75" customHeight="1">
      <c r="A483" s="10"/>
      <c r="B483" s="10"/>
      <c r="E483" s="128" t="s">
        <v>2637</v>
      </c>
      <c r="F483" s="9">
        <v>40.9</v>
      </c>
      <c r="G483" s="7" t="s">
        <v>1442</v>
      </c>
      <c r="H483" s="7">
        <v>2</v>
      </c>
      <c r="I483" s="7">
        <v>1.2</v>
      </c>
      <c r="J483" s="7">
        <f t="shared" si="32"/>
        <v>2.4</v>
      </c>
    </row>
    <row r="484" spans="1:10" ht="12.75" customHeight="1">
      <c r="A484" s="10"/>
      <c r="B484" s="10"/>
      <c r="E484" s="128" t="s">
        <v>2638</v>
      </c>
      <c r="F484" s="9">
        <v>40.9</v>
      </c>
      <c r="G484" s="7" t="s">
        <v>1443</v>
      </c>
      <c r="H484" s="7">
        <v>2</v>
      </c>
      <c r="I484" s="7">
        <v>1.2</v>
      </c>
      <c r="J484" s="7">
        <f t="shared" si="32"/>
        <v>2.4</v>
      </c>
    </row>
    <row r="485" spans="1:10" ht="12.75" customHeight="1">
      <c r="A485" s="10"/>
      <c r="B485" s="10"/>
      <c r="E485" s="128" t="s">
        <v>2639</v>
      </c>
      <c r="F485" s="9">
        <v>40.9</v>
      </c>
      <c r="G485" s="7" t="s">
        <v>1444</v>
      </c>
      <c r="H485" s="7">
        <v>1</v>
      </c>
      <c r="I485" s="7">
        <v>1.2</v>
      </c>
      <c r="J485" s="7">
        <f t="shared" si="32"/>
        <v>1.2</v>
      </c>
    </row>
    <row r="486" spans="1:10" ht="12.75" customHeight="1">
      <c r="A486" s="10"/>
      <c r="B486" s="10"/>
      <c r="E486" s="128" t="s">
        <v>2640</v>
      </c>
      <c r="F486" s="9">
        <v>40.9</v>
      </c>
      <c r="G486" s="7" t="s">
        <v>1445</v>
      </c>
      <c r="H486" s="7">
        <v>1</v>
      </c>
      <c r="I486" s="7">
        <v>1.2</v>
      </c>
      <c r="J486" s="7">
        <f t="shared" si="32"/>
        <v>1.2</v>
      </c>
    </row>
    <row r="487" spans="1:10" ht="12.75" customHeight="1">
      <c r="A487" s="10"/>
      <c r="B487" s="10"/>
      <c r="E487" s="128" t="s">
        <v>2641</v>
      </c>
      <c r="F487" s="9">
        <v>40.9</v>
      </c>
      <c r="G487" s="7" t="s">
        <v>1446</v>
      </c>
      <c r="H487" s="7">
        <v>1</v>
      </c>
      <c r="I487" s="7">
        <v>1.2</v>
      </c>
      <c r="J487" s="7">
        <f t="shared" si="32"/>
        <v>1.2</v>
      </c>
    </row>
    <row r="488" spans="1:10" ht="12.75" customHeight="1">
      <c r="A488" s="10"/>
      <c r="B488" s="10"/>
      <c r="E488" s="128" t="s">
        <v>2642</v>
      </c>
      <c r="F488" s="9">
        <v>40.9</v>
      </c>
      <c r="G488" s="7" t="s">
        <v>1447</v>
      </c>
      <c r="H488" s="7">
        <v>1</v>
      </c>
      <c r="I488" s="7">
        <v>1.2</v>
      </c>
      <c r="J488" s="7">
        <f t="shared" si="32"/>
        <v>1.2</v>
      </c>
    </row>
    <row r="489" spans="1:10" ht="12.75" customHeight="1">
      <c r="A489" s="10"/>
      <c r="B489" s="10"/>
      <c r="E489" s="128" t="s">
        <v>2643</v>
      </c>
      <c r="F489" s="9">
        <v>40.9</v>
      </c>
      <c r="G489" s="7" t="s">
        <v>1448</v>
      </c>
      <c r="H489" s="7">
        <v>1</v>
      </c>
      <c r="I489" s="7">
        <v>1.5</v>
      </c>
      <c r="J489" s="7">
        <f t="shared" si="32"/>
        <v>1.5</v>
      </c>
    </row>
    <row r="490" spans="1:10" ht="12.75" customHeight="1">
      <c r="A490" s="10"/>
      <c r="B490" s="10"/>
      <c r="E490" s="128" t="s">
        <v>2644</v>
      </c>
      <c r="F490" s="9">
        <v>40.9</v>
      </c>
      <c r="G490" s="7" t="s">
        <v>1449</v>
      </c>
      <c r="H490" s="7">
        <v>1</v>
      </c>
      <c r="I490" s="7">
        <v>1.5</v>
      </c>
      <c r="J490" s="7">
        <f t="shared" si="32"/>
        <v>1.5</v>
      </c>
    </row>
    <row r="491" spans="1:10" ht="12.75" customHeight="1">
      <c r="A491" s="10"/>
      <c r="B491" s="10"/>
      <c r="E491" s="128" t="s">
        <v>2645</v>
      </c>
      <c r="F491" s="9">
        <v>54.4</v>
      </c>
      <c r="G491" s="7" t="s">
        <v>1450</v>
      </c>
      <c r="H491" s="7">
        <v>3</v>
      </c>
      <c r="I491" s="7">
        <v>2.1</v>
      </c>
      <c r="J491" s="7">
        <f t="shared" si="32"/>
        <v>6.3000000000000007</v>
      </c>
    </row>
    <row r="492" spans="1:10" ht="12.75" customHeight="1">
      <c r="A492" s="10"/>
      <c r="B492" s="10"/>
      <c r="E492" s="128" t="s">
        <v>2646</v>
      </c>
      <c r="F492" s="9">
        <v>54.4</v>
      </c>
      <c r="G492" s="7" t="s">
        <v>1451</v>
      </c>
      <c r="H492" s="7">
        <v>4</v>
      </c>
      <c r="I492" s="7">
        <v>2.1</v>
      </c>
      <c r="J492" s="7">
        <f t="shared" si="32"/>
        <v>8.4</v>
      </c>
    </row>
    <row r="493" spans="1:10" ht="12.75" customHeight="1">
      <c r="A493" s="10"/>
      <c r="B493" s="10"/>
      <c r="E493" s="128" t="s">
        <v>2647</v>
      </c>
      <c r="F493" s="9">
        <v>54.4</v>
      </c>
      <c r="G493" s="7" t="s">
        <v>1452</v>
      </c>
      <c r="H493" s="7">
        <v>2</v>
      </c>
      <c r="I493" s="7">
        <v>2.1</v>
      </c>
      <c r="J493" s="7">
        <f t="shared" si="32"/>
        <v>4.2</v>
      </c>
    </row>
    <row r="494" spans="1:10" ht="12.75" customHeight="1">
      <c r="A494" s="10"/>
      <c r="B494" s="10"/>
      <c r="E494" s="128" t="s">
        <v>2648</v>
      </c>
      <c r="F494" s="9">
        <v>54.4</v>
      </c>
      <c r="G494" s="7" t="s">
        <v>1453</v>
      </c>
      <c r="H494" s="7">
        <v>2</v>
      </c>
      <c r="I494" s="7">
        <v>2.1</v>
      </c>
      <c r="J494" s="7">
        <f t="shared" si="32"/>
        <v>4.2</v>
      </c>
    </row>
    <row r="495" spans="1:10" ht="12.75" customHeight="1">
      <c r="A495" s="10"/>
      <c r="B495" s="10"/>
      <c r="E495" s="128" t="s">
        <v>2649</v>
      </c>
      <c r="F495" s="9">
        <v>54.4</v>
      </c>
      <c r="G495" s="7" t="s">
        <v>1454</v>
      </c>
      <c r="H495" s="7">
        <v>2</v>
      </c>
      <c r="I495" s="7">
        <v>2.1</v>
      </c>
      <c r="J495" s="7">
        <f t="shared" si="32"/>
        <v>4.2</v>
      </c>
    </row>
    <row r="496" spans="1:10" ht="12.75" customHeight="1">
      <c r="A496" s="10"/>
      <c r="B496" s="10"/>
      <c r="E496" s="128" t="s">
        <v>2650</v>
      </c>
      <c r="F496" s="9">
        <v>54.4</v>
      </c>
      <c r="G496" s="7" t="s">
        <v>1455</v>
      </c>
      <c r="H496" s="7">
        <v>2</v>
      </c>
      <c r="I496" s="7">
        <v>2.1</v>
      </c>
      <c r="J496" s="7">
        <f t="shared" si="32"/>
        <v>4.2</v>
      </c>
    </row>
    <row r="497" spans="1:16" s="4" customFormat="1" ht="12.75" customHeight="1">
      <c r="A497" s="12"/>
      <c r="B497" s="12"/>
      <c r="D497" s="5"/>
      <c r="E497" s="114"/>
      <c r="F497" s="114"/>
      <c r="H497" s="4">
        <f>SUM(H477:H496)</f>
        <v>33</v>
      </c>
      <c r="J497" s="4">
        <f>SUM(J477:J496)</f>
        <v>50.500000000000007</v>
      </c>
      <c r="K497" s="4">
        <v>12</v>
      </c>
      <c r="L497" s="4">
        <v>-62.5</v>
      </c>
      <c r="O497" s="4">
        <f>SUM(J497:N497)</f>
        <v>0</v>
      </c>
      <c r="P497" s="13" t="s">
        <v>2938</v>
      </c>
    </row>
    <row r="498" spans="1:16" ht="12.75" customHeight="1">
      <c r="A498" s="10">
        <v>43828</v>
      </c>
      <c r="B498" s="10">
        <v>1</v>
      </c>
      <c r="C498" s="7" t="s">
        <v>1435</v>
      </c>
      <c r="E498" s="128" t="s">
        <v>2651</v>
      </c>
      <c r="F498" s="110">
        <f>222.2/1000</f>
        <v>0.22219999999999998</v>
      </c>
      <c r="G498" s="7" t="s">
        <v>1456</v>
      </c>
      <c r="H498" s="7">
        <v>1000</v>
      </c>
      <c r="I498" s="56">
        <f>8.8/1000</f>
        <v>8.8000000000000005E-3</v>
      </c>
      <c r="J498" s="7">
        <f t="shared" ref="J498:J507" si="33">H498*I498</f>
        <v>8.8000000000000007</v>
      </c>
      <c r="P498" s="11" t="s">
        <v>2939</v>
      </c>
    </row>
    <row r="499" spans="1:16" ht="12.75" customHeight="1">
      <c r="A499" s="10"/>
      <c r="B499" s="10"/>
      <c r="E499" s="128" t="s">
        <v>2652</v>
      </c>
      <c r="F499" s="110">
        <f>269.3/500</f>
        <v>0.53859999999999997</v>
      </c>
      <c r="G499" s="7" t="s">
        <v>1457</v>
      </c>
      <c r="H499" s="7">
        <v>500</v>
      </c>
      <c r="I499" s="80">
        <f>9.2/500</f>
        <v>1.84E-2</v>
      </c>
      <c r="J499" s="7">
        <f t="shared" si="33"/>
        <v>9.1999999999999993</v>
      </c>
      <c r="P499" s="11" t="s">
        <v>2940</v>
      </c>
    </row>
    <row r="500" spans="1:16" ht="12.75" customHeight="1">
      <c r="A500" s="10"/>
      <c r="B500" s="10"/>
      <c r="E500" s="128" t="s">
        <v>2653</v>
      </c>
      <c r="F500" s="110">
        <f>260/250</f>
        <v>1.04</v>
      </c>
      <c r="G500" s="51" t="s">
        <v>3182</v>
      </c>
      <c r="H500" s="7">
        <f>1*10</f>
        <v>10</v>
      </c>
      <c r="I500" s="7">
        <f>10.6/10</f>
        <v>1.06</v>
      </c>
      <c r="J500" s="7">
        <f t="shared" si="33"/>
        <v>10.600000000000001</v>
      </c>
      <c r="P500" s="11" t="s">
        <v>2941</v>
      </c>
    </row>
    <row r="501" spans="1:16" ht="12.75" customHeight="1">
      <c r="A501" s="10"/>
      <c r="B501" s="10"/>
      <c r="E501" s="128" t="s">
        <v>2654</v>
      </c>
      <c r="F501" s="110">
        <f>68.6/30</f>
        <v>2.2866666666666666</v>
      </c>
      <c r="G501" s="7" t="s">
        <v>1458</v>
      </c>
      <c r="H501" s="7">
        <v>30</v>
      </c>
      <c r="I501" s="7">
        <v>0.16</v>
      </c>
      <c r="J501" s="7">
        <f t="shared" si="33"/>
        <v>4.8</v>
      </c>
      <c r="P501" s="7"/>
    </row>
    <row r="502" spans="1:16" ht="12.75" customHeight="1">
      <c r="A502" s="10"/>
      <c r="B502" s="10"/>
      <c r="E502" s="128" t="s">
        <v>2655</v>
      </c>
      <c r="F502" s="110">
        <f>81.6/30</f>
        <v>2.7199999999999998</v>
      </c>
      <c r="G502" s="7" t="s">
        <v>1459</v>
      </c>
      <c r="H502" s="7">
        <v>30</v>
      </c>
      <c r="I502" s="7">
        <v>0.17</v>
      </c>
      <c r="J502" s="7">
        <f t="shared" si="33"/>
        <v>5.1000000000000005</v>
      </c>
    </row>
    <row r="503" spans="1:16" ht="12.75" customHeight="1">
      <c r="A503" s="10"/>
      <c r="B503" s="10"/>
      <c r="E503" s="128" t="s">
        <v>2656</v>
      </c>
      <c r="F503" s="110">
        <f>118.3/30</f>
        <v>3.9433333333333334</v>
      </c>
      <c r="G503" s="7" t="s">
        <v>1460</v>
      </c>
      <c r="H503" s="7">
        <v>30</v>
      </c>
      <c r="I503" s="7">
        <v>0.19</v>
      </c>
      <c r="J503" s="7">
        <f t="shared" si="33"/>
        <v>5.7</v>
      </c>
    </row>
    <row r="504" spans="1:16" ht="12.75" customHeight="1">
      <c r="A504" s="10"/>
      <c r="B504" s="10"/>
      <c r="E504" s="128" t="s">
        <v>2657</v>
      </c>
      <c r="F504" s="110">
        <f>97.5/20</f>
        <v>4.875</v>
      </c>
      <c r="G504" s="7" t="s">
        <v>1461</v>
      </c>
      <c r="H504" s="7">
        <v>20</v>
      </c>
      <c r="I504" s="7">
        <v>0.24</v>
      </c>
      <c r="J504" s="7">
        <f t="shared" si="33"/>
        <v>4.8</v>
      </c>
    </row>
    <row r="505" spans="1:16" ht="12.75" customHeight="1">
      <c r="A505" s="10"/>
      <c r="B505" s="10"/>
      <c r="E505" s="128" t="s">
        <v>2658</v>
      </c>
      <c r="F505" s="110">
        <f>117/25</f>
        <v>4.68</v>
      </c>
      <c r="G505" s="7" t="s">
        <v>1462</v>
      </c>
      <c r="H505" s="123">
        <v>25</v>
      </c>
      <c r="I505" s="7">
        <f>0.26*20/25</f>
        <v>0.20800000000000002</v>
      </c>
      <c r="J505" s="7">
        <f t="shared" si="33"/>
        <v>5.2</v>
      </c>
    </row>
    <row r="506" spans="1:16" ht="12.75" customHeight="1">
      <c r="A506" s="10"/>
      <c r="B506" s="10"/>
      <c r="E506" s="128" t="s">
        <v>2659</v>
      </c>
      <c r="F506" s="110">
        <f>119/23</f>
        <v>5.1739130434782608</v>
      </c>
      <c r="G506" s="7" t="s">
        <v>1463</v>
      </c>
      <c r="H506" s="123">
        <v>23</v>
      </c>
      <c r="I506" s="80">
        <f>0.28*20/23</f>
        <v>0.24347826086956523</v>
      </c>
      <c r="J506" s="7">
        <f t="shared" si="33"/>
        <v>5.6000000000000005</v>
      </c>
    </row>
    <row r="507" spans="1:16" ht="12.75" customHeight="1">
      <c r="A507" s="10"/>
      <c r="B507" s="10"/>
      <c r="E507" s="128" t="s">
        <v>2660</v>
      </c>
      <c r="F507" s="110">
        <f>181/22</f>
        <v>8.2272727272727266</v>
      </c>
      <c r="G507" s="7" t="s">
        <v>1464</v>
      </c>
      <c r="H507" s="123">
        <v>22</v>
      </c>
      <c r="I507" s="80">
        <f>0.38*15/22</f>
        <v>0.25909090909090909</v>
      </c>
      <c r="J507" s="7">
        <f t="shared" si="33"/>
        <v>5.7</v>
      </c>
    </row>
    <row r="508" spans="1:16" s="4" customFormat="1" ht="12.75" customHeight="1">
      <c r="A508" s="12"/>
      <c r="B508" s="12"/>
      <c r="D508" s="5"/>
      <c r="E508" s="114"/>
      <c r="F508" s="5"/>
      <c r="H508" s="4">
        <f>SUM(H498:H507)</f>
        <v>1690</v>
      </c>
      <c r="J508" s="4">
        <f>SUM(J498:J507)</f>
        <v>65.5</v>
      </c>
      <c r="K508" s="4">
        <v>0</v>
      </c>
      <c r="L508" s="4">
        <v>-65.5</v>
      </c>
      <c r="O508" s="4">
        <f>SUM(J508:N508)</f>
        <v>0</v>
      </c>
      <c r="P508" s="13" t="s">
        <v>2942</v>
      </c>
    </row>
    <row r="509" spans="1:16" ht="12.75" customHeight="1">
      <c r="A509" s="10">
        <v>43829</v>
      </c>
      <c r="B509" s="10">
        <v>1</v>
      </c>
      <c r="C509" s="7" t="s">
        <v>1465</v>
      </c>
      <c r="D509" s="133"/>
      <c r="E509" s="119" t="s">
        <v>2661</v>
      </c>
      <c r="F509" s="124">
        <f>503/25</f>
        <v>20.12</v>
      </c>
      <c r="G509" s="7" t="s">
        <v>1466</v>
      </c>
      <c r="H509" s="7">
        <v>25</v>
      </c>
      <c r="I509" s="56">
        <f>0.29*2</f>
        <v>0.57999999999999996</v>
      </c>
      <c r="J509" s="7">
        <f t="shared" ref="J509:J540" si="34">H509*I509</f>
        <v>14.499999999999998</v>
      </c>
    </row>
    <row r="510" spans="1:16" ht="12.75" customHeight="1">
      <c r="E510" s="119" t="s">
        <v>2662</v>
      </c>
      <c r="F510" s="124">
        <f>593/25</f>
        <v>23.72</v>
      </c>
      <c r="G510" s="7" t="s">
        <v>1468</v>
      </c>
      <c r="H510" s="7">
        <v>25</v>
      </c>
      <c r="I510" s="56">
        <f>0.36*2</f>
        <v>0.72</v>
      </c>
      <c r="J510" s="7">
        <f t="shared" si="34"/>
        <v>18</v>
      </c>
    </row>
    <row r="511" spans="1:16" ht="12.75" customHeight="1">
      <c r="E511" s="119" t="s">
        <v>2663</v>
      </c>
      <c r="F511" s="124">
        <f>732/25</f>
        <v>29.28</v>
      </c>
      <c r="G511" s="7" t="s">
        <v>1470</v>
      </c>
      <c r="H511" s="7">
        <v>25</v>
      </c>
      <c r="I511" s="56">
        <f>0.45*2</f>
        <v>0.9</v>
      </c>
      <c r="J511" s="7">
        <f t="shared" si="34"/>
        <v>22.5</v>
      </c>
    </row>
    <row r="512" spans="1:16" ht="12.75" customHeight="1">
      <c r="E512" s="119" t="s">
        <v>2664</v>
      </c>
      <c r="F512" s="124">
        <f>503/25</f>
        <v>20.12</v>
      </c>
      <c r="G512" s="7" t="s">
        <v>1467</v>
      </c>
      <c r="H512" s="7">
        <v>25</v>
      </c>
      <c r="I512" s="56">
        <f>0.29*2</f>
        <v>0.57999999999999996</v>
      </c>
      <c r="J512" s="7">
        <f t="shared" si="34"/>
        <v>14.499999999999998</v>
      </c>
    </row>
    <row r="513" spans="5:16" ht="12.75" customHeight="1">
      <c r="E513" s="119" t="s">
        <v>2665</v>
      </c>
      <c r="F513" s="124">
        <f>593/25</f>
        <v>23.72</v>
      </c>
      <c r="G513" s="7" t="s">
        <v>1469</v>
      </c>
      <c r="H513" s="7">
        <v>25</v>
      </c>
      <c r="I513" s="56">
        <f>0.36*2</f>
        <v>0.72</v>
      </c>
      <c r="J513" s="7">
        <f t="shared" si="34"/>
        <v>18</v>
      </c>
    </row>
    <row r="514" spans="5:16" ht="12.75" customHeight="1">
      <c r="E514" s="119" t="s">
        <v>2666</v>
      </c>
      <c r="F514" s="124">
        <f>732/25</f>
        <v>29.28</v>
      </c>
      <c r="G514" s="7" t="s">
        <v>1471</v>
      </c>
      <c r="H514" s="7">
        <v>25</v>
      </c>
      <c r="I514" s="56">
        <f>0.45*2</f>
        <v>0.9</v>
      </c>
      <c r="J514" s="7">
        <f t="shared" si="34"/>
        <v>22.5</v>
      </c>
    </row>
    <row r="515" spans="5:16" ht="12.75" customHeight="1">
      <c r="E515" s="119" t="s">
        <v>2682</v>
      </c>
      <c r="F515" s="124">
        <f>9/30</f>
        <v>0.3</v>
      </c>
      <c r="G515" s="7" t="s">
        <v>1569</v>
      </c>
      <c r="H515" s="7">
        <v>3</v>
      </c>
      <c r="I515" s="56">
        <v>0.98</v>
      </c>
      <c r="J515" s="7">
        <f t="shared" si="34"/>
        <v>2.94</v>
      </c>
    </row>
    <row r="516" spans="5:16" ht="12.75" customHeight="1">
      <c r="E516" s="119" t="s">
        <v>2683</v>
      </c>
      <c r="F516" s="124">
        <f>9/30</f>
        <v>0.3</v>
      </c>
      <c r="G516" s="7" t="s">
        <v>1570</v>
      </c>
      <c r="H516" s="7">
        <v>3</v>
      </c>
      <c r="I516" s="56">
        <v>0.98</v>
      </c>
      <c r="J516" s="7">
        <f t="shared" si="34"/>
        <v>2.94</v>
      </c>
    </row>
    <row r="517" spans="5:16" ht="12.75" customHeight="1">
      <c r="E517" s="119" t="s">
        <v>2684</v>
      </c>
      <c r="F517" s="124">
        <f>10.9/20</f>
        <v>0.54500000000000004</v>
      </c>
      <c r="G517" s="7" t="s">
        <v>1572</v>
      </c>
      <c r="H517" s="7">
        <v>3</v>
      </c>
      <c r="I517" s="56">
        <v>1.08</v>
      </c>
      <c r="J517" s="7">
        <f t="shared" si="34"/>
        <v>3.24</v>
      </c>
    </row>
    <row r="518" spans="5:16" ht="12.75" customHeight="1">
      <c r="E518" s="119" t="s">
        <v>2685</v>
      </c>
      <c r="F518" s="124">
        <f>10.9/9</f>
        <v>1.2111111111111112</v>
      </c>
      <c r="G518" s="7" t="s">
        <v>1574</v>
      </c>
      <c r="H518" s="7">
        <v>3</v>
      </c>
      <c r="I518" s="56">
        <v>1.08</v>
      </c>
      <c r="J518" s="7">
        <f t="shared" si="34"/>
        <v>3.24</v>
      </c>
    </row>
    <row r="519" spans="5:16" ht="12.75" customHeight="1">
      <c r="E519" s="119" t="s">
        <v>2686</v>
      </c>
      <c r="F519" s="124">
        <f>12.6/4</f>
        <v>3.15</v>
      </c>
      <c r="G519" s="7" t="s">
        <v>1576</v>
      </c>
      <c r="H519" s="7">
        <v>3</v>
      </c>
      <c r="I519" s="56">
        <v>0.98</v>
      </c>
      <c r="J519" s="7">
        <f t="shared" si="34"/>
        <v>2.94</v>
      </c>
    </row>
    <row r="520" spans="5:16" ht="12.75" customHeight="1">
      <c r="E520" s="119" t="s">
        <v>2687</v>
      </c>
      <c r="F520" s="124">
        <f>10.9/20</f>
        <v>0.54500000000000004</v>
      </c>
      <c r="G520" s="7" t="s">
        <v>1571</v>
      </c>
      <c r="H520" s="7">
        <v>3</v>
      </c>
      <c r="I520" s="56">
        <v>0.98</v>
      </c>
      <c r="J520" s="7">
        <f t="shared" si="34"/>
        <v>2.94</v>
      </c>
    </row>
    <row r="521" spans="5:16" ht="12.75" customHeight="1">
      <c r="E521" s="119" t="s">
        <v>2688</v>
      </c>
      <c r="F521" s="124">
        <f>10.9/9</f>
        <v>1.2111111111111112</v>
      </c>
      <c r="G521" s="7" t="s">
        <v>1573</v>
      </c>
      <c r="H521" s="7">
        <v>3</v>
      </c>
      <c r="I521" s="56">
        <v>0.98</v>
      </c>
      <c r="J521" s="7">
        <f t="shared" si="34"/>
        <v>2.94</v>
      </c>
    </row>
    <row r="522" spans="5:16" ht="12.75" customHeight="1">
      <c r="E522" s="119" t="s">
        <v>2689</v>
      </c>
      <c r="F522" s="124">
        <f>12.6/4</f>
        <v>3.15</v>
      </c>
      <c r="G522" s="7" t="s">
        <v>1575</v>
      </c>
      <c r="H522" s="7">
        <v>3</v>
      </c>
      <c r="I522" s="56">
        <v>0.98</v>
      </c>
      <c r="J522" s="7">
        <f t="shared" si="34"/>
        <v>2.94</v>
      </c>
    </row>
    <row r="523" spans="5:16" ht="12.75" customHeight="1">
      <c r="E523" s="119" t="s">
        <v>2690</v>
      </c>
      <c r="F523" s="124">
        <f>214/25</f>
        <v>8.56</v>
      </c>
      <c r="G523" s="7" t="s">
        <v>1472</v>
      </c>
      <c r="H523" s="7">
        <v>25</v>
      </c>
      <c r="I523" s="7">
        <f>0.14*2</f>
        <v>0.28000000000000003</v>
      </c>
      <c r="J523" s="7">
        <f t="shared" si="34"/>
        <v>7.0000000000000009</v>
      </c>
    </row>
    <row r="524" spans="5:16" ht="12.75" customHeight="1">
      <c r="E524" s="119" t="s">
        <v>2691</v>
      </c>
      <c r="F524" s="124">
        <f>136.2+145</f>
        <v>281.2</v>
      </c>
      <c r="G524" s="7" t="s">
        <v>1473</v>
      </c>
      <c r="H524" s="7">
        <v>25</v>
      </c>
      <c r="I524" s="7">
        <f>0.16*2</f>
        <v>0.32</v>
      </c>
      <c r="J524" s="7">
        <f t="shared" si="34"/>
        <v>8</v>
      </c>
    </row>
    <row r="525" spans="5:16" ht="12.75" customHeight="1">
      <c r="E525" s="119" t="s">
        <v>2692</v>
      </c>
      <c r="F525" s="9">
        <f>185+157</f>
        <v>342</v>
      </c>
      <c r="G525" s="7" t="s">
        <v>1474</v>
      </c>
      <c r="H525" s="7">
        <v>25</v>
      </c>
      <c r="I525" s="7">
        <f>0.2*2</f>
        <v>0.4</v>
      </c>
      <c r="J525" s="7">
        <f t="shared" si="34"/>
        <v>10</v>
      </c>
    </row>
    <row r="526" spans="5:16" ht="12.75" customHeight="1">
      <c r="E526" s="119" t="s">
        <v>2667</v>
      </c>
      <c r="F526" s="9">
        <v>10</v>
      </c>
      <c r="G526" s="7" t="s">
        <v>1586</v>
      </c>
      <c r="H526" s="7">
        <v>3</v>
      </c>
      <c r="I526" s="7">
        <f>5.58/5</f>
        <v>1.1160000000000001</v>
      </c>
      <c r="J526" s="7">
        <f t="shared" si="34"/>
        <v>3.3480000000000003</v>
      </c>
      <c r="P526" s="11" t="s">
        <v>2943</v>
      </c>
    </row>
    <row r="527" spans="5:16" ht="12.75" customHeight="1">
      <c r="E527" s="119" t="s">
        <v>2668</v>
      </c>
      <c r="F527" s="9">
        <v>10</v>
      </c>
      <c r="G527" s="7" t="s">
        <v>1577</v>
      </c>
      <c r="H527" s="7">
        <v>3</v>
      </c>
      <c r="I527" s="7">
        <f>5.58/5</f>
        <v>1.1160000000000001</v>
      </c>
      <c r="J527" s="7">
        <f t="shared" si="34"/>
        <v>3.3480000000000003</v>
      </c>
      <c r="P527" s="11" t="s">
        <v>2943</v>
      </c>
    </row>
    <row r="528" spans="5:16" ht="12.75" customHeight="1">
      <c r="E528" s="119" t="s">
        <v>2669</v>
      </c>
      <c r="F528" s="9">
        <v>10</v>
      </c>
      <c r="G528" s="7" t="s">
        <v>1578</v>
      </c>
      <c r="H528" s="7">
        <v>3</v>
      </c>
      <c r="I528" s="7">
        <f>5.58/5</f>
        <v>1.1160000000000001</v>
      </c>
      <c r="J528" s="7">
        <f t="shared" si="34"/>
        <v>3.3480000000000003</v>
      </c>
      <c r="P528" s="11" t="s">
        <v>2943</v>
      </c>
    </row>
    <row r="529" spans="5:16" ht="12.75" customHeight="1">
      <c r="E529" s="119" t="s">
        <v>2693</v>
      </c>
      <c r="F529" s="9">
        <v>10</v>
      </c>
      <c r="G529" s="7" t="s">
        <v>1579</v>
      </c>
      <c r="H529" s="7">
        <v>3</v>
      </c>
      <c r="I529" s="7">
        <f>5.58/5</f>
        <v>1.1160000000000001</v>
      </c>
      <c r="J529" s="7">
        <f t="shared" si="34"/>
        <v>3.3480000000000003</v>
      </c>
      <c r="P529" s="11" t="s">
        <v>2943</v>
      </c>
    </row>
    <row r="530" spans="5:16" ht="12.75" customHeight="1">
      <c r="E530" s="119" t="s">
        <v>2694</v>
      </c>
      <c r="F530" s="9">
        <v>10</v>
      </c>
      <c r="G530" s="7" t="s">
        <v>1580</v>
      </c>
      <c r="H530" s="7">
        <v>3</v>
      </c>
      <c r="I530" s="7">
        <f>5.58/5</f>
        <v>1.1160000000000001</v>
      </c>
      <c r="J530" s="7">
        <f t="shared" si="34"/>
        <v>3.3480000000000003</v>
      </c>
      <c r="P530" s="11" t="s">
        <v>2943</v>
      </c>
    </row>
    <row r="531" spans="5:16" ht="12.75" customHeight="1">
      <c r="E531" s="119" t="s">
        <v>2695</v>
      </c>
      <c r="F531" s="9">
        <v>20</v>
      </c>
      <c r="G531" s="7" t="s">
        <v>1581</v>
      </c>
      <c r="H531" s="7">
        <v>3</v>
      </c>
      <c r="I531" s="7">
        <f>9.58/5</f>
        <v>1.9159999999999999</v>
      </c>
      <c r="J531" s="7">
        <f t="shared" si="34"/>
        <v>5.7479999999999993</v>
      </c>
      <c r="P531" s="11" t="s">
        <v>2943</v>
      </c>
    </row>
    <row r="532" spans="5:16" ht="12.75" customHeight="1">
      <c r="E532" s="119" t="s">
        <v>2696</v>
      </c>
      <c r="F532" s="9">
        <v>20</v>
      </c>
      <c r="G532" s="7" t="s">
        <v>1582</v>
      </c>
      <c r="H532" s="7">
        <v>3</v>
      </c>
      <c r="I532" s="7">
        <f>9.58/5</f>
        <v>1.9159999999999999</v>
      </c>
      <c r="J532" s="7">
        <f t="shared" si="34"/>
        <v>5.7479999999999993</v>
      </c>
      <c r="P532" s="11" t="s">
        <v>2943</v>
      </c>
    </row>
    <row r="533" spans="5:16" ht="12.75" customHeight="1">
      <c r="E533" s="119" t="s">
        <v>2697</v>
      </c>
      <c r="F533" s="9">
        <v>20</v>
      </c>
      <c r="G533" s="7" t="s">
        <v>1583</v>
      </c>
      <c r="H533" s="7">
        <v>3</v>
      </c>
      <c r="I533" s="7">
        <f>9.58/5</f>
        <v>1.9159999999999999</v>
      </c>
      <c r="J533" s="7">
        <f t="shared" si="34"/>
        <v>5.7479999999999993</v>
      </c>
      <c r="P533" s="11" t="s">
        <v>2943</v>
      </c>
    </row>
    <row r="534" spans="5:16" ht="12.75" customHeight="1">
      <c r="E534" s="119" t="s">
        <v>2698</v>
      </c>
      <c r="F534" s="9">
        <v>20</v>
      </c>
      <c r="G534" s="7" t="s">
        <v>1584</v>
      </c>
      <c r="H534" s="7">
        <v>3</v>
      </c>
      <c r="I534" s="7">
        <f>9.58/5</f>
        <v>1.9159999999999999</v>
      </c>
      <c r="J534" s="7">
        <f t="shared" si="34"/>
        <v>5.7479999999999993</v>
      </c>
      <c r="P534" s="11" t="s">
        <v>2943</v>
      </c>
    </row>
    <row r="535" spans="5:16" ht="12.75" customHeight="1">
      <c r="E535" s="119" t="s">
        <v>2699</v>
      </c>
      <c r="F535" s="9">
        <v>20</v>
      </c>
      <c r="G535" s="7" t="s">
        <v>1585</v>
      </c>
      <c r="H535" s="7">
        <v>3</v>
      </c>
      <c r="I535" s="7">
        <f>9.58/5</f>
        <v>1.9159999999999999</v>
      </c>
      <c r="J535" s="7">
        <f t="shared" si="34"/>
        <v>5.7479999999999993</v>
      </c>
      <c r="P535" s="11" t="s">
        <v>2943</v>
      </c>
    </row>
    <row r="536" spans="5:16" ht="12.75" customHeight="1">
      <c r="E536" s="119" t="s">
        <v>2670</v>
      </c>
      <c r="F536" s="9">
        <v>0.5</v>
      </c>
      <c r="G536" s="7" t="s">
        <v>1752</v>
      </c>
      <c r="H536" s="7">
        <f t="shared" ref="H536:H560" si="35">10*2</f>
        <v>20</v>
      </c>
      <c r="I536" s="7">
        <f>1.88/10</f>
        <v>0.188</v>
      </c>
      <c r="J536" s="7">
        <f t="shared" si="34"/>
        <v>3.76</v>
      </c>
      <c r="P536" s="11" t="s">
        <v>2944</v>
      </c>
    </row>
    <row r="537" spans="5:16" ht="12.75" customHeight="1">
      <c r="E537" s="119" t="s">
        <v>2671</v>
      </c>
      <c r="F537" s="9">
        <v>0.5</v>
      </c>
      <c r="G537" s="7" t="s">
        <v>1753</v>
      </c>
      <c r="H537" s="7">
        <f t="shared" si="35"/>
        <v>20</v>
      </c>
      <c r="I537" s="7">
        <f>1.88/10</f>
        <v>0.188</v>
      </c>
      <c r="J537" s="7">
        <f t="shared" si="34"/>
        <v>3.76</v>
      </c>
      <c r="P537" s="11" t="s">
        <v>2944</v>
      </c>
    </row>
    <row r="538" spans="5:16" ht="12.75" customHeight="1">
      <c r="E538" s="119" t="s">
        <v>2672</v>
      </c>
      <c r="F538" s="9">
        <v>0.5</v>
      </c>
      <c r="G538" s="7" t="s">
        <v>1754</v>
      </c>
      <c r="H538" s="7">
        <f t="shared" si="35"/>
        <v>20</v>
      </c>
      <c r="I538" s="7">
        <f>1.88/10</f>
        <v>0.188</v>
      </c>
      <c r="J538" s="7">
        <f t="shared" si="34"/>
        <v>3.76</v>
      </c>
      <c r="P538" s="11" t="s">
        <v>2944</v>
      </c>
    </row>
    <row r="539" spans="5:16" ht="12.75" customHeight="1">
      <c r="E539" s="119" t="s">
        <v>2673</v>
      </c>
      <c r="F539" s="9">
        <v>0.5</v>
      </c>
      <c r="G539" s="7" t="s">
        <v>1755</v>
      </c>
      <c r="H539" s="7">
        <f t="shared" si="35"/>
        <v>20</v>
      </c>
      <c r="I539" s="7">
        <f>1.88/10</f>
        <v>0.188</v>
      </c>
      <c r="J539" s="7">
        <f t="shared" si="34"/>
        <v>3.76</v>
      </c>
      <c r="P539" s="11" t="s">
        <v>2944</v>
      </c>
    </row>
    <row r="540" spans="5:16" ht="12.75" customHeight="1">
      <c r="E540" s="119" t="s">
        <v>2674</v>
      </c>
      <c r="F540" s="9">
        <v>0.5</v>
      </c>
      <c r="G540" s="7" t="s">
        <v>1756</v>
      </c>
      <c r="H540" s="7">
        <f t="shared" si="35"/>
        <v>20</v>
      </c>
      <c r="I540" s="7">
        <f>1.88/10</f>
        <v>0.188</v>
      </c>
      <c r="J540" s="7">
        <f t="shared" si="34"/>
        <v>3.76</v>
      </c>
      <c r="P540" s="11" t="s">
        <v>2944</v>
      </c>
    </row>
    <row r="541" spans="5:16" ht="12.75" customHeight="1">
      <c r="E541" s="119" t="s">
        <v>2675</v>
      </c>
      <c r="F541" s="9">
        <v>0.8</v>
      </c>
      <c r="G541" s="7" t="s">
        <v>1587</v>
      </c>
      <c r="H541" s="7">
        <f t="shared" si="35"/>
        <v>20</v>
      </c>
      <c r="I541" s="7">
        <f>2.18/10</f>
        <v>0.21800000000000003</v>
      </c>
      <c r="J541" s="7">
        <f t="shared" ref="J541:J560" si="36">H541*I541</f>
        <v>4.3600000000000003</v>
      </c>
      <c r="P541" s="11" t="s">
        <v>2944</v>
      </c>
    </row>
    <row r="542" spans="5:16" ht="12.75" customHeight="1">
      <c r="E542" s="119" t="s">
        <v>2676</v>
      </c>
      <c r="F542" s="9">
        <v>0.8</v>
      </c>
      <c r="G542" s="7" t="s">
        <v>1588</v>
      </c>
      <c r="H542" s="7">
        <f t="shared" si="35"/>
        <v>20</v>
      </c>
      <c r="I542" s="7">
        <f>2.18/10</f>
        <v>0.21800000000000003</v>
      </c>
      <c r="J542" s="7">
        <f t="shared" si="36"/>
        <v>4.3600000000000003</v>
      </c>
      <c r="P542" s="11" t="s">
        <v>2944</v>
      </c>
    </row>
    <row r="543" spans="5:16" ht="12.75" customHeight="1">
      <c r="E543" s="119" t="s">
        <v>2677</v>
      </c>
      <c r="F543" s="9">
        <v>0.8</v>
      </c>
      <c r="G543" s="7" t="s">
        <v>1589</v>
      </c>
      <c r="H543" s="7">
        <f t="shared" si="35"/>
        <v>20</v>
      </c>
      <c r="I543" s="7">
        <f>2.18/10</f>
        <v>0.21800000000000003</v>
      </c>
      <c r="J543" s="7">
        <f t="shared" si="36"/>
        <v>4.3600000000000003</v>
      </c>
      <c r="P543" s="11" t="s">
        <v>2944</v>
      </c>
    </row>
    <row r="544" spans="5:16" ht="12.75" customHeight="1">
      <c r="E544" s="119" t="s">
        <v>2678</v>
      </c>
      <c r="F544" s="9">
        <v>0.8</v>
      </c>
      <c r="G544" s="7" t="s">
        <v>1590</v>
      </c>
      <c r="H544" s="7">
        <f t="shared" si="35"/>
        <v>20</v>
      </c>
      <c r="I544" s="7">
        <f>2.18/10</f>
        <v>0.21800000000000003</v>
      </c>
      <c r="J544" s="7">
        <f t="shared" si="36"/>
        <v>4.3600000000000003</v>
      </c>
      <c r="P544" s="11" t="s">
        <v>2944</v>
      </c>
    </row>
    <row r="545" spans="5:16" ht="12.75" customHeight="1">
      <c r="E545" s="119" t="s">
        <v>2679</v>
      </c>
      <c r="F545" s="9">
        <v>0.8</v>
      </c>
      <c r="G545" s="7" t="s">
        <v>1591</v>
      </c>
      <c r="H545" s="7">
        <f t="shared" si="35"/>
        <v>20</v>
      </c>
      <c r="I545" s="7">
        <f>2.18/10</f>
        <v>0.21800000000000003</v>
      </c>
      <c r="J545" s="7">
        <f t="shared" si="36"/>
        <v>4.3600000000000003</v>
      </c>
      <c r="P545" s="11" t="s">
        <v>2944</v>
      </c>
    </row>
    <row r="546" spans="5:16" ht="12.75" customHeight="1">
      <c r="E546" s="119" t="s">
        <v>2700</v>
      </c>
      <c r="F546" s="9">
        <v>1</v>
      </c>
      <c r="G546" s="7" t="s">
        <v>1592</v>
      </c>
      <c r="H546" s="7">
        <f t="shared" si="35"/>
        <v>20</v>
      </c>
      <c r="I546" s="7">
        <f>2.58/10</f>
        <v>0.25800000000000001</v>
      </c>
      <c r="J546" s="7">
        <f t="shared" si="36"/>
        <v>5.16</v>
      </c>
      <c r="P546" s="11" t="s">
        <v>2944</v>
      </c>
    </row>
    <row r="547" spans="5:16" ht="12.75" customHeight="1">
      <c r="E547" s="119" t="s">
        <v>2701</v>
      </c>
      <c r="F547" s="9">
        <v>1</v>
      </c>
      <c r="G547" s="7" t="s">
        <v>1593</v>
      </c>
      <c r="H547" s="7">
        <f t="shared" si="35"/>
        <v>20</v>
      </c>
      <c r="I547" s="7">
        <f>2.58/10</f>
        <v>0.25800000000000001</v>
      </c>
      <c r="J547" s="7">
        <f t="shared" si="36"/>
        <v>5.16</v>
      </c>
      <c r="P547" s="11" t="s">
        <v>2944</v>
      </c>
    </row>
    <row r="548" spans="5:16" ht="12.75" customHeight="1">
      <c r="E548" s="119" t="s">
        <v>2702</v>
      </c>
      <c r="F548" s="9">
        <v>1</v>
      </c>
      <c r="G548" s="7" t="s">
        <v>1594</v>
      </c>
      <c r="H548" s="7">
        <f t="shared" si="35"/>
        <v>20</v>
      </c>
      <c r="I548" s="7">
        <f>2.58/10</f>
        <v>0.25800000000000001</v>
      </c>
      <c r="J548" s="7">
        <f t="shared" si="36"/>
        <v>5.16</v>
      </c>
      <c r="P548" s="11" t="s">
        <v>2944</v>
      </c>
    </row>
    <row r="549" spans="5:16" ht="12.75" customHeight="1">
      <c r="E549" s="119" t="s">
        <v>2703</v>
      </c>
      <c r="F549" s="9">
        <v>1</v>
      </c>
      <c r="G549" s="7" t="s">
        <v>1595</v>
      </c>
      <c r="H549" s="7">
        <f t="shared" si="35"/>
        <v>20</v>
      </c>
      <c r="I549" s="7">
        <f>2.58/10</f>
        <v>0.25800000000000001</v>
      </c>
      <c r="J549" s="7">
        <f t="shared" si="36"/>
        <v>5.16</v>
      </c>
      <c r="P549" s="11" t="s">
        <v>2944</v>
      </c>
    </row>
    <row r="550" spans="5:16" ht="12.75" customHeight="1">
      <c r="E550" s="119" t="s">
        <v>2704</v>
      </c>
      <c r="F550" s="9">
        <v>1</v>
      </c>
      <c r="G550" s="7" t="s">
        <v>1596</v>
      </c>
      <c r="H550" s="7">
        <f t="shared" si="35"/>
        <v>20</v>
      </c>
      <c r="I550" s="7">
        <f>2.58/10</f>
        <v>0.25800000000000001</v>
      </c>
      <c r="J550" s="7">
        <f t="shared" si="36"/>
        <v>5.16</v>
      </c>
      <c r="P550" s="11" t="s">
        <v>2944</v>
      </c>
    </row>
    <row r="551" spans="5:16" ht="12.75" customHeight="1">
      <c r="E551" s="119" t="s">
        <v>2705</v>
      </c>
      <c r="F551" s="9">
        <v>0.7</v>
      </c>
      <c r="G551" s="7" t="s">
        <v>1742</v>
      </c>
      <c r="H551" s="7">
        <f t="shared" si="35"/>
        <v>20</v>
      </c>
      <c r="I551" s="7">
        <f>2.18/10</f>
        <v>0.21800000000000003</v>
      </c>
      <c r="J551" s="7">
        <f t="shared" si="36"/>
        <v>4.3600000000000003</v>
      </c>
      <c r="P551" s="11" t="s">
        <v>2944</v>
      </c>
    </row>
    <row r="552" spans="5:16" ht="12.75" customHeight="1">
      <c r="E552" s="119" t="s">
        <v>2706</v>
      </c>
      <c r="F552" s="9">
        <v>0.7</v>
      </c>
      <c r="G552" s="7" t="s">
        <v>1743</v>
      </c>
      <c r="H552" s="7">
        <f t="shared" si="35"/>
        <v>20</v>
      </c>
      <c r="I552" s="7">
        <f>2.18/10</f>
        <v>0.21800000000000003</v>
      </c>
      <c r="J552" s="7">
        <f t="shared" si="36"/>
        <v>4.3600000000000003</v>
      </c>
      <c r="P552" s="11" t="s">
        <v>2944</v>
      </c>
    </row>
    <row r="553" spans="5:16" ht="12.75" customHeight="1">
      <c r="E553" s="119" t="s">
        <v>2707</v>
      </c>
      <c r="F553" s="9">
        <v>0.7</v>
      </c>
      <c r="G553" s="7" t="s">
        <v>1744</v>
      </c>
      <c r="H553" s="7">
        <f t="shared" si="35"/>
        <v>20</v>
      </c>
      <c r="I553" s="7">
        <f>2.18/10</f>
        <v>0.21800000000000003</v>
      </c>
      <c r="J553" s="7">
        <f t="shared" si="36"/>
        <v>4.3600000000000003</v>
      </c>
      <c r="P553" s="11" t="s">
        <v>2944</v>
      </c>
    </row>
    <row r="554" spans="5:16" ht="12.75" customHeight="1">
      <c r="E554" s="119" t="s">
        <v>2708</v>
      </c>
      <c r="F554" s="9">
        <v>0.7</v>
      </c>
      <c r="G554" s="7" t="s">
        <v>1745</v>
      </c>
      <c r="H554" s="7">
        <f t="shared" si="35"/>
        <v>20</v>
      </c>
      <c r="I554" s="7">
        <f>2.18/10</f>
        <v>0.21800000000000003</v>
      </c>
      <c r="J554" s="7">
        <f t="shared" si="36"/>
        <v>4.3600000000000003</v>
      </c>
      <c r="P554" s="11" t="s">
        <v>2944</v>
      </c>
    </row>
    <row r="555" spans="5:16" ht="12.75" customHeight="1">
      <c r="E555" s="119" t="s">
        <v>2709</v>
      </c>
      <c r="F555" s="9">
        <v>0.7</v>
      </c>
      <c r="G555" s="7" t="s">
        <v>1746</v>
      </c>
      <c r="H555" s="7">
        <f t="shared" si="35"/>
        <v>20</v>
      </c>
      <c r="I555" s="7">
        <f>2.18/10</f>
        <v>0.21800000000000003</v>
      </c>
      <c r="J555" s="7">
        <f t="shared" si="36"/>
        <v>4.3600000000000003</v>
      </c>
      <c r="P555" s="11" t="s">
        <v>2944</v>
      </c>
    </row>
    <row r="556" spans="5:16" ht="12.75" customHeight="1">
      <c r="E556" s="119" t="s">
        <v>2710</v>
      </c>
      <c r="F556" s="9">
        <v>1.5</v>
      </c>
      <c r="G556" s="7" t="s">
        <v>1747</v>
      </c>
      <c r="H556" s="7">
        <f t="shared" si="35"/>
        <v>20</v>
      </c>
      <c r="I556" s="7">
        <f>2.58/10</f>
        <v>0.25800000000000001</v>
      </c>
      <c r="J556" s="7">
        <f t="shared" si="36"/>
        <v>5.16</v>
      </c>
      <c r="P556" s="11" t="s">
        <v>2944</v>
      </c>
    </row>
    <row r="557" spans="5:16" ht="12.75" customHeight="1">
      <c r="E557" s="119" t="s">
        <v>2711</v>
      </c>
      <c r="F557" s="9">
        <v>1.5</v>
      </c>
      <c r="G557" s="7" t="s">
        <v>1748</v>
      </c>
      <c r="H557" s="7">
        <f t="shared" si="35"/>
        <v>20</v>
      </c>
      <c r="I557" s="7">
        <f>2.58/10</f>
        <v>0.25800000000000001</v>
      </c>
      <c r="J557" s="7">
        <f t="shared" si="36"/>
        <v>5.16</v>
      </c>
      <c r="P557" s="11" t="s">
        <v>2944</v>
      </c>
    </row>
    <row r="558" spans="5:16" ht="12.75" customHeight="1">
      <c r="E558" s="119" t="s">
        <v>2712</v>
      </c>
      <c r="F558" s="9">
        <v>1.5</v>
      </c>
      <c r="G558" s="7" t="s">
        <v>1749</v>
      </c>
      <c r="H558" s="7">
        <f t="shared" si="35"/>
        <v>20</v>
      </c>
      <c r="I558" s="7">
        <f>2.58/10</f>
        <v>0.25800000000000001</v>
      </c>
      <c r="J558" s="7">
        <f t="shared" si="36"/>
        <v>5.16</v>
      </c>
      <c r="P558" s="11" t="s">
        <v>2944</v>
      </c>
    </row>
    <row r="559" spans="5:16" ht="12.75" customHeight="1">
      <c r="E559" s="119" t="s">
        <v>2713</v>
      </c>
      <c r="F559" s="9">
        <v>1.5</v>
      </c>
      <c r="G559" s="7" t="s">
        <v>1750</v>
      </c>
      <c r="H559" s="7">
        <f t="shared" si="35"/>
        <v>20</v>
      </c>
      <c r="I559" s="7">
        <f>2.58/10</f>
        <v>0.25800000000000001</v>
      </c>
      <c r="J559" s="7">
        <f t="shared" si="36"/>
        <v>5.16</v>
      </c>
      <c r="P559" s="11" t="s">
        <v>2944</v>
      </c>
    </row>
    <row r="560" spans="5:16" ht="12.75" customHeight="1">
      <c r="E560" s="119" t="s">
        <v>2714</v>
      </c>
      <c r="F560" s="9">
        <v>1.5</v>
      </c>
      <c r="G560" s="7" t="s">
        <v>1751</v>
      </c>
      <c r="H560" s="7">
        <f t="shared" si="35"/>
        <v>20</v>
      </c>
      <c r="I560" s="7">
        <f>2.58/10</f>
        <v>0.25800000000000001</v>
      </c>
      <c r="J560" s="7">
        <f t="shared" si="36"/>
        <v>5.16</v>
      </c>
      <c r="P560" s="11" t="s">
        <v>2944</v>
      </c>
    </row>
    <row r="561" spans="1:16" s="4" customFormat="1" ht="12.75" customHeight="1">
      <c r="A561" s="12"/>
      <c r="B561" s="12"/>
      <c r="D561" s="5"/>
      <c r="E561" s="114"/>
      <c r="F561" s="5"/>
      <c r="H561" s="4">
        <f>SUM(H509:H560)</f>
        <v>779</v>
      </c>
      <c r="J561" s="4">
        <f>SUM(J509:J560)</f>
        <v>318.60000000000025</v>
      </c>
      <c r="K561" s="4">
        <v>14</v>
      </c>
      <c r="L561" s="4">
        <f>-332.6</f>
        <v>-332.6</v>
      </c>
      <c r="O561" s="4">
        <f>SUM(J561:N561)</f>
        <v>0</v>
      </c>
      <c r="P561" s="13" t="s">
        <v>2945</v>
      </c>
    </row>
    <row r="562" spans="1:16" ht="12.75" customHeight="1">
      <c r="A562" s="10">
        <v>43829</v>
      </c>
      <c r="B562" s="10">
        <v>1</v>
      </c>
      <c r="C562" s="7" t="s">
        <v>1612</v>
      </c>
      <c r="D562" s="122" t="s">
        <v>3184</v>
      </c>
      <c r="E562" s="119" t="s">
        <v>2715</v>
      </c>
      <c r="F562" s="124">
        <f>350/200</f>
        <v>1.75</v>
      </c>
      <c r="G562" s="7" t="s">
        <v>1615</v>
      </c>
      <c r="H562" s="7">
        <v>200</v>
      </c>
      <c r="I562" s="56">
        <f>17/H562</f>
        <v>8.5000000000000006E-2</v>
      </c>
      <c r="J562" s="7">
        <f t="shared" ref="J562:J575" si="37">H562*I562</f>
        <v>17</v>
      </c>
    </row>
    <row r="563" spans="1:16" ht="12.75" customHeight="1">
      <c r="D563" s="122" t="s">
        <v>3184</v>
      </c>
      <c r="E563" s="119" t="s">
        <v>2716</v>
      </c>
      <c r="F563" s="124">
        <f>400/200</f>
        <v>2</v>
      </c>
      <c r="G563" s="7" t="s">
        <v>1625</v>
      </c>
      <c r="H563" s="7">
        <v>200</v>
      </c>
      <c r="I563" s="56">
        <f>19/H563</f>
        <v>9.5000000000000001E-2</v>
      </c>
      <c r="J563" s="7">
        <f t="shared" si="37"/>
        <v>19</v>
      </c>
    </row>
    <row r="564" spans="1:16" ht="12.75" customHeight="1">
      <c r="D564" s="122" t="s">
        <v>3184</v>
      </c>
      <c r="E564" s="119" t="s">
        <v>2717</v>
      </c>
      <c r="F564" s="124">
        <f>500/200</f>
        <v>2.5</v>
      </c>
      <c r="G564" s="7" t="s">
        <v>1617</v>
      </c>
      <c r="H564" s="7">
        <v>200</v>
      </c>
      <c r="I564" s="56">
        <f>21/H564</f>
        <v>0.105</v>
      </c>
      <c r="J564" s="7">
        <f t="shared" si="37"/>
        <v>21</v>
      </c>
    </row>
    <row r="565" spans="1:16" ht="12.75" customHeight="1">
      <c r="D565" s="122" t="s">
        <v>3184</v>
      </c>
      <c r="E565" s="119" t="s">
        <v>2718</v>
      </c>
      <c r="F565" s="124">
        <f>650/200</f>
        <v>3.25</v>
      </c>
      <c r="G565" s="7" t="s">
        <v>1616</v>
      </c>
      <c r="H565" s="7">
        <v>200</v>
      </c>
      <c r="I565" s="56">
        <f>28/H565</f>
        <v>0.14000000000000001</v>
      </c>
      <c r="J565" s="7">
        <f t="shared" si="37"/>
        <v>28.000000000000004</v>
      </c>
    </row>
    <row r="566" spans="1:16" ht="12.75" customHeight="1">
      <c r="D566" s="122" t="s">
        <v>3184</v>
      </c>
      <c r="E566" s="119" t="s">
        <v>2719</v>
      </c>
      <c r="F566" s="9">
        <f>700/200</f>
        <v>3.5</v>
      </c>
      <c r="G566" s="7" t="s">
        <v>1613</v>
      </c>
      <c r="H566" s="7">
        <v>200</v>
      </c>
      <c r="I566" s="56">
        <f>30/H566</f>
        <v>0.15</v>
      </c>
      <c r="J566" s="7">
        <f t="shared" si="37"/>
        <v>30</v>
      </c>
    </row>
    <row r="567" spans="1:16" ht="12.75" customHeight="1">
      <c r="D567" s="122" t="s">
        <v>3184</v>
      </c>
      <c r="E567" s="119" t="s">
        <v>2720</v>
      </c>
      <c r="F567" s="9">
        <f>700/200</f>
        <v>3.5</v>
      </c>
      <c r="G567" s="7" t="s">
        <v>1618</v>
      </c>
      <c r="H567" s="7">
        <v>200</v>
      </c>
      <c r="I567" s="56">
        <f>30/H567</f>
        <v>0.15</v>
      </c>
      <c r="J567" s="7">
        <f t="shared" si="37"/>
        <v>30</v>
      </c>
    </row>
    <row r="568" spans="1:16" ht="12.75" customHeight="1">
      <c r="D568" s="122" t="s">
        <v>3184</v>
      </c>
      <c r="E568" s="119" t="s">
        <v>2721</v>
      </c>
      <c r="F568" s="9">
        <f>550/100</f>
        <v>5.5</v>
      </c>
      <c r="G568" s="7" t="s">
        <v>1624</v>
      </c>
      <c r="H568" s="7">
        <v>100</v>
      </c>
      <c r="I568" s="56">
        <f>20/H568</f>
        <v>0.2</v>
      </c>
      <c r="J568" s="7">
        <f t="shared" si="37"/>
        <v>20</v>
      </c>
    </row>
    <row r="569" spans="1:16" ht="12.75" customHeight="1">
      <c r="D569" s="122" t="s">
        <v>3184</v>
      </c>
      <c r="E569" s="119" t="s">
        <v>2722</v>
      </c>
      <c r="F569" s="9">
        <f>550/100</f>
        <v>5.5</v>
      </c>
      <c r="G569" s="7" t="s">
        <v>1622</v>
      </c>
      <c r="H569" s="7">
        <v>100</v>
      </c>
      <c r="I569" s="56">
        <f>20/H569</f>
        <v>0.2</v>
      </c>
      <c r="J569" s="7">
        <f t="shared" si="37"/>
        <v>20</v>
      </c>
    </row>
    <row r="570" spans="1:16" ht="12.75" customHeight="1">
      <c r="D570" s="122" t="s">
        <v>3184</v>
      </c>
      <c r="E570" s="119" t="s">
        <v>2723</v>
      </c>
      <c r="F570" s="9">
        <f>600/100</f>
        <v>6</v>
      </c>
      <c r="G570" s="7" t="s">
        <v>1623</v>
      </c>
      <c r="H570" s="7">
        <v>100</v>
      </c>
      <c r="I570" s="56">
        <f>22/H570</f>
        <v>0.22</v>
      </c>
      <c r="J570" s="7">
        <f t="shared" si="37"/>
        <v>22</v>
      </c>
    </row>
    <row r="571" spans="1:16" ht="12.75" customHeight="1">
      <c r="D571" s="122" t="s">
        <v>3184</v>
      </c>
      <c r="E571" s="119" t="s">
        <v>2724</v>
      </c>
      <c r="F571" s="9">
        <f>750/100</f>
        <v>7.5</v>
      </c>
      <c r="G571" s="7" t="s">
        <v>1620</v>
      </c>
      <c r="H571" s="7">
        <v>100</v>
      </c>
      <c r="I571" s="56">
        <f>22/H571</f>
        <v>0.22</v>
      </c>
      <c r="J571" s="7">
        <f t="shared" si="37"/>
        <v>22</v>
      </c>
    </row>
    <row r="572" spans="1:16" ht="12.75" customHeight="1">
      <c r="D572" s="122" t="s">
        <v>3184</v>
      </c>
      <c r="E572" s="119" t="s">
        <v>2725</v>
      </c>
      <c r="F572" s="9">
        <f>950/100</f>
        <v>9.5</v>
      </c>
      <c r="G572" s="7" t="s">
        <v>1626</v>
      </c>
      <c r="H572" s="7">
        <v>100</v>
      </c>
      <c r="I572" s="56">
        <f>27/H572</f>
        <v>0.27</v>
      </c>
      <c r="J572" s="7">
        <f t="shared" si="37"/>
        <v>27</v>
      </c>
    </row>
    <row r="573" spans="1:16" ht="12.75" customHeight="1">
      <c r="D573" s="122" t="s">
        <v>3184</v>
      </c>
      <c r="E573" s="119" t="s">
        <v>2726</v>
      </c>
      <c r="F573" s="9">
        <f>900/100</f>
        <v>9</v>
      </c>
      <c r="G573" s="7" t="s">
        <v>1621</v>
      </c>
      <c r="H573" s="7">
        <v>100</v>
      </c>
      <c r="I573" s="56">
        <f>27/H573</f>
        <v>0.27</v>
      </c>
      <c r="J573" s="7">
        <f t="shared" si="37"/>
        <v>27</v>
      </c>
    </row>
    <row r="574" spans="1:16" ht="12.75" customHeight="1">
      <c r="D574" s="122" t="s">
        <v>3184</v>
      </c>
      <c r="E574" s="119" t="s">
        <v>2727</v>
      </c>
      <c r="F574" s="9">
        <f>1350/100</f>
        <v>13.5</v>
      </c>
      <c r="G574" s="7" t="s">
        <v>1614</v>
      </c>
      <c r="H574" s="7">
        <v>100</v>
      </c>
      <c r="I574" s="56">
        <f>38/H574</f>
        <v>0.38</v>
      </c>
      <c r="J574" s="7">
        <f t="shared" si="37"/>
        <v>38</v>
      </c>
    </row>
    <row r="575" spans="1:16" ht="12.75" customHeight="1">
      <c r="D575" s="122" t="s">
        <v>3184</v>
      </c>
      <c r="E575" s="119" t="s">
        <v>2728</v>
      </c>
      <c r="F575" s="9">
        <f>1350/100</f>
        <v>13.5</v>
      </c>
      <c r="G575" s="7" t="s">
        <v>1619</v>
      </c>
      <c r="H575" s="7">
        <v>100</v>
      </c>
      <c r="I575" s="56">
        <f>38/H575</f>
        <v>0.38</v>
      </c>
      <c r="J575" s="7">
        <f t="shared" si="37"/>
        <v>38</v>
      </c>
    </row>
    <row r="576" spans="1:16" s="4" customFormat="1" ht="12.75" customHeight="1">
      <c r="A576" s="12"/>
      <c r="B576" s="12"/>
      <c r="D576" s="5"/>
      <c r="E576" s="114"/>
      <c r="F576" s="5"/>
      <c r="H576" s="4">
        <f>SUM(H562:H575)</f>
        <v>2000</v>
      </c>
      <c r="J576" s="4">
        <f>SUM(J562:J575)</f>
        <v>359</v>
      </c>
      <c r="K576" s="4">
        <v>30</v>
      </c>
      <c r="L576" s="4">
        <f>-389</f>
        <v>-389</v>
      </c>
      <c r="O576" s="4">
        <f>SUM(J576:N576)</f>
        <v>0</v>
      </c>
      <c r="P576" s="13" t="s">
        <v>2946</v>
      </c>
    </row>
    <row r="577" spans="1:16" ht="12.75" customHeight="1">
      <c r="A577" s="10">
        <v>43829</v>
      </c>
      <c r="B577" s="10">
        <v>1</v>
      </c>
      <c r="C577" s="7" t="s">
        <v>1641</v>
      </c>
      <c r="E577" s="119" t="s">
        <v>2729</v>
      </c>
      <c r="F577" s="9">
        <f>3.9/5</f>
        <v>0.78</v>
      </c>
      <c r="G577" s="7" t="s">
        <v>1642</v>
      </c>
      <c r="H577" s="7">
        <v>1000</v>
      </c>
      <c r="I577" s="56">
        <f>40/H577</f>
        <v>0.04</v>
      </c>
      <c r="J577" s="7">
        <f t="shared" ref="J577:J590" si="38">H577*I577</f>
        <v>40</v>
      </c>
    </row>
    <row r="578" spans="1:16" ht="12.75" customHeight="1">
      <c r="E578" s="119" t="s">
        <v>2730</v>
      </c>
      <c r="F578" s="9">
        <f>3.6/5</f>
        <v>0.72</v>
      </c>
      <c r="G578" s="7" t="s">
        <v>1643</v>
      </c>
      <c r="H578" s="7">
        <v>1000</v>
      </c>
      <c r="I578" s="56">
        <f>47/H578</f>
        <v>4.7E-2</v>
      </c>
      <c r="J578" s="7">
        <f t="shared" si="38"/>
        <v>47</v>
      </c>
    </row>
    <row r="579" spans="1:16" ht="12.75" customHeight="1">
      <c r="E579" s="119" t="s">
        <v>2731</v>
      </c>
      <c r="F579" s="9">
        <f>4.7/5</f>
        <v>0.94000000000000006</v>
      </c>
      <c r="G579" s="7" t="s">
        <v>1644</v>
      </c>
      <c r="H579" s="7">
        <v>500</v>
      </c>
      <c r="I579" s="56">
        <f>42.5/H579</f>
        <v>8.5000000000000006E-2</v>
      </c>
      <c r="J579" s="7">
        <f t="shared" si="38"/>
        <v>42.5</v>
      </c>
    </row>
    <row r="580" spans="1:16" ht="12.75" customHeight="1">
      <c r="E580" s="119" t="s">
        <v>2732</v>
      </c>
      <c r="F580" s="110">
        <f>12.9/50</f>
        <v>0.25800000000000001</v>
      </c>
      <c r="G580" s="7" t="s">
        <v>1646</v>
      </c>
      <c r="H580" s="7">
        <v>50</v>
      </c>
      <c r="I580" s="7">
        <v>0.14000000000000001</v>
      </c>
      <c r="J580" s="7">
        <f t="shared" si="38"/>
        <v>7.0000000000000009</v>
      </c>
    </row>
    <row r="581" spans="1:16" ht="12.75" customHeight="1">
      <c r="E581" s="119" t="s">
        <v>2733</v>
      </c>
      <c r="F581" s="110">
        <f>41.2/50</f>
        <v>0.82400000000000007</v>
      </c>
      <c r="G581" s="7" t="s">
        <v>1645</v>
      </c>
      <c r="H581" s="7">
        <v>50</v>
      </c>
      <c r="I581" s="7">
        <v>0.11</v>
      </c>
      <c r="J581" s="7">
        <f t="shared" si="38"/>
        <v>5.5</v>
      </c>
    </row>
    <row r="582" spans="1:16" ht="12.75" customHeight="1">
      <c r="E582" s="119" t="s">
        <v>2734</v>
      </c>
      <c r="F582" s="110">
        <f>48.9/50</f>
        <v>0.97799999999999998</v>
      </c>
      <c r="G582" s="7" t="s">
        <v>1647</v>
      </c>
      <c r="H582" s="7">
        <v>50</v>
      </c>
      <c r="I582" s="7">
        <v>0.14000000000000001</v>
      </c>
      <c r="J582" s="7">
        <f t="shared" si="38"/>
        <v>7.0000000000000009</v>
      </c>
    </row>
    <row r="583" spans="1:16" ht="12.75" customHeight="1">
      <c r="E583" s="119" t="s">
        <v>2735</v>
      </c>
      <c r="F583" s="110">
        <f>84.9/50</f>
        <v>1.6980000000000002</v>
      </c>
      <c r="G583" s="7" t="s">
        <v>1648</v>
      </c>
      <c r="H583" s="7">
        <v>50</v>
      </c>
      <c r="I583" s="7">
        <v>0.2</v>
      </c>
      <c r="J583" s="7">
        <f t="shared" si="38"/>
        <v>10</v>
      </c>
    </row>
    <row r="584" spans="1:16" ht="12.75" customHeight="1">
      <c r="E584" s="119" t="s">
        <v>2736</v>
      </c>
      <c r="F584" s="110">
        <f>5/30</f>
        <v>0.16666666666666666</v>
      </c>
      <c r="G584" s="7" t="s">
        <v>1649</v>
      </c>
      <c r="H584" s="7">
        <v>30</v>
      </c>
      <c r="I584" s="7">
        <v>0.27</v>
      </c>
      <c r="J584" s="7">
        <f t="shared" si="38"/>
        <v>8.1000000000000014</v>
      </c>
    </row>
    <row r="585" spans="1:16" ht="12.75" customHeight="1">
      <c r="E585" s="119" t="s">
        <v>2737</v>
      </c>
      <c r="F585" s="110">
        <f>9.6/30</f>
        <v>0.32</v>
      </c>
      <c r="G585" s="7" t="s">
        <v>1650</v>
      </c>
      <c r="H585" s="7">
        <v>30</v>
      </c>
      <c r="I585" s="7">
        <v>0.33</v>
      </c>
      <c r="J585" s="7">
        <f t="shared" si="38"/>
        <v>9.9</v>
      </c>
    </row>
    <row r="586" spans="1:16" ht="12.75" customHeight="1">
      <c r="E586" s="119" t="s">
        <v>2738</v>
      </c>
      <c r="F586" s="110">
        <f>18.7/30</f>
        <v>0.62333333333333329</v>
      </c>
      <c r="G586" s="7" t="s">
        <v>1651</v>
      </c>
      <c r="H586" s="7">
        <v>30</v>
      </c>
      <c r="I586" s="7">
        <v>0.36</v>
      </c>
      <c r="J586" s="7">
        <f t="shared" si="38"/>
        <v>10.799999999999999</v>
      </c>
    </row>
    <row r="587" spans="1:16" ht="12.75" customHeight="1">
      <c r="E587" s="119" t="s">
        <v>2739</v>
      </c>
      <c r="F587" s="110">
        <f>24.5/30</f>
        <v>0.81666666666666665</v>
      </c>
      <c r="G587" s="7" t="s">
        <v>1652</v>
      </c>
      <c r="H587" s="7">
        <v>30</v>
      </c>
      <c r="I587" s="7">
        <v>0.43</v>
      </c>
      <c r="J587" s="7">
        <f t="shared" si="38"/>
        <v>12.9</v>
      </c>
    </row>
    <row r="588" spans="1:16" ht="12.75" customHeight="1">
      <c r="E588" s="119" t="s">
        <v>2740</v>
      </c>
      <c r="F588" s="9">
        <f>7.2/5</f>
        <v>1.44</v>
      </c>
      <c r="G588" s="7" t="s">
        <v>1653</v>
      </c>
      <c r="H588" s="7">
        <v>50</v>
      </c>
      <c r="I588" s="56">
        <f>5/H588</f>
        <v>0.1</v>
      </c>
      <c r="J588" s="7">
        <f t="shared" si="38"/>
        <v>5</v>
      </c>
    </row>
    <row r="589" spans="1:16" ht="12.75" customHeight="1">
      <c r="E589" s="119" t="s">
        <v>2741</v>
      </c>
      <c r="F589" s="9">
        <f>7.8/5</f>
        <v>1.56</v>
      </c>
      <c r="G589" s="7" t="s">
        <v>1654</v>
      </c>
      <c r="H589" s="7">
        <v>50</v>
      </c>
      <c r="I589" s="56">
        <f>5/H589</f>
        <v>0.1</v>
      </c>
      <c r="J589" s="7">
        <f t="shared" si="38"/>
        <v>5</v>
      </c>
    </row>
    <row r="590" spans="1:16" ht="12.75" customHeight="1">
      <c r="E590" s="119" t="s">
        <v>2742</v>
      </c>
      <c r="F590" s="9">
        <f>9.6/5</f>
        <v>1.92</v>
      </c>
      <c r="G590" s="7" t="s">
        <v>1655</v>
      </c>
      <c r="H590" s="7">
        <v>50</v>
      </c>
      <c r="I590" s="56">
        <f>10/H590</f>
        <v>0.2</v>
      </c>
      <c r="J590" s="7">
        <f t="shared" si="38"/>
        <v>10</v>
      </c>
    </row>
    <row r="591" spans="1:16" s="4" customFormat="1" ht="12.75" customHeight="1">
      <c r="A591" s="12"/>
      <c r="B591" s="12"/>
      <c r="D591" s="5"/>
      <c r="E591" s="114"/>
      <c r="F591" s="5"/>
      <c r="H591" s="4">
        <f>SUM(H577:H590)</f>
        <v>2970</v>
      </c>
      <c r="J591" s="4">
        <f>SUM(J577:J590)</f>
        <v>220.70000000000002</v>
      </c>
      <c r="K591" s="4">
        <v>15</v>
      </c>
      <c r="L591" s="4">
        <v>-235.7</v>
      </c>
      <c r="O591" s="4">
        <f>SUM(J591:N591)</f>
        <v>0</v>
      </c>
      <c r="P591" s="13" t="s">
        <v>2947</v>
      </c>
    </row>
    <row r="592" spans="1:16" ht="12.75" customHeight="1">
      <c r="A592" s="10">
        <v>43829</v>
      </c>
      <c r="B592" s="10"/>
      <c r="C592" s="7" t="s">
        <v>1612</v>
      </c>
      <c r="E592" s="119" t="s">
        <v>2743</v>
      </c>
      <c r="F592" s="9">
        <f>60/30</f>
        <v>2</v>
      </c>
      <c r="G592" s="7" t="s">
        <v>1631</v>
      </c>
      <c r="H592" s="7">
        <v>60</v>
      </c>
      <c r="I592" s="56">
        <f>4.5/30</f>
        <v>0.15</v>
      </c>
      <c r="J592" s="7">
        <f t="shared" ref="J592:J605" si="39">H592*I592</f>
        <v>9</v>
      </c>
    </row>
    <row r="593" spans="1:16" ht="12.75" customHeight="1">
      <c r="E593" s="119" t="s">
        <v>2744</v>
      </c>
      <c r="F593" s="110">
        <f>57.8/30</f>
        <v>1.9266666666666665</v>
      </c>
      <c r="G593" s="7" t="s">
        <v>1630</v>
      </c>
      <c r="H593" s="7">
        <v>60</v>
      </c>
      <c r="I593" s="56">
        <f>4.5/30</f>
        <v>0.15</v>
      </c>
      <c r="J593" s="7">
        <f t="shared" si="39"/>
        <v>9</v>
      </c>
    </row>
    <row r="594" spans="1:16" ht="12.75" customHeight="1">
      <c r="E594" s="119" t="s">
        <v>2745</v>
      </c>
      <c r="F594" s="110">
        <f>68.2/30</f>
        <v>2.2733333333333334</v>
      </c>
      <c r="G594" s="7" t="s">
        <v>1632</v>
      </c>
      <c r="H594" s="7">
        <v>60</v>
      </c>
      <c r="I594" s="56">
        <f>5.5/30</f>
        <v>0.18333333333333332</v>
      </c>
      <c r="J594" s="7">
        <f t="shared" si="39"/>
        <v>11</v>
      </c>
    </row>
    <row r="595" spans="1:16" ht="12.75" customHeight="1">
      <c r="E595" s="119" t="s">
        <v>2746</v>
      </c>
      <c r="F595" s="110">
        <f>69.7/50</f>
        <v>1.3940000000000001</v>
      </c>
      <c r="G595" s="7" t="s">
        <v>1627</v>
      </c>
      <c r="H595" s="7">
        <v>50</v>
      </c>
      <c r="I595" s="56">
        <v>0.08</v>
      </c>
      <c r="J595" s="7">
        <f t="shared" si="39"/>
        <v>4</v>
      </c>
    </row>
    <row r="596" spans="1:16" ht="12.75" customHeight="1">
      <c r="E596" s="119" t="s">
        <v>2747</v>
      </c>
      <c r="F596" s="110">
        <f>70.6/50</f>
        <v>1.4119999999999999</v>
      </c>
      <c r="G596" s="7" t="s">
        <v>1628</v>
      </c>
      <c r="H596" s="7">
        <v>50</v>
      </c>
      <c r="I596" s="56">
        <v>0.08</v>
      </c>
      <c r="J596" s="7">
        <f t="shared" si="39"/>
        <v>4</v>
      </c>
    </row>
    <row r="597" spans="1:16" ht="12.75" customHeight="1">
      <c r="E597" s="119" t="s">
        <v>2748</v>
      </c>
      <c r="F597" s="110">
        <f>123.4/50</f>
        <v>2.468</v>
      </c>
      <c r="G597" s="7" t="s">
        <v>1629</v>
      </c>
      <c r="H597" s="7">
        <v>50</v>
      </c>
      <c r="I597" s="56">
        <v>0.12</v>
      </c>
      <c r="J597" s="7">
        <f t="shared" si="39"/>
        <v>6</v>
      </c>
    </row>
    <row r="598" spans="1:16" ht="12.75" customHeight="1">
      <c r="E598" s="119" t="s">
        <v>2749</v>
      </c>
      <c r="F598" s="110">
        <f>56.8/30</f>
        <v>1.8933333333333333</v>
      </c>
      <c r="G598" s="7" t="s">
        <v>1633</v>
      </c>
      <c r="H598" s="7">
        <v>30</v>
      </c>
      <c r="I598" s="56">
        <v>0.25</v>
      </c>
      <c r="J598" s="7">
        <f t="shared" si="39"/>
        <v>7.5</v>
      </c>
    </row>
    <row r="599" spans="1:16" ht="12.75" customHeight="1">
      <c r="E599" s="119" t="s">
        <v>2750</v>
      </c>
      <c r="F599" s="110">
        <f>50.5/30</f>
        <v>1.6833333333333333</v>
      </c>
      <c r="G599" s="7" t="s">
        <v>1634</v>
      </c>
      <c r="H599" s="7">
        <v>30</v>
      </c>
      <c r="I599" s="56">
        <v>0.25</v>
      </c>
      <c r="J599" s="7">
        <f t="shared" si="39"/>
        <v>7.5</v>
      </c>
    </row>
    <row r="600" spans="1:16" ht="12.75" customHeight="1">
      <c r="E600" s="119" t="s">
        <v>2751</v>
      </c>
      <c r="F600" s="9">
        <f>92.1/30</f>
        <v>3.07</v>
      </c>
      <c r="G600" s="7" t="s">
        <v>1635</v>
      </c>
      <c r="H600" s="7">
        <v>30</v>
      </c>
      <c r="I600" s="56">
        <v>0.26</v>
      </c>
      <c r="J600" s="7">
        <f t="shared" si="39"/>
        <v>7.8000000000000007</v>
      </c>
    </row>
    <row r="601" spans="1:16" ht="12.75" customHeight="1">
      <c r="E601" s="119" t="s">
        <v>2752</v>
      </c>
      <c r="F601" s="110">
        <f>83.2/30</f>
        <v>2.7733333333333334</v>
      </c>
      <c r="G601" s="7" t="s">
        <v>1636</v>
      </c>
      <c r="H601" s="7">
        <v>30</v>
      </c>
      <c r="I601" s="56">
        <v>0.26</v>
      </c>
      <c r="J601" s="7">
        <f t="shared" si="39"/>
        <v>7.8000000000000007</v>
      </c>
    </row>
    <row r="602" spans="1:16" ht="12.75" customHeight="1">
      <c r="E602" s="119" t="s">
        <v>2753</v>
      </c>
      <c r="F602" s="110">
        <f>144.4/30</f>
        <v>4.8133333333333335</v>
      </c>
      <c r="G602" s="7" t="s">
        <v>1637</v>
      </c>
      <c r="H602" s="7">
        <v>30</v>
      </c>
      <c r="I602" s="56">
        <v>0.35</v>
      </c>
      <c r="J602" s="7">
        <f t="shared" si="39"/>
        <v>10.5</v>
      </c>
    </row>
    <row r="603" spans="1:16" ht="12.75" customHeight="1">
      <c r="E603" s="119" t="s">
        <v>2754</v>
      </c>
      <c r="F603" s="9">
        <f>133.5/30</f>
        <v>4.45</v>
      </c>
      <c r="G603" s="7" t="s">
        <v>1638</v>
      </c>
      <c r="H603" s="7">
        <v>30</v>
      </c>
      <c r="I603" s="56">
        <v>0.35</v>
      </c>
      <c r="J603" s="7">
        <f t="shared" si="39"/>
        <v>10.5</v>
      </c>
    </row>
    <row r="604" spans="1:16" ht="12.75" customHeight="1">
      <c r="E604" s="119" t="s">
        <v>2755</v>
      </c>
      <c r="F604" s="9">
        <f>201.3/30</f>
        <v>6.71</v>
      </c>
      <c r="G604" s="7" t="s">
        <v>1639</v>
      </c>
      <c r="H604" s="7">
        <v>30</v>
      </c>
      <c r="I604" s="56">
        <v>0.5</v>
      </c>
      <c r="J604" s="7">
        <f t="shared" si="39"/>
        <v>15</v>
      </c>
    </row>
    <row r="605" spans="1:16" ht="12.75" customHeight="1">
      <c r="E605" s="119" t="s">
        <v>2756</v>
      </c>
      <c r="F605" s="110">
        <f>190.3/30</f>
        <v>6.3433333333333337</v>
      </c>
      <c r="G605" s="7" t="s">
        <v>1640</v>
      </c>
      <c r="H605" s="7">
        <v>30</v>
      </c>
      <c r="I605" s="56">
        <v>0.5</v>
      </c>
      <c r="J605" s="7">
        <f t="shared" si="39"/>
        <v>15</v>
      </c>
    </row>
    <row r="606" spans="1:16" s="4" customFormat="1" ht="12.75" customHeight="1">
      <c r="A606" s="12"/>
      <c r="B606" s="12"/>
      <c r="D606" s="5"/>
      <c r="E606" s="114"/>
      <c r="F606" s="5"/>
      <c r="H606" s="4">
        <f>SUM(H592:H605)</f>
        <v>570</v>
      </c>
      <c r="J606" s="4">
        <f>SUM(J592:J605)</f>
        <v>124.6</v>
      </c>
      <c r="K606" s="4">
        <v>0</v>
      </c>
      <c r="L606" s="4">
        <v>-124.6</v>
      </c>
      <c r="O606" s="4">
        <f>SUM(J606:N606)</f>
        <v>0</v>
      </c>
      <c r="P606" s="13" t="s">
        <v>2948</v>
      </c>
    </row>
    <row r="607" spans="1:16" ht="12.75" customHeight="1">
      <c r="A607" s="10">
        <v>43830</v>
      </c>
      <c r="B607" s="10">
        <v>1</v>
      </c>
      <c r="C607" s="7" t="s">
        <v>1656</v>
      </c>
      <c r="E607" s="119" t="s">
        <v>2757</v>
      </c>
      <c r="F607" s="110">
        <f>232.5/1000</f>
        <v>0.23250000000000001</v>
      </c>
      <c r="G607" s="7" t="s">
        <v>1657</v>
      </c>
      <c r="H607" s="7">
        <v>1000</v>
      </c>
      <c r="I607" s="56">
        <f>15/H607</f>
        <v>1.4999999999999999E-2</v>
      </c>
      <c r="J607" s="7">
        <f t="shared" ref="J607:J615" si="40">H607*I607</f>
        <v>15</v>
      </c>
    </row>
    <row r="608" spans="1:16" ht="12.75" customHeight="1">
      <c r="E608" s="119" t="s">
        <v>2758</v>
      </c>
      <c r="F608" s="110">
        <f>262.8/1000</f>
        <v>0.26280000000000003</v>
      </c>
      <c r="G608" s="7" t="s">
        <v>1658</v>
      </c>
      <c r="H608" s="7">
        <v>1000</v>
      </c>
      <c r="I608" s="56">
        <f>15/H608</f>
        <v>1.4999999999999999E-2</v>
      </c>
      <c r="J608" s="7">
        <f t="shared" si="40"/>
        <v>15</v>
      </c>
    </row>
    <row r="609" spans="1:16" ht="12.75" customHeight="1">
      <c r="E609" s="119" t="s">
        <v>2759</v>
      </c>
      <c r="F609" s="9">
        <f>5/10</f>
        <v>0.5</v>
      </c>
      <c r="G609" s="7" t="s">
        <v>1659</v>
      </c>
      <c r="H609" s="7">
        <v>1000</v>
      </c>
      <c r="I609" s="56">
        <f>28/H609</f>
        <v>2.8000000000000001E-2</v>
      </c>
      <c r="J609" s="7">
        <f t="shared" si="40"/>
        <v>28</v>
      </c>
    </row>
    <row r="610" spans="1:16" ht="12.75" customHeight="1">
      <c r="E610" s="119" t="s">
        <v>2760</v>
      </c>
      <c r="F610" s="9">
        <f>7.8/5</f>
        <v>1.56</v>
      </c>
      <c r="G610" s="7" t="s">
        <v>1660</v>
      </c>
      <c r="H610" s="7">
        <v>60</v>
      </c>
      <c r="I610" s="7">
        <v>0.35</v>
      </c>
      <c r="J610" s="7">
        <f t="shared" si="40"/>
        <v>21</v>
      </c>
      <c r="P610" s="11" t="s">
        <v>2949</v>
      </c>
    </row>
    <row r="611" spans="1:16" ht="12.75" customHeight="1">
      <c r="E611" s="119" t="s">
        <v>2761</v>
      </c>
      <c r="F611" s="9">
        <f>8.4/5</f>
        <v>1.6800000000000002</v>
      </c>
      <c r="G611" s="7" t="s">
        <v>1661</v>
      </c>
      <c r="H611" s="7">
        <v>60</v>
      </c>
      <c r="I611" s="7">
        <v>0.35</v>
      </c>
      <c r="J611" s="7">
        <f t="shared" si="40"/>
        <v>21</v>
      </c>
      <c r="P611" s="11" t="s">
        <v>2949</v>
      </c>
    </row>
    <row r="612" spans="1:16" ht="12.75" customHeight="1">
      <c r="E612" s="119" t="s">
        <v>2762</v>
      </c>
      <c r="F612" s="9">
        <f>11/5</f>
        <v>2.2000000000000002</v>
      </c>
      <c r="G612" s="7" t="s">
        <v>1662</v>
      </c>
      <c r="H612" s="7">
        <v>30</v>
      </c>
      <c r="I612" s="7">
        <v>0.6</v>
      </c>
      <c r="J612" s="7">
        <f t="shared" si="40"/>
        <v>18</v>
      </c>
      <c r="P612" s="11" t="s">
        <v>2949</v>
      </c>
    </row>
    <row r="613" spans="1:16" ht="12.75" customHeight="1">
      <c r="E613" s="119" t="s">
        <v>3180</v>
      </c>
      <c r="F613" s="9">
        <f>8.6/5</f>
        <v>1.72</v>
      </c>
      <c r="G613" s="7" t="s">
        <v>1663</v>
      </c>
      <c r="H613" s="7">
        <v>60</v>
      </c>
      <c r="I613" s="7">
        <v>0.35</v>
      </c>
      <c r="J613" s="7">
        <f t="shared" si="40"/>
        <v>21</v>
      </c>
      <c r="P613" s="11" t="s">
        <v>2949</v>
      </c>
    </row>
    <row r="614" spans="1:16" ht="12.75" customHeight="1">
      <c r="E614" s="119" t="s">
        <v>2763</v>
      </c>
      <c r="F614" s="9">
        <f>9/5</f>
        <v>1.8</v>
      </c>
      <c r="G614" s="7" t="s">
        <v>1664</v>
      </c>
      <c r="H614" s="7">
        <v>60</v>
      </c>
      <c r="I614" s="7">
        <v>0.35</v>
      </c>
      <c r="J614" s="7">
        <f t="shared" si="40"/>
        <v>21</v>
      </c>
      <c r="P614" s="11" t="s">
        <v>2949</v>
      </c>
    </row>
    <row r="615" spans="1:16" ht="12.75" customHeight="1">
      <c r="E615" s="119" t="s">
        <v>3181</v>
      </c>
      <c r="F615" s="9">
        <f>10.5/5</f>
        <v>2.1</v>
      </c>
      <c r="G615" s="7" t="s">
        <v>1665</v>
      </c>
      <c r="H615" s="7">
        <v>30</v>
      </c>
      <c r="I615" s="7">
        <v>0.6</v>
      </c>
      <c r="J615" s="7">
        <f t="shared" si="40"/>
        <v>18</v>
      </c>
      <c r="P615" s="11" t="s">
        <v>2949</v>
      </c>
    </row>
    <row r="616" spans="1:16" s="4" customFormat="1" ht="12.75" customHeight="1">
      <c r="A616" s="12"/>
      <c r="B616" s="12"/>
      <c r="D616" s="5"/>
      <c r="E616" s="114"/>
      <c r="F616" s="5"/>
      <c r="H616" s="4">
        <f>SUM(H607:H615)</f>
        <v>3300</v>
      </c>
      <c r="J616" s="4">
        <f>SUM(J607:J615)</f>
        <v>178</v>
      </c>
      <c r="K616" s="4">
        <v>10</v>
      </c>
      <c r="L616" s="4">
        <v>-188</v>
      </c>
      <c r="O616" s="4">
        <f>SUM(J616:N616)</f>
        <v>0</v>
      </c>
      <c r="P616" s="13" t="s">
        <v>2950</v>
      </c>
    </row>
    <row r="617" spans="1:16" ht="12.75" customHeight="1">
      <c r="A617" s="10">
        <v>43831</v>
      </c>
      <c r="B617" s="10">
        <v>1</v>
      </c>
      <c r="C617" s="7" t="s">
        <v>1685</v>
      </c>
      <c r="E617" s="115">
        <v>107.02</v>
      </c>
      <c r="F617" s="9">
        <f>2.4/10</f>
        <v>0.24</v>
      </c>
      <c r="G617" s="203" t="s">
        <v>5979</v>
      </c>
      <c r="H617" s="7">
        <v>10000</v>
      </c>
      <c r="I617" s="80">
        <v>1.2999999999999999E-2</v>
      </c>
      <c r="J617" s="7">
        <f>H617*I617</f>
        <v>130</v>
      </c>
    </row>
    <row r="618" spans="1:16" s="4" customFormat="1" ht="12.75" customHeight="1">
      <c r="A618" s="12"/>
      <c r="B618" s="12"/>
      <c r="D618" s="5"/>
      <c r="E618" s="114"/>
      <c r="F618" s="5"/>
      <c r="H618" s="4">
        <f>SUM(H609:H617)</f>
        <v>14600</v>
      </c>
      <c r="J618" s="4">
        <f>SUM(J617)</f>
        <v>130</v>
      </c>
      <c r="K618" s="4">
        <v>0</v>
      </c>
      <c r="L618" s="4">
        <v>-130</v>
      </c>
      <c r="O618" s="4">
        <f>SUM(J618:N618)</f>
        <v>0</v>
      </c>
      <c r="P618" s="13" t="s">
        <v>2951</v>
      </c>
    </row>
    <row r="619" spans="1:16" ht="12.75" customHeight="1">
      <c r="A619" s="10">
        <v>43831</v>
      </c>
      <c r="B619" s="10">
        <v>1</v>
      </c>
      <c r="C619" s="7">
        <f>5*8</f>
        <v>40</v>
      </c>
      <c r="E619" s="119" t="s">
        <v>2764</v>
      </c>
      <c r="F619" s="110">
        <v>0.24</v>
      </c>
      <c r="G619" s="7" t="s">
        <v>1689</v>
      </c>
      <c r="H619" s="7">
        <f>50*100</f>
        <v>5000</v>
      </c>
      <c r="I619" s="107">
        <f>0.77/100</f>
        <v>7.7000000000000002E-3</v>
      </c>
      <c r="J619" s="7">
        <f t="shared" ref="J619:J635" si="41">H619*I619</f>
        <v>38.5</v>
      </c>
    </row>
    <row r="620" spans="1:16" ht="12.75" customHeight="1">
      <c r="A620" s="10"/>
      <c r="B620" s="7" t="s">
        <v>1686</v>
      </c>
      <c r="C620" s="7">
        <f>6*12</f>
        <v>72</v>
      </c>
      <c r="E620" s="119">
        <v>105.09</v>
      </c>
      <c r="F620" s="110">
        <v>0.432</v>
      </c>
      <c r="G620" s="7" t="s">
        <v>1696</v>
      </c>
      <c r="H620" s="7">
        <f>50*100</f>
        <v>5000</v>
      </c>
      <c r="I620" s="107">
        <f>1.05/100</f>
        <v>1.0500000000000001E-2</v>
      </c>
      <c r="J620" s="7">
        <f t="shared" si="41"/>
        <v>52.5</v>
      </c>
    </row>
    <row r="621" spans="1:16" ht="12.75" customHeight="1">
      <c r="A621" s="10"/>
      <c r="B621" s="10"/>
      <c r="C621" s="7">
        <f>8*13</f>
        <v>104</v>
      </c>
      <c r="E621" s="120" t="s">
        <v>2952</v>
      </c>
      <c r="F621" s="110">
        <v>0.624</v>
      </c>
      <c r="G621" s="7" t="s">
        <v>1691</v>
      </c>
      <c r="H621" s="7">
        <f>30*100</f>
        <v>3000</v>
      </c>
      <c r="I621" s="107">
        <f>1.41/100</f>
        <v>1.41E-2</v>
      </c>
      <c r="J621" s="7">
        <f t="shared" si="41"/>
        <v>42.3</v>
      </c>
    </row>
    <row r="622" spans="1:16" ht="12.75" customHeight="1">
      <c r="A622" s="10"/>
      <c r="B622" s="121">
        <f>F622/C622</f>
        <v>5.7962962962962959E-3</v>
      </c>
      <c r="C622" s="7">
        <f>9*12</f>
        <v>108</v>
      </c>
      <c r="E622" s="120" t="s">
        <v>2953</v>
      </c>
      <c r="F622" s="125">
        <f>313/500</f>
        <v>0.626</v>
      </c>
      <c r="G622" s="7" t="s">
        <v>1694</v>
      </c>
      <c r="H622" s="7">
        <f>50*100</f>
        <v>5000</v>
      </c>
      <c r="I622" s="107">
        <f>1.45/100</f>
        <v>1.4499999999999999E-2</v>
      </c>
      <c r="J622" s="7">
        <f t="shared" si="41"/>
        <v>72.5</v>
      </c>
    </row>
    <row r="623" spans="1:16" ht="12.75" customHeight="1">
      <c r="A623" s="10"/>
      <c r="B623" s="121">
        <f>F623/C623</f>
        <v>6.000000000000001E-3</v>
      </c>
      <c r="C623" s="7">
        <f>10*19</f>
        <v>190</v>
      </c>
      <c r="E623" s="120" t="s">
        <v>2954</v>
      </c>
      <c r="F623" s="125">
        <f>5.7/5</f>
        <v>1.1400000000000001</v>
      </c>
      <c r="G623" s="7" t="s">
        <v>1700</v>
      </c>
      <c r="H623" s="7">
        <f>30*100</f>
        <v>3000</v>
      </c>
      <c r="I623" s="107">
        <f>2.09/100</f>
        <v>2.0899999999999998E-2</v>
      </c>
      <c r="J623" s="7">
        <f t="shared" si="41"/>
        <v>62.699999999999996</v>
      </c>
    </row>
    <row r="624" spans="1:16" ht="12.75" customHeight="1">
      <c r="A624" s="10"/>
      <c r="B624" s="121">
        <f>F624/C624</f>
        <v>6.0606060606060606E-3</v>
      </c>
      <c r="C624" s="7">
        <f>11*18</f>
        <v>198</v>
      </c>
      <c r="E624" s="120" t="s">
        <v>2955</v>
      </c>
      <c r="F624" s="125">
        <f>6/5</f>
        <v>1.2</v>
      </c>
      <c r="G624" s="105" t="s">
        <v>1704</v>
      </c>
      <c r="H624" s="7">
        <f>10*100</f>
        <v>1000</v>
      </c>
      <c r="I624" s="107">
        <f>2.44/100</f>
        <v>2.4399999999999998E-2</v>
      </c>
      <c r="J624" s="7">
        <f t="shared" si="41"/>
        <v>24.4</v>
      </c>
    </row>
    <row r="625" spans="1:16" ht="12.75" customHeight="1">
      <c r="A625" s="10"/>
      <c r="C625" s="7">
        <f>12*21</f>
        <v>252</v>
      </c>
      <c r="E625" s="120" t="s">
        <v>2956</v>
      </c>
      <c r="F625" s="110">
        <v>1.51</v>
      </c>
      <c r="G625" s="7" t="s">
        <v>1697</v>
      </c>
      <c r="H625" s="7">
        <f>7*100</f>
        <v>700</v>
      </c>
      <c r="I625" s="107">
        <f>2.94/100</f>
        <v>2.9399999999999999E-2</v>
      </c>
      <c r="J625" s="7">
        <f t="shared" si="41"/>
        <v>20.58</v>
      </c>
    </row>
    <row r="626" spans="1:16" ht="12.75" customHeight="1">
      <c r="A626" s="10"/>
      <c r="B626" s="121">
        <f>F626/C626</f>
        <v>6.0535117056856186E-3</v>
      </c>
      <c r="C626" s="7">
        <f>13*23</f>
        <v>299</v>
      </c>
      <c r="E626" s="120" t="s">
        <v>2957</v>
      </c>
      <c r="F626" s="125">
        <f>18.1/10</f>
        <v>1.81</v>
      </c>
      <c r="G626" s="7" t="s">
        <v>1690</v>
      </c>
      <c r="H626" s="105">
        <f>20*100-30</f>
        <v>1970</v>
      </c>
      <c r="I626" s="132">
        <f>3.39/100/1970*2000</f>
        <v>3.4416243654822334E-2</v>
      </c>
      <c r="J626" s="7">
        <f t="shared" si="41"/>
        <v>67.8</v>
      </c>
    </row>
    <row r="627" spans="1:16" ht="12.75" customHeight="1">
      <c r="A627" s="10"/>
      <c r="C627" s="7">
        <f>14*28</f>
        <v>392</v>
      </c>
      <c r="E627" s="120" t="s">
        <v>2958</v>
      </c>
      <c r="F627" s="110">
        <v>2.3519999999999999</v>
      </c>
      <c r="G627" s="7" t="s">
        <v>1698</v>
      </c>
      <c r="H627" s="7">
        <f>5*100</f>
        <v>500</v>
      </c>
      <c r="I627" s="107">
        <f>4.25/100</f>
        <v>4.2500000000000003E-2</v>
      </c>
      <c r="J627" s="7">
        <f t="shared" si="41"/>
        <v>21.25</v>
      </c>
    </row>
    <row r="628" spans="1:16" ht="12.75" customHeight="1">
      <c r="A628" s="10"/>
      <c r="C628" s="7">
        <f>15*24</f>
        <v>360</v>
      </c>
      <c r="E628" s="120" t="s">
        <v>3147</v>
      </c>
      <c r="F628" s="110">
        <v>2.16</v>
      </c>
      <c r="G628" s="7" t="s">
        <v>1703</v>
      </c>
      <c r="H628" s="7">
        <f>10*100</f>
        <v>1000</v>
      </c>
      <c r="I628" s="107">
        <f>3.97/100</f>
        <v>3.9699999999999999E-2</v>
      </c>
      <c r="J628" s="7">
        <f t="shared" si="41"/>
        <v>39.699999999999996</v>
      </c>
    </row>
    <row r="629" spans="1:16" ht="12.75" customHeight="1">
      <c r="A629" s="10"/>
      <c r="C629" s="7">
        <f>18*33</f>
        <v>594</v>
      </c>
      <c r="E629" s="120" t="s">
        <v>2959</v>
      </c>
      <c r="F629" s="110">
        <v>3.5640000000000001</v>
      </c>
      <c r="G629" s="7" t="s">
        <v>1702</v>
      </c>
      <c r="H629" s="7">
        <f>4*100</f>
        <v>400</v>
      </c>
      <c r="I629" s="107">
        <f>6.16/100</f>
        <v>6.1600000000000002E-2</v>
      </c>
      <c r="J629" s="7">
        <f t="shared" si="41"/>
        <v>24.64</v>
      </c>
    </row>
    <row r="630" spans="1:16" ht="12.75" customHeight="1">
      <c r="A630" s="10"/>
      <c r="C630" s="7">
        <f>20*30</f>
        <v>600</v>
      </c>
      <c r="E630" s="120" t="s">
        <v>2960</v>
      </c>
      <c r="F630" s="110">
        <v>3.6</v>
      </c>
      <c r="G630" s="7" t="s">
        <v>1695</v>
      </c>
      <c r="H630" s="7">
        <f>4*100</f>
        <v>400</v>
      </c>
      <c r="I630" s="107">
        <f>6.02/100</f>
        <v>6.0199999999999997E-2</v>
      </c>
      <c r="J630" s="7">
        <f t="shared" si="41"/>
        <v>24.08</v>
      </c>
    </row>
    <row r="631" spans="1:16" ht="12.75" customHeight="1">
      <c r="A631" s="10"/>
      <c r="C631" s="7">
        <f>20*34</f>
        <v>680</v>
      </c>
      <c r="E631" s="120" t="s">
        <v>2961</v>
      </c>
      <c r="F631" s="110">
        <v>4.08</v>
      </c>
      <c r="G631" s="7" t="s">
        <v>1701</v>
      </c>
      <c r="H631" s="7">
        <f>3*100</f>
        <v>300</v>
      </c>
      <c r="I631" s="107">
        <f>6.77/100</f>
        <v>6.7699999999999996E-2</v>
      </c>
      <c r="J631" s="7">
        <f t="shared" si="41"/>
        <v>20.309999999999999</v>
      </c>
    </row>
    <row r="632" spans="1:16" ht="12.75" customHeight="1">
      <c r="A632" s="10"/>
      <c r="C632" s="7">
        <f>23*36</f>
        <v>828</v>
      </c>
      <c r="E632" s="120" t="s">
        <v>2962</v>
      </c>
      <c r="F632" s="110">
        <v>4.968</v>
      </c>
      <c r="G632" s="7" t="s">
        <v>1688</v>
      </c>
      <c r="H632" s="7">
        <f>3*100</f>
        <v>300</v>
      </c>
      <c r="I632" s="107">
        <f>8.4/100</f>
        <v>8.4000000000000005E-2</v>
      </c>
      <c r="J632" s="7">
        <f t="shared" si="41"/>
        <v>25.200000000000003</v>
      </c>
    </row>
    <row r="633" spans="1:16" ht="12.75" customHeight="1">
      <c r="A633" s="10"/>
      <c r="B633" s="121">
        <f>F633/C633</f>
        <v>5.83710407239819E-3</v>
      </c>
      <c r="C633" s="7">
        <f>26*34</f>
        <v>884</v>
      </c>
      <c r="E633" s="120" t="s">
        <v>2963</v>
      </c>
      <c r="F633" s="125">
        <f>25.8/5</f>
        <v>5.16</v>
      </c>
      <c r="G633" s="7" t="s">
        <v>1699</v>
      </c>
      <c r="H633" s="7">
        <f>3*100</f>
        <v>300</v>
      </c>
      <c r="I633" s="107">
        <f>8.9/100</f>
        <v>8.900000000000001E-2</v>
      </c>
      <c r="J633" s="7">
        <f t="shared" si="41"/>
        <v>26.700000000000003</v>
      </c>
    </row>
    <row r="634" spans="1:16" ht="12.75" customHeight="1">
      <c r="A634" s="10"/>
      <c r="B634" s="10"/>
      <c r="C634" s="7">
        <f>30*42</f>
        <v>1260</v>
      </c>
      <c r="E634" s="120" t="s">
        <v>2964</v>
      </c>
      <c r="F634" s="110">
        <v>7.56</v>
      </c>
      <c r="G634" s="7" t="s">
        <v>1692</v>
      </c>
      <c r="H634" s="7">
        <f>2*100</f>
        <v>200</v>
      </c>
      <c r="I634" s="107">
        <f>12.39/100</f>
        <v>0.12390000000000001</v>
      </c>
      <c r="J634" s="7">
        <f t="shared" si="41"/>
        <v>24.78</v>
      </c>
    </row>
    <row r="635" spans="1:16" ht="12.75" customHeight="1">
      <c r="A635" s="10"/>
      <c r="B635" s="10"/>
      <c r="C635" s="7">
        <f>40*64</f>
        <v>2560</v>
      </c>
      <c r="E635" s="120" t="s">
        <v>2965</v>
      </c>
      <c r="F635" s="110">
        <v>15.36</v>
      </c>
      <c r="G635" s="7" t="s">
        <v>1693</v>
      </c>
      <c r="H635" s="7">
        <f>1*100</f>
        <v>100</v>
      </c>
      <c r="I635" s="107">
        <f>24.61/100</f>
        <v>0.24609999999999999</v>
      </c>
      <c r="J635" s="7">
        <f t="shared" si="41"/>
        <v>24.61</v>
      </c>
    </row>
    <row r="636" spans="1:16" s="4" customFormat="1" ht="12.75" customHeight="1">
      <c r="A636" s="12"/>
      <c r="B636" s="12"/>
      <c r="D636" s="5"/>
      <c r="E636" s="114"/>
      <c r="F636" s="5"/>
      <c r="H636" s="4">
        <f>SUM(H619:H635)</f>
        <v>28170</v>
      </c>
      <c r="J636" s="4">
        <f>SUM(J619:J635)</f>
        <v>612.54999999999995</v>
      </c>
      <c r="K636" s="4">
        <v>0</v>
      </c>
      <c r="L636" s="4">
        <v>-581.96</v>
      </c>
      <c r="N636" s="4">
        <v>-30.59</v>
      </c>
      <c r="O636" s="4">
        <f>SUM(J636:N636)</f>
        <v>-8.1712414612411521E-14</v>
      </c>
      <c r="P636" s="13" t="s">
        <v>2966</v>
      </c>
    </row>
    <row r="637" spans="1:16" ht="12.75" customHeight="1">
      <c r="A637" s="10">
        <v>43831</v>
      </c>
      <c r="B637" s="10">
        <v>43837</v>
      </c>
      <c r="C637" s="7" t="s">
        <v>1705</v>
      </c>
      <c r="E637" s="115">
        <v>105.01</v>
      </c>
      <c r="F637" s="9">
        <f>70/1000</f>
        <v>7.0000000000000007E-2</v>
      </c>
      <c r="G637" s="7" t="s">
        <v>1707</v>
      </c>
      <c r="H637" s="7">
        <f>10*1000</f>
        <v>10000</v>
      </c>
      <c r="I637" s="107">
        <f>6/1000</f>
        <v>6.0000000000000001E-3</v>
      </c>
      <c r="J637" s="7">
        <f t="shared" ref="J637:J642" si="42">H637*I637</f>
        <v>60</v>
      </c>
    </row>
    <row r="638" spans="1:16" ht="12.75" customHeight="1">
      <c r="A638" s="10"/>
      <c r="B638" s="10"/>
      <c r="E638" s="115">
        <v>105.02</v>
      </c>
      <c r="F638" s="110">
        <f>118/1000</f>
        <v>0.11799999999999999</v>
      </c>
      <c r="G638" s="7" t="s">
        <v>1706</v>
      </c>
      <c r="H638" s="7">
        <f>10*1000</f>
        <v>10000</v>
      </c>
      <c r="I638" s="107">
        <f>7/1000</f>
        <v>7.0000000000000001E-3</v>
      </c>
      <c r="J638" s="7">
        <f t="shared" si="42"/>
        <v>70</v>
      </c>
    </row>
    <row r="639" spans="1:16" ht="12.75" customHeight="1">
      <c r="A639" s="10"/>
      <c r="B639" s="10"/>
      <c r="E639" s="115">
        <v>105.03</v>
      </c>
      <c r="F639" s="110">
        <f>282/2000</f>
        <v>0.14099999999999999</v>
      </c>
      <c r="G639" s="7" t="s">
        <v>1711</v>
      </c>
      <c r="H639" s="7">
        <f>2*1000</f>
        <v>2000</v>
      </c>
      <c r="I639" s="107">
        <f>9/1000</f>
        <v>8.9999999999999993E-3</v>
      </c>
      <c r="J639" s="7">
        <f t="shared" si="42"/>
        <v>18</v>
      </c>
    </row>
    <row r="640" spans="1:16" ht="12.75" customHeight="1">
      <c r="A640" s="10"/>
      <c r="B640" s="10"/>
      <c r="E640" s="115">
        <v>105.04</v>
      </c>
      <c r="F640" s="110">
        <f>466/1000</f>
        <v>0.46600000000000003</v>
      </c>
      <c r="G640" s="7" t="s">
        <v>1710</v>
      </c>
      <c r="H640" s="7">
        <f>15*100</f>
        <v>1500</v>
      </c>
      <c r="I640" s="107">
        <f>2/100</f>
        <v>0.02</v>
      </c>
      <c r="J640" s="7">
        <f t="shared" si="42"/>
        <v>30</v>
      </c>
    </row>
    <row r="641" spans="1:16" ht="12.75" customHeight="1">
      <c r="A641" s="10"/>
      <c r="B641" s="10"/>
      <c r="E641" s="115">
        <v>105.05</v>
      </c>
      <c r="F641" s="110">
        <f>290/1000</f>
        <v>0.28999999999999998</v>
      </c>
      <c r="G641" s="7" t="s">
        <v>1708</v>
      </c>
      <c r="H641" s="7">
        <f>15*100</f>
        <v>1500</v>
      </c>
      <c r="I641" s="107">
        <f>2.5/100</f>
        <v>2.5000000000000001E-2</v>
      </c>
      <c r="J641" s="7">
        <f t="shared" si="42"/>
        <v>37.5</v>
      </c>
    </row>
    <row r="642" spans="1:16" ht="12.75" customHeight="1">
      <c r="A642" s="10"/>
      <c r="B642" s="10"/>
      <c r="E642" s="115">
        <v>105.06</v>
      </c>
      <c r="F642" s="110">
        <f>360/1000</f>
        <v>0.36</v>
      </c>
      <c r="G642" s="7" t="s">
        <v>1709</v>
      </c>
      <c r="H642" s="7">
        <f>10*100</f>
        <v>1000</v>
      </c>
      <c r="I642" s="107">
        <f>1.5/100</f>
        <v>1.4999999999999999E-2</v>
      </c>
      <c r="J642" s="7">
        <f t="shared" si="42"/>
        <v>15</v>
      </c>
    </row>
    <row r="643" spans="1:16" s="4" customFormat="1" ht="12.75" customHeight="1">
      <c r="A643" s="12"/>
      <c r="B643" s="12"/>
      <c r="D643" s="5"/>
      <c r="E643" s="114"/>
      <c r="F643" s="54"/>
      <c r="H643" s="4">
        <f>SUM(H637:H642)</f>
        <v>26000</v>
      </c>
      <c r="J643" s="4">
        <f>SUM(J637:J642)</f>
        <v>230.5</v>
      </c>
      <c r="K643" s="4">
        <v>0</v>
      </c>
      <c r="L643" s="4">
        <f>-212.5-18</f>
        <v>-230.5</v>
      </c>
      <c r="O643" s="4">
        <f>SUM(J643:N643)</f>
        <v>0</v>
      </c>
      <c r="P643" s="13" t="s">
        <v>2967</v>
      </c>
    </row>
    <row r="644" spans="1:16" ht="12.75" customHeight="1">
      <c r="A644" s="10">
        <v>43831</v>
      </c>
      <c r="B644" s="10">
        <v>43837</v>
      </c>
      <c r="C644" s="7" t="s">
        <v>1712</v>
      </c>
      <c r="D644" s="65" t="s">
        <v>3186</v>
      </c>
      <c r="E644" s="115">
        <v>106.01</v>
      </c>
      <c r="F644" s="110">
        <f>294.7/1000</f>
        <v>0.29469999999999996</v>
      </c>
      <c r="G644" s="7" t="s">
        <v>1722</v>
      </c>
      <c r="H644" s="7">
        <f>20*100</f>
        <v>2000</v>
      </c>
      <c r="I644" s="107">
        <f>0.98/100</f>
        <v>9.7999999999999997E-3</v>
      </c>
      <c r="J644" s="7">
        <f t="shared" ref="J644:J652" si="43">H644*I644</f>
        <v>19.599999999999998</v>
      </c>
    </row>
    <row r="645" spans="1:16" ht="12.75" customHeight="1">
      <c r="A645" s="10"/>
      <c r="B645" s="10"/>
      <c r="D645" s="65" t="s">
        <v>3186</v>
      </c>
      <c r="E645" s="115">
        <v>106.02</v>
      </c>
      <c r="F645" s="110">
        <f>388.3/1000</f>
        <v>0.38830000000000003</v>
      </c>
      <c r="G645" s="7" t="s">
        <v>1718</v>
      </c>
      <c r="H645" s="7">
        <f>20*100</f>
        <v>2000</v>
      </c>
      <c r="I645" s="107">
        <f>0.98/100</f>
        <v>9.7999999999999997E-3</v>
      </c>
      <c r="J645" s="7">
        <f t="shared" si="43"/>
        <v>19.599999999999998</v>
      </c>
    </row>
    <row r="646" spans="1:16" ht="12.75" customHeight="1">
      <c r="A646" s="10"/>
      <c r="B646" s="10"/>
      <c r="D646" s="65" t="s">
        <v>3186</v>
      </c>
      <c r="E646" s="115">
        <v>106.03</v>
      </c>
      <c r="F646" s="110">
        <f>416.8/1000</f>
        <v>0.4168</v>
      </c>
      <c r="G646" s="7" t="s">
        <v>1714</v>
      </c>
      <c r="H646" s="7">
        <f>8*100</f>
        <v>800</v>
      </c>
      <c r="I646" s="107">
        <f>1.38/100</f>
        <v>1.38E-2</v>
      </c>
      <c r="J646" s="7">
        <f t="shared" si="43"/>
        <v>11.04</v>
      </c>
    </row>
    <row r="647" spans="1:16" ht="12.75" customHeight="1">
      <c r="A647" s="10"/>
      <c r="B647" s="10"/>
      <c r="D647" s="65" t="s">
        <v>3186</v>
      </c>
      <c r="E647" s="115">
        <v>106.04</v>
      </c>
      <c r="F647" s="110">
        <f>129/200</f>
        <v>0.64500000000000002</v>
      </c>
      <c r="G647" s="7" t="s">
        <v>1723</v>
      </c>
      <c r="H647" s="7">
        <f>20*100</f>
        <v>2000</v>
      </c>
      <c r="I647" s="107">
        <f>1.58/100</f>
        <v>1.5800000000000002E-2</v>
      </c>
      <c r="J647" s="7">
        <f t="shared" si="43"/>
        <v>31.6</v>
      </c>
    </row>
    <row r="648" spans="1:16" ht="12.75" customHeight="1">
      <c r="A648" s="10"/>
      <c r="B648" s="10"/>
      <c r="D648" s="65" t="s">
        <v>3186</v>
      </c>
      <c r="E648" s="115">
        <v>106.05</v>
      </c>
      <c r="F648" s="110">
        <f>85.3/100</f>
        <v>0.85299999999999998</v>
      </c>
      <c r="G648" s="7" t="s">
        <v>1713</v>
      </c>
      <c r="H648" s="7">
        <f>10*100</f>
        <v>1000</v>
      </c>
      <c r="I648" s="107">
        <f>1.88/100</f>
        <v>1.8799999999999997E-2</v>
      </c>
      <c r="J648" s="7">
        <f t="shared" si="43"/>
        <v>18.799999999999997</v>
      </c>
    </row>
    <row r="649" spans="1:16" ht="12.75" customHeight="1">
      <c r="A649" s="10"/>
      <c r="B649" s="10"/>
      <c r="D649" s="65" t="s">
        <v>3186</v>
      </c>
      <c r="E649" s="115">
        <v>106.06</v>
      </c>
      <c r="F649" s="110">
        <f>239/200</f>
        <v>1.1950000000000001</v>
      </c>
      <c r="G649" s="7" t="s">
        <v>1719</v>
      </c>
      <c r="H649" s="7">
        <f>10*100</f>
        <v>1000</v>
      </c>
      <c r="I649" s="107">
        <f>2.78/100</f>
        <v>2.7799999999999998E-2</v>
      </c>
      <c r="J649" s="7">
        <f t="shared" si="43"/>
        <v>27.799999999999997</v>
      </c>
    </row>
    <row r="650" spans="1:16" ht="12.75" customHeight="1">
      <c r="A650" s="10"/>
      <c r="B650" s="10"/>
      <c r="D650" s="65" t="s">
        <v>3186</v>
      </c>
      <c r="E650" s="115">
        <v>106.07</v>
      </c>
      <c r="F650" s="9">
        <f>15.3/10</f>
        <v>1.53</v>
      </c>
      <c r="G650" s="7" t="s">
        <v>1720</v>
      </c>
      <c r="H650" s="7">
        <f>5*100</f>
        <v>500</v>
      </c>
      <c r="I650" s="107">
        <f>3.18/100</f>
        <v>3.1800000000000002E-2</v>
      </c>
      <c r="J650" s="7">
        <f t="shared" si="43"/>
        <v>15.9</v>
      </c>
    </row>
    <row r="651" spans="1:16" ht="12.75" customHeight="1">
      <c r="A651" s="10"/>
      <c r="B651" s="10"/>
      <c r="D651" s="65" t="s">
        <v>3186</v>
      </c>
      <c r="E651" s="115">
        <v>106.08</v>
      </c>
      <c r="F651" s="9">
        <f>16.5/10</f>
        <v>1.65</v>
      </c>
      <c r="G651" s="7" t="s">
        <v>1724</v>
      </c>
      <c r="H651" s="7">
        <f>8*100</f>
        <v>800</v>
      </c>
      <c r="I651" s="107">
        <f>3.38/100</f>
        <v>3.3799999999999997E-2</v>
      </c>
      <c r="J651" s="7">
        <f t="shared" si="43"/>
        <v>27.04</v>
      </c>
    </row>
    <row r="652" spans="1:16" ht="12.75" customHeight="1">
      <c r="A652" s="10"/>
      <c r="B652" s="10"/>
      <c r="D652" s="65" t="s">
        <v>3186</v>
      </c>
      <c r="E652" s="205" t="s">
        <v>5970</v>
      </c>
      <c r="F652" s="9">
        <f>18.4/10</f>
        <v>1.8399999999999999</v>
      </c>
      <c r="G652" s="7" t="s">
        <v>1725</v>
      </c>
      <c r="H652" s="7">
        <f>3*100</f>
        <v>300</v>
      </c>
      <c r="I652" s="107">
        <f>3.88/100</f>
        <v>3.8800000000000001E-2</v>
      </c>
      <c r="J652" s="7">
        <f t="shared" si="43"/>
        <v>11.64</v>
      </c>
    </row>
    <row r="653" spans="1:16" ht="12.75" customHeight="1">
      <c r="A653" s="10"/>
      <c r="B653" s="10"/>
      <c r="E653" s="106" t="s">
        <v>3120</v>
      </c>
      <c r="F653" s="106" t="s">
        <v>2766</v>
      </c>
      <c r="G653" s="52" t="s">
        <v>1715</v>
      </c>
      <c r="H653" s="1">
        <f>2*100</f>
        <v>200</v>
      </c>
      <c r="I653" s="108">
        <f>5.08/100</f>
        <v>5.0799999999999998E-2</v>
      </c>
      <c r="J653" s="52">
        <v>0</v>
      </c>
    </row>
    <row r="654" spans="1:16" ht="12.75" customHeight="1">
      <c r="A654" s="10"/>
      <c r="B654" s="10"/>
      <c r="E654" s="106" t="s">
        <v>3120</v>
      </c>
      <c r="F654" s="106" t="s">
        <v>2766</v>
      </c>
      <c r="G654" s="52" t="s">
        <v>1727</v>
      </c>
      <c r="H654" s="1">
        <f>2*100</f>
        <v>200</v>
      </c>
      <c r="I654" s="108">
        <f>6.58/100</f>
        <v>6.5799999999999997E-2</v>
      </c>
      <c r="J654" s="52">
        <v>0</v>
      </c>
    </row>
    <row r="655" spans="1:16" ht="12.75" customHeight="1">
      <c r="A655" s="10"/>
      <c r="B655" s="10"/>
      <c r="E655" s="106" t="s">
        <v>3120</v>
      </c>
      <c r="F655" s="106" t="s">
        <v>2766</v>
      </c>
      <c r="G655" s="52" t="s">
        <v>1721</v>
      </c>
      <c r="H655" s="1">
        <f>2*100</f>
        <v>200</v>
      </c>
      <c r="I655" s="108">
        <f>7.98/100</f>
        <v>7.980000000000001E-2</v>
      </c>
      <c r="J655" s="52">
        <v>0</v>
      </c>
    </row>
    <row r="656" spans="1:16" ht="12.75" customHeight="1">
      <c r="A656" s="10"/>
      <c r="B656" s="10"/>
      <c r="E656" s="106" t="s">
        <v>3120</v>
      </c>
      <c r="F656" s="106" t="s">
        <v>2766</v>
      </c>
      <c r="G656" s="52" t="s">
        <v>1717</v>
      </c>
      <c r="H656" s="1">
        <f>1*100</f>
        <v>100</v>
      </c>
      <c r="I656" s="108">
        <f>9.18/100</f>
        <v>9.1799999999999993E-2</v>
      </c>
      <c r="J656" s="52">
        <v>0</v>
      </c>
    </row>
    <row r="657" spans="1:16" ht="12.75" customHeight="1">
      <c r="A657" s="10"/>
      <c r="B657" s="10"/>
      <c r="E657" s="106" t="s">
        <v>3120</v>
      </c>
      <c r="F657" s="106" t="s">
        <v>2766</v>
      </c>
      <c r="G657" s="52" t="s">
        <v>1716</v>
      </c>
      <c r="H657" s="1">
        <f>1*100</f>
        <v>100</v>
      </c>
      <c r="I657" s="108">
        <f>10.98/100</f>
        <v>0.10980000000000001</v>
      </c>
      <c r="J657" s="52">
        <v>0</v>
      </c>
    </row>
    <row r="658" spans="1:16" ht="12.75" customHeight="1">
      <c r="A658" s="10"/>
      <c r="B658" s="10"/>
      <c r="E658" s="106" t="s">
        <v>3120</v>
      </c>
      <c r="F658" s="106" t="s">
        <v>2766</v>
      </c>
      <c r="G658" s="52" t="s">
        <v>1726</v>
      </c>
      <c r="H658" s="1">
        <f>1*100</f>
        <v>100</v>
      </c>
      <c r="I658" s="108">
        <f>18.28/100</f>
        <v>0.18280000000000002</v>
      </c>
      <c r="J658" s="52">
        <v>0</v>
      </c>
    </row>
    <row r="659" spans="1:16" s="4" customFormat="1" ht="12.75" customHeight="1">
      <c r="A659" s="12"/>
      <c r="B659" s="12"/>
      <c r="D659" s="5"/>
      <c r="E659" s="114"/>
      <c r="F659" s="5"/>
      <c r="H659" s="4">
        <f>SUM(H644:H658)</f>
        <v>11300</v>
      </c>
      <c r="J659" s="4">
        <f>SUM(J644:J658)</f>
        <v>183.01999999999998</v>
      </c>
      <c r="K659" s="4">
        <v>0</v>
      </c>
      <c r="L659" s="4">
        <f>-260.74+77.72</f>
        <v>-183.02</v>
      </c>
      <c r="O659" s="4">
        <f>SUM(J659:N659)</f>
        <v>0</v>
      </c>
      <c r="P659" s="13" t="s">
        <v>2968</v>
      </c>
    </row>
    <row r="660" spans="1:16" ht="12.75" customHeight="1">
      <c r="A660" s="10">
        <v>43831</v>
      </c>
      <c r="B660" s="10">
        <v>43837</v>
      </c>
      <c r="C660" s="7" t="s">
        <v>1728</v>
      </c>
      <c r="E660" s="115">
        <v>105.07</v>
      </c>
      <c r="F660" s="110">
        <f>169.4-41.1</f>
        <v>128.30000000000001</v>
      </c>
      <c r="G660" s="7" t="s">
        <v>1729</v>
      </c>
      <c r="H660" s="7">
        <f>10*200</f>
        <v>2000</v>
      </c>
      <c r="I660" s="109">
        <f>3.95/200</f>
        <v>1.975E-2</v>
      </c>
      <c r="J660" s="7">
        <f t="shared" ref="J660:J666" si="44">H660*I660</f>
        <v>39.5</v>
      </c>
    </row>
    <row r="661" spans="1:16" ht="12.75" customHeight="1">
      <c r="A661" s="10"/>
      <c r="B661" s="10"/>
      <c r="D661" s="65" t="s">
        <v>3186</v>
      </c>
      <c r="E661" s="115">
        <v>106.14</v>
      </c>
      <c r="F661" s="110">
        <f>396.2/400</f>
        <v>0.99049999999999994</v>
      </c>
      <c r="G661" s="7" t="s">
        <v>2352</v>
      </c>
      <c r="H661" s="7">
        <f>2*200</f>
        <v>400</v>
      </c>
      <c r="I661" s="107">
        <f>5/200</f>
        <v>2.5000000000000001E-2</v>
      </c>
      <c r="J661" s="7">
        <f t="shared" si="44"/>
        <v>10</v>
      </c>
    </row>
    <row r="662" spans="1:16" ht="12.75" customHeight="1">
      <c r="A662" s="10"/>
      <c r="B662" s="10"/>
      <c r="D662" s="65" t="s">
        <v>3186</v>
      </c>
      <c r="E662" s="117" t="s">
        <v>2969</v>
      </c>
      <c r="F662" s="110">
        <f>197.6/400</f>
        <v>0.49399999999999999</v>
      </c>
      <c r="G662" s="7" t="s">
        <v>1714</v>
      </c>
      <c r="H662" s="7">
        <f>2*200</f>
        <v>400</v>
      </c>
      <c r="I662" s="107">
        <f>3.6/200</f>
        <v>1.8000000000000002E-2</v>
      </c>
      <c r="J662" s="7">
        <f t="shared" si="44"/>
        <v>7.2000000000000011</v>
      </c>
    </row>
    <row r="663" spans="1:16" ht="12.75" customHeight="1">
      <c r="A663" s="10"/>
      <c r="B663" s="10"/>
      <c r="D663" s="65" t="s">
        <v>3186</v>
      </c>
      <c r="E663" s="115">
        <v>106.13</v>
      </c>
      <c r="F663" s="110">
        <f>311.5/400</f>
        <v>0.77875000000000005</v>
      </c>
      <c r="G663" s="7" t="s">
        <v>1730</v>
      </c>
      <c r="H663" s="7">
        <f>2*200</f>
        <v>400</v>
      </c>
      <c r="I663" s="107">
        <f>4/200</f>
        <v>0.02</v>
      </c>
      <c r="J663" s="7">
        <f t="shared" si="44"/>
        <v>8</v>
      </c>
    </row>
    <row r="664" spans="1:16" ht="12.75" customHeight="1">
      <c r="A664" s="10"/>
      <c r="B664" s="10"/>
      <c r="D664" s="65" t="s">
        <v>3186</v>
      </c>
      <c r="E664" s="115">
        <v>106.12</v>
      </c>
      <c r="F664" s="110">
        <f>257.9/800</f>
        <v>0.32237499999999997</v>
      </c>
      <c r="G664" s="7" t="s">
        <v>1731</v>
      </c>
      <c r="H664" s="7">
        <f>4*200</f>
        <v>800</v>
      </c>
      <c r="I664" s="107">
        <f>2.4/200</f>
        <v>1.2E-2</v>
      </c>
      <c r="J664" s="7">
        <f t="shared" si="44"/>
        <v>9.6</v>
      </c>
    </row>
    <row r="665" spans="1:16" ht="12.75" customHeight="1">
      <c r="A665" s="10"/>
      <c r="B665" s="10"/>
      <c r="D665" s="65" t="s">
        <v>3186</v>
      </c>
      <c r="E665" s="115">
        <v>106.11</v>
      </c>
      <c r="F665" s="110">
        <f>208.5/400</f>
        <v>0.52124999999999999</v>
      </c>
      <c r="G665" s="105" t="s">
        <v>1732</v>
      </c>
      <c r="H665" s="7">
        <f>2*200</f>
        <v>400</v>
      </c>
      <c r="I665" s="107">
        <f>3.2/200</f>
        <v>1.6E-2</v>
      </c>
      <c r="J665" s="7">
        <f t="shared" si="44"/>
        <v>6.4</v>
      </c>
    </row>
    <row r="666" spans="1:16" ht="12.75" customHeight="1">
      <c r="A666" s="10"/>
      <c r="B666" s="10"/>
      <c r="D666" s="65" t="s">
        <v>3186</v>
      </c>
      <c r="E666" s="115">
        <v>106.15</v>
      </c>
      <c r="F666" s="110">
        <f>358.5/400</f>
        <v>0.89624999999999999</v>
      </c>
      <c r="G666" s="105" t="s">
        <v>1733</v>
      </c>
      <c r="H666" s="7">
        <f>2*200</f>
        <v>400</v>
      </c>
      <c r="I666" s="107">
        <f>4.5/200</f>
        <v>2.2499999999999999E-2</v>
      </c>
      <c r="J666" s="7">
        <f t="shared" si="44"/>
        <v>9</v>
      </c>
    </row>
    <row r="667" spans="1:16" s="4" customFormat="1" ht="12.75" customHeight="1">
      <c r="A667" s="12"/>
      <c r="B667" s="12"/>
      <c r="D667" s="5"/>
      <c r="E667" s="114"/>
      <c r="F667" s="5"/>
      <c r="H667" s="4">
        <f>SUM(H660:H666)</f>
        <v>4800</v>
      </c>
      <c r="J667" s="4">
        <f>SUM(J660:J666)</f>
        <v>89.7</v>
      </c>
      <c r="K667" s="4">
        <v>0</v>
      </c>
      <c r="L667" s="4">
        <v>-89.7</v>
      </c>
      <c r="O667" s="4">
        <f>SUM(J667:N667)</f>
        <v>0</v>
      </c>
      <c r="P667" s="13" t="s">
        <v>2970</v>
      </c>
    </row>
    <row r="668" spans="1:16" ht="12.75" customHeight="1">
      <c r="A668" s="10">
        <v>43832</v>
      </c>
      <c r="B668" s="10">
        <v>43837</v>
      </c>
      <c r="C668" s="7" t="s">
        <v>1735</v>
      </c>
      <c r="D668" s="65" t="s">
        <v>3186</v>
      </c>
      <c r="E668" s="115">
        <v>106.17</v>
      </c>
      <c r="F668" s="110">
        <f>170.5/2000</f>
        <v>8.5250000000000006E-2</v>
      </c>
      <c r="G668" s="1" t="s">
        <v>2353</v>
      </c>
      <c r="H668" s="1">
        <f>10*100</f>
        <v>1000</v>
      </c>
      <c r="I668" s="25">
        <f>0.8/100</f>
        <v>8.0000000000000002E-3</v>
      </c>
      <c r="J668" s="1">
        <f t="shared" ref="J668:J674" si="45">H668*I668</f>
        <v>8</v>
      </c>
    </row>
    <row r="669" spans="1:16" ht="12.75" customHeight="1">
      <c r="A669" s="10"/>
      <c r="B669" s="10"/>
      <c r="D669" s="65" t="s">
        <v>3186</v>
      </c>
      <c r="E669" s="115">
        <v>106.16</v>
      </c>
      <c r="F669" s="110">
        <f>260/2000</f>
        <v>0.13</v>
      </c>
      <c r="G669" s="1" t="s">
        <v>1736</v>
      </c>
      <c r="H669" s="1">
        <f>20*100</f>
        <v>2000</v>
      </c>
      <c r="I669" s="25">
        <f>0.7/100</f>
        <v>6.9999999999999993E-3</v>
      </c>
      <c r="J669" s="1">
        <f t="shared" si="45"/>
        <v>13.999999999999998</v>
      </c>
    </row>
    <row r="670" spans="1:16" ht="12.75" customHeight="1">
      <c r="A670" s="10"/>
      <c r="B670" s="10"/>
      <c r="D670" s="65" t="s">
        <v>3186</v>
      </c>
      <c r="E670" s="115">
        <v>106.18</v>
      </c>
      <c r="F670" s="110">
        <f>445/1000</f>
        <v>0.44500000000000001</v>
      </c>
      <c r="G670" s="1" t="s">
        <v>1737</v>
      </c>
      <c r="H670" s="1">
        <f>10*100</f>
        <v>1000</v>
      </c>
      <c r="I670" s="25">
        <f>1.1/100</f>
        <v>1.1000000000000001E-2</v>
      </c>
      <c r="J670" s="1">
        <f t="shared" si="45"/>
        <v>11.000000000000002</v>
      </c>
    </row>
    <row r="671" spans="1:16" ht="12.75" customHeight="1">
      <c r="A671" s="10"/>
      <c r="B671" s="10"/>
      <c r="D671" s="65" t="s">
        <v>3186</v>
      </c>
      <c r="E671" s="115">
        <v>106.19</v>
      </c>
      <c r="F671" s="9">
        <f>3.4/5</f>
        <v>0.67999999999999994</v>
      </c>
      <c r="G671" s="105" t="s">
        <v>1738</v>
      </c>
      <c r="H671" s="1">
        <f>10*100</f>
        <v>1000</v>
      </c>
      <c r="I671" s="25">
        <f>1.5/100</f>
        <v>1.4999999999999999E-2</v>
      </c>
      <c r="J671" s="1">
        <f t="shared" si="45"/>
        <v>15</v>
      </c>
    </row>
    <row r="672" spans="1:16" ht="12.75" customHeight="1">
      <c r="A672" s="10"/>
      <c r="B672" s="10"/>
      <c r="D672" s="65" t="s">
        <v>3186</v>
      </c>
      <c r="E672" s="117" t="s">
        <v>2971</v>
      </c>
      <c r="F672" s="9">
        <f>43.4-41.1</f>
        <v>2.2999999999999972</v>
      </c>
      <c r="G672" s="105" t="s">
        <v>1739</v>
      </c>
      <c r="H672" s="1">
        <f>2*100</f>
        <v>200</v>
      </c>
      <c r="I672" s="25">
        <f>4.7/100</f>
        <v>4.7E-2</v>
      </c>
      <c r="J672" s="1">
        <f t="shared" si="45"/>
        <v>9.4</v>
      </c>
    </row>
    <row r="673" spans="1:16" ht="12.75" customHeight="1">
      <c r="A673" s="10"/>
      <c r="B673" s="10"/>
      <c r="D673" s="65" t="s">
        <v>3186</v>
      </c>
      <c r="E673" s="115">
        <v>106.21</v>
      </c>
      <c r="F673" s="9">
        <f>44.2-41.1</f>
        <v>3.1000000000000014</v>
      </c>
      <c r="G673" s="105" t="s">
        <v>1740</v>
      </c>
      <c r="H673" s="1">
        <f>2*100</f>
        <v>200</v>
      </c>
      <c r="I673" s="25">
        <f>6/100</f>
        <v>0.06</v>
      </c>
      <c r="J673" s="1">
        <f t="shared" si="45"/>
        <v>12</v>
      </c>
    </row>
    <row r="674" spans="1:16" ht="12.75" customHeight="1">
      <c r="A674" s="10"/>
      <c r="B674" s="10"/>
      <c r="D674" s="65" t="s">
        <v>3186</v>
      </c>
      <c r="E674" s="115">
        <v>106.22</v>
      </c>
      <c r="F674" s="9">
        <f>44.9-41.1</f>
        <v>3.7999999999999972</v>
      </c>
      <c r="G674" s="105" t="s">
        <v>1741</v>
      </c>
      <c r="H674" s="1">
        <f>2*100</f>
        <v>200</v>
      </c>
      <c r="I674" s="25">
        <f>7.7/100</f>
        <v>7.6999999999999999E-2</v>
      </c>
      <c r="J674" s="1">
        <f t="shared" si="45"/>
        <v>15.4</v>
      </c>
    </row>
    <row r="675" spans="1:16" s="4" customFormat="1" ht="12.75" customHeight="1">
      <c r="A675" s="12"/>
      <c r="B675" s="12"/>
      <c r="D675" s="5"/>
      <c r="E675" s="114"/>
      <c r="F675" s="5"/>
      <c r="H675" s="4">
        <f>SUM(H668:H674)</f>
        <v>5600</v>
      </c>
      <c r="J675" s="4">
        <f>SUM(J668:J674)</f>
        <v>84.800000000000011</v>
      </c>
      <c r="K675" s="4">
        <v>0</v>
      </c>
      <c r="L675" s="4">
        <v>-84.8</v>
      </c>
      <c r="O675" s="4">
        <f>SUM(J675:N675)</f>
        <v>0</v>
      </c>
      <c r="P675" s="13" t="s">
        <v>2972</v>
      </c>
    </row>
    <row r="676" spans="1:16" ht="12.75" customHeight="1">
      <c r="A676" s="10">
        <v>43832</v>
      </c>
      <c r="B676" s="10"/>
      <c r="C676" s="7" t="s">
        <v>1757</v>
      </c>
      <c r="D676" s="3"/>
      <c r="E676" s="113" t="s">
        <v>2765</v>
      </c>
      <c r="F676" s="9">
        <f>51/100</f>
        <v>0.51</v>
      </c>
      <c r="G676" s="201" t="s">
        <v>5972</v>
      </c>
      <c r="H676" s="1">
        <v>50000</v>
      </c>
      <c r="I676" s="25">
        <f>0.014</f>
        <v>1.4E-2</v>
      </c>
      <c r="J676" s="1">
        <f>H676*I676</f>
        <v>700</v>
      </c>
    </row>
    <row r="677" spans="1:16" ht="12.75" customHeight="1">
      <c r="A677" s="10"/>
      <c r="B677" s="10"/>
      <c r="D677" s="3"/>
      <c r="E677" s="113" t="s">
        <v>3309</v>
      </c>
      <c r="F677" s="9">
        <f>132.6/100</f>
        <v>1.3259999999999998</v>
      </c>
      <c r="G677" s="1" t="s">
        <v>4020</v>
      </c>
      <c r="H677" s="1">
        <v>30000</v>
      </c>
      <c r="I677" s="25">
        <f>0.027</f>
        <v>2.7E-2</v>
      </c>
      <c r="J677" s="1">
        <f>H677*I677</f>
        <v>810</v>
      </c>
    </row>
    <row r="678" spans="1:16" s="4" customFormat="1" ht="12.75" customHeight="1">
      <c r="A678" s="12"/>
      <c r="B678" s="12"/>
      <c r="D678" s="5"/>
      <c r="E678" s="114"/>
      <c r="F678" s="5"/>
      <c r="H678" s="4">
        <f>SUM(H676:H677)</f>
        <v>80000</v>
      </c>
      <c r="J678" s="4">
        <f>SUM(J676:J677)</f>
        <v>1510</v>
      </c>
      <c r="K678" s="4">
        <v>0</v>
      </c>
      <c r="L678" s="4">
        <f>-700-810</f>
        <v>-1510</v>
      </c>
      <c r="O678" s="4">
        <f>SUM(J678:N678)</f>
        <v>0</v>
      </c>
      <c r="P678" s="13" t="s">
        <v>2973</v>
      </c>
    </row>
    <row r="679" spans="1:16" ht="12.75" customHeight="1">
      <c r="A679" s="10">
        <v>43832</v>
      </c>
      <c r="B679" s="10">
        <v>43834</v>
      </c>
      <c r="C679" s="7" t="s">
        <v>1774</v>
      </c>
      <c r="D679" s="3"/>
      <c r="E679" s="113" t="s">
        <v>2766</v>
      </c>
      <c r="F679" s="113" t="s">
        <v>2766</v>
      </c>
      <c r="G679" s="1" t="s">
        <v>1777</v>
      </c>
      <c r="H679" s="1">
        <v>100</v>
      </c>
      <c r="I679" s="108">
        <f>0.78/100</f>
        <v>7.8000000000000005E-3</v>
      </c>
      <c r="J679" s="1">
        <f t="shared" ref="J679:J687" si="46">H679*I679</f>
        <v>0.78</v>
      </c>
    </row>
    <row r="680" spans="1:16" ht="12.75" customHeight="1">
      <c r="A680" s="10"/>
      <c r="B680" s="10"/>
      <c r="D680" s="3"/>
      <c r="E680" s="113" t="s">
        <v>2766</v>
      </c>
      <c r="F680" s="113" t="s">
        <v>2766</v>
      </c>
      <c r="G680" s="1" t="s">
        <v>1775</v>
      </c>
      <c r="H680" s="1">
        <v>100</v>
      </c>
      <c r="I680" s="108">
        <f>0.85/100</f>
        <v>8.5000000000000006E-3</v>
      </c>
      <c r="J680" s="1">
        <f t="shared" si="46"/>
        <v>0.85000000000000009</v>
      </c>
    </row>
    <row r="681" spans="1:16" ht="12.75" customHeight="1">
      <c r="A681" s="10"/>
      <c r="B681" s="10"/>
      <c r="D681" s="3"/>
      <c r="E681" s="113" t="s">
        <v>2766</v>
      </c>
      <c r="F681" s="113" t="s">
        <v>2766</v>
      </c>
      <c r="G681" s="1" t="s">
        <v>1769</v>
      </c>
      <c r="H681" s="1">
        <v>100</v>
      </c>
      <c r="I681" s="108">
        <f>1.1/100</f>
        <v>1.1000000000000001E-2</v>
      </c>
      <c r="J681" s="1">
        <f t="shared" si="46"/>
        <v>1.1000000000000001</v>
      </c>
    </row>
    <row r="682" spans="1:16" ht="12.75" customHeight="1">
      <c r="A682" s="10"/>
      <c r="B682" s="10"/>
      <c r="D682" s="3"/>
      <c r="E682" s="113" t="s">
        <v>2766</v>
      </c>
      <c r="F682" s="113" t="s">
        <v>2766</v>
      </c>
      <c r="G682" s="1" t="s">
        <v>1768</v>
      </c>
      <c r="H682" s="1">
        <v>100</v>
      </c>
      <c r="I682" s="108">
        <f>2.2/100</f>
        <v>2.2000000000000002E-2</v>
      </c>
      <c r="J682" s="1">
        <f t="shared" si="46"/>
        <v>2.2000000000000002</v>
      </c>
    </row>
    <row r="683" spans="1:16" ht="12.75" customHeight="1">
      <c r="A683" s="10"/>
      <c r="B683" s="10"/>
      <c r="D683" s="3"/>
      <c r="E683" s="113" t="s">
        <v>2766</v>
      </c>
      <c r="F683" s="113" t="s">
        <v>2766</v>
      </c>
      <c r="G683" s="1" t="s">
        <v>1767</v>
      </c>
      <c r="H683" s="1">
        <v>100</v>
      </c>
      <c r="I683" s="108">
        <f>3.2/100</f>
        <v>3.2000000000000001E-2</v>
      </c>
      <c r="J683" s="1">
        <f t="shared" si="46"/>
        <v>3.2</v>
      </c>
    </row>
    <row r="684" spans="1:16" ht="12.75" customHeight="1">
      <c r="A684" s="10"/>
      <c r="B684" s="10"/>
      <c r="D684" s="3"/>
      <c r="E684" s="113" t="s">
        <v>2766</v>
      </c>
      <c r="F684" s="113" t="s">
        <v>2766</v>
      </c>
      <c r="G684" s="1" t="s">
        <v>1765</v>
      </c>
      <c r="H684" s="1">
        <v>100</v>
      </c>
      <c r="I684" s="108">
        <f>4.3/100</f>
        <v>4.2999999999999997E-2</v>
      </c>
      <c r="J684" s="1">
        <f t="shared" si="46"/>
        <v>4.3</v>
      </c>
    </row>
    <row r="685" spans="1:16" ht="12.75" customHeight="1">
      <c r="A685" s="10"/>
      <c r="B685" s="10"/>
      <c r="D685" s="3"/>
      <c r="E685" s="113" t="s">
        <v>2766</v>
      </c>
      <c r="F685" s="113" t="s">
        <v>2766</v>
      </c>
      <c r="G685" s="1" t="s">
        <v>1776</v>
      </c>
      <c r="H685" s="1">
        <v>100</v>
      </c>
      <c r="I685" s="108">
        <f>5.2/100</f>
        <v>5.2000000000000005E-2</v>
      </c>
      <c r="J685" s="1">
        <f t="shared" si="46"/>
        <v>5.2</v>
      </c>
    </row>
    <row r="686" spans="1:16" ht="12.75" customHeight="1">
      <c r="A686" s="10"/>
      <c r="B686" s="10"/>
      <c r="D686" s="3"/>
      <c r="E686" s="113" t="s">
        <v>2766</v>
      </c>
      <c r="F686" s="113" t="s">
        <v>2766</v>
      </c>
      <c r="G686" s="1" t="s">
        <v>1764</v>
      </c>
      <c r="H686" s="1">
        <v>100</v>
      </c>
      <c r="I686" s="108">
        <f>6.2/100</f>
        <v>6.2E-2</v>
      </c>
      <c r="J686" s="1">
        <f t="shared" si="46"/>
        <v>6.2</v>
      </c>
    </row>
    <row r="687" spans="1:16" ht="12.75" customHeight="1">
      <c r="A687" s="10"/>
      <c r="B687" s="10"/>
      <c r="D687" s="3"/>
      <c r="E687" s="113" t="s">
        <v>2766</v>
      </c>
      <c r="F687" s="113" t="s">
        <v>2766</v>
      </c>
      <c r="G687" s="1" t="s">
        <v>1771</v>
      </c>
      <c r="H687" s="1">
        <v>100</v>
      </c>
      <c r="I687" s="108">
        <f>6.6/100</f>
        <v>6.6000000000000003E-2</v>
      </c>
      <c r="J687" s="1">
        <f t="shared" si="46"/>
        <v>6.6000000000000005</v>
      </c>
    </row>
    <row r="688" spans="1:16" s="4" customFormat="1" ht="12.75" customHeight="1">
      <c r="A688" s="12"/>
      <c r="B688" s="12"/>
      <c r="D688" s="5"/>
      <c r="E688" s="114"/>
      <c r="F688" s="5"/>
      <c r="H688" s="4">
        <f>SUM(H683:H687)</f>
        <v>500</v>
      </c>
      <c r="J688" s="4">
        <f>SUM(J679:J687)</f>
        <v>30.43</v>
      </c>
      <c r="K688" s="4">
        <v>6</v>
      </c>
      <c r="L688" s="4">
        <v>-31.43</v>
      </c>
      <c r="N688" s="4">
        <v>-5</v>
      </c>
      <c r="O688" s="4">
        <f>SUM(J688:N688)</f>
        <v>0</v>
      </c>
      <c r="P688" s="13" t="s">
        <v>2974</v>
      </c>
    </row>
    <row r="689" spans="1:18" ht="12.75" customHeight="1">
      <c r="A689" s="10">
        <v>43833</v>
      </c>
      <c r="B689" s="10">
        <v>43833</v>
      </c>
      <c r="C689" s="7" t="s">
        <v>1762</v>
      </c>
      <c r="D689" s="3"/>
      <c r="E689" s="113" t="s">
        <v>2766</v>
      </c>
      <c r="F689" s="113" t="s">
        <v>2766</v>
      </c>
      <c r="G689" s="1" t="s">
        <v>1770</v>
      </c>
      <c r="H689" s="1">
        <v>100</v>
      </c>
      <c r="I689" s="25">
        <f>0.62/100</f>
        <v>6.1999999999999998E-3</v>
      </c>
      <c r="J689" s="1">
        <f t="shared" ref="J689:J697" si="47">H689*I689</f>
        <v>0.62</v>
      </c>
      <c r="P689" s="11" t="s">
        <v>1773</v>
      </c>
    </row>
    <row r="690" spans="1:18" ht="12.75" customHeight="1">
      <c r="A690" s="10"/>
      <c r="B690" s="10"/>
      <c r="D690" s="3"/>
      <c r="E690" s="113" t="s">
        <v>2766</v>
      </c>
      <c r="F690" s="113" t="s">
        <v>2766</v>
      </c>
      <c r="G690" s="1" t="s">
        <v>1769</v>
      </c>
      <c r="H690" s="1">
        <v>100</v>
      </c>
      <c r="I690" s="25">
        <f>0.95/100</f>
        <v>9.4999999999999998E-3</v>
      </c>
      <c r="J690" s="1">
        <f t="shared" si="47"/>
        <v>0.95</v>
      </c>
    </row>
    <row r="691" spans="1:18" ht="12.75" customHeight="1">
      <c r="A691" s="10"/>
      <c r="B691" s="10"/>
      <c r="D691" s="3"/>
      <c r="E691" s="113" t="s">
        <v>2766</v>
      </c>
      <c r="F691" s="113" t="s">
        <v>2766</v>
      </c>
      <c r="G691" s="1" t="s">
        <v>1768</v>
      </c>
      <c r="H691" s="1">
        <v>100</v>
      </c>
      <c r="I691" s="25">
        <f>2.09/100</f>
        <v>2.0899999999999998E-2</v>
      </c>
      <c r="J691" s="1">
        <f t="shared" si="47"/>
        <v>2.09</v>
      </c>
    </row>
    <row r="692" spans="1:18" ht="12.75" customHeight="1">
      <c r="A692" s="10"/>
      <c r="B692" s="10"/>
      <c r="D692" s="3"/>
      <c r="E692" s="113" t="s">
        <v>2766</v>
      </c>
      <c r="F692" s="113" t="s">
        <v>2766</v>
      </c>
      <c r="G692" s="1" t="s">
        <v>1763</v>
      </c>
      <c r="H692" s="1">
        <v>100</v>
      </c>
      <c r="I692" s="25">
        <f>4.39/100</f>
        <v>4.3899999999999995E-2</v>
      </c>
      <c r="J692" s="1">
        <f t="shared" si="47"/>
        <v>4.3899999999999997</v>
      </c>
    </row>
    <row r="693" spans="1:18" ht="12.75" customHeight="1">
      <c r="A693" s="10"/>
      <c r="B693" s="10"/>
      <c r="D693" s="3"/>
      <c r="E693" s="113" t="s">
        <v>2766</v>
      </c>
      <c r="F693" s="113" t="s">
        <v>2766</v>
      </c>
      <c r="G693" s="1" t="s">
        <v>1767</v>
      </c>
      <c r="H693" s="1">
        <v>100</v>
      </c>
      <c r="I693" s="25">
        <f>2.85/100</f>
        <v>2.8500000000000001E-2</v>
      </c>
      <c r="J693" s="1">
        <f t="shared" si="47"/>
        <v>2.85</v>
      </c>
    </row>
    <row r="694" spans="1:18" ht="12.75" customHeight="1">
      <c r="A694" s="10"/>
      <c r="B694" s="10"/>
      <c r="D694" s="3"/>
      <c r="E694" s="113" t="s">
        <v>2766</v>
      </c>
      <c r="F694" s="113" t="s">
        <v>2766</v>
      </c>
      <c r="G694" s="1" t="s">
        <v>1765</v>
      </c>
      <c r="H694" s="1">
        <v>100</v>
      </c>
      <c r="I694" s="25">
        <f>3.8/100</f>
        <v>3.7999999999999999E-2</v>
      </c>
      <c r="J694" s="1">
        <f t="shared" si="47"/>
        <v>3.8</v>
      </c>
    </row>
    <row r="695" spans="1:18" ht="12.75" customHeight="1">
      <c r="A695" s="10"/>
      <c r="B695" s="10"/>
      <c r="D695" s="3"/>
      <c r="E695" s="113" t="s">
        <v>2766</v>
      </c>
      <c r="F695" s="113" t="s">
        <v>2766</v>
      </c>
      <c r="G695" s="1" t="s">
        <v>1766</v>
      </c>
      <c r="H695" s="1">
        <v>100</v>
      </c>
      <c r="I695" s="25">
        <f>4.75/100</f>
        <v>4.7500000000000001E-2</v>
      </c>
      <c r="J695" s="1">
        <f t="shared" si="47"/>
        <v>4.75</v>
      </c>
    </row>
    <row r="696" spans="1:18" ht="12.75" customHeight="1">
      <c r="A696" s="10"/>
      <c r="B696" s="10"/>
      <c r="D696" s="3"/>
      <c r="E696" s="113" t="s">
        <v>2766</v>
      </c>
      <c r="F696" s="113" t="s">
        <v>2766</v>
      </c>
      <c r="G696" s="1" t="s">
        <v>1764</v>
      </c>
      <c r="H696" s="1">
        <v>100</v>
      </c>
      <c r="I696" s="25">
        <f>5.8/100</f>
        <v>5.7999999999999996E-2</v>
      </c>
      <c r="J696" s="1">
        <f t="shared" si="47"/>
        <v>5.8</v>
      </c>
    </row>
    <row r="697" spans="1:18" ht="12.75" customHeight="1">
      <c r="A697" s="10"/>
      <c r="B697" s="10"/>
      <c r="D697" s="3"/>
      <c r="E697" s="113" t="s">
        <v>2766</v>
      </c>
      <c r="F697" s="113" t="s">
        <v>2766</v>
      </c>
      <c r="G697" s="1" t="s">
        <v>1772</v>
      </c>
      <c r="H697" s="1">
        <v>100</v>
      </c>
      <c r="I697" s="25">
        <f>9.41/100</f>
        <v>9.4100000000000003E-2</v>
      </c>
      <c r="J697" s="1">
        <f t="shared" si="47"/>
        <v>9.41</v>
      </c>
      <c r="P697" s="11" t="s">
        <v>1908</v>
      </c>
    </row>
    <row r="698" spans="1:18" s="4" customFormat="1" ht="12.75" customHeight="1">
      <c r="A698" s="12"/>
      <c r="B698" s="12"/>
      <c r="D698" s="5"/>
      <c r="E698" s="114"/>
      <c r="F698" s="5"/>
      <c r="H698" s="4">
        <f>SUM(H689:H697)</f>
        <v>900</v>
      </c>
      <c r="J698" s="4">
        <f>SUM(J689:J697)</f>
        <v>34.659999999999997</v>
      </c>
      <c r="K698" s="4">
        <v>0</v>
      </c>
      <c r="L698" s="4">
        <v>-20.25</v>
      </c>
      <c r="M698" s="4">
        <v>-9.41</v>
      </c>
      <c r="N698" s="4">
        <v>-5</v>
      </c>
      <c r="O698" s="4">
        <f>SUM(J698:N698)</f>
        <v>0</v>
      </c>
      <c r="P698" s="13" t="s">
        <v>2975</v>
      </c>
    </row>
    <row r="699" spans="1:18" ht="12.75" customHeight="1">
      <c r="A699" s="10">
        <v>43835</v>
      </c>
      <c r="C699" s="7" t="s">
        <v>1779</v>
      </c>
      <c r="D699" s="7"/>
      <c r="E699" s="113">
        <v>103.09</v>
      </c>
      <c r="F699" s="7">
        <v>1.4</v>
      </c>
      <c r="G699" s="179" t="s">
        <v>4169</v>
      </c>
      <c r="H699" s="1">
        <v>1000</v>
      </c>
      <c r="I699" s="6">
        <v>0.05</v>
      </c>
      <c r="J699" s="1">
        <f t="shared" ref="J699:J714" si="48">H699*I699</f>
        <v>50</v>
      </c>
      <c r="K699" s="9"/>
      <c r="L699" s="80"/>
      <c r="M699" s="110"/>
      <c r="N699" s="9"/>
      <c r="O699" s="9"/>
      <c r="P699" s="9"/>
      <c r="Q699" s="9"/>
      <c r="R699" s="11"/>
    </row>
    <row r="700" spans="1:18" ht="12.75" customHeight="1">
      <c r="A700" s="10"/>
      <c r="D700" s="7"/>
      <c r="E700" s="116" t="s">
        <v>4114</v>
      </c>
      <c r="F700" s="7"/>
      <c r="G700" s="1" t="s">
        <v>1789</v>
      </c>
      <c r="H700" s="1">
        <v>500</v>
      </c>
      <c r="I700" s="6">
        <v>0.05</v>
      </c>
      <c r="J700" s="1">
        <f t="shared" si="48"/>
        <v>25</v>
      </c>
      <c r="K700" s="9"/>
      <c r="L700" s="80"/>
      <c r="M700" s="110"/>
      <c r="N700" s="9"/>
      <c r="O700" s="9"/>
      <c r="P700" s="9"/>
      <c r="Q700" s="9"/>
      <c r="R700" s="11"/>
    </row>
    <row r="701" spans="1:18" ht="12.75" customHeight="1">
      <c r="A701" s="10"/>
      <c r="D701" s="7"/>
      <c r="E701" s="116" t="s">
        <v>2976</v>
      </c>
      <c r="F701" s="7">
        <f>3.5/2</f>
        <v>1.75</v>
      </c>
      <c r="G701" s="1" t="s">
        <v>1794</v>
      </c>
      <c r="H701" s="1">
        <v>500</v>
      </c>
      <c r="I701" s="6">
        <v>0.06</v>
      </c>
      <c r="J701" s="1">
        <f t="shared" si="48"/>
        <v>30</v>
      </c>
      <c r="K701" s="9"/>
      <c r="L701" s="80"/>
      <c r="M701" s="110"/>
      <c r="N701" s="9"/>
      <c r="O701" s="9"/>
      <c r="P701" s="9"/>
      <c r="Q701" s="9"/>
      <c r="R701" s="11"/>
    </row>
    <row r="702" spans="1:18" ht="12.75" customHeight="1">
      <c r="A702" s="10"/>
      <c r="D702" s="7"/>
      <c r="E702" s="116" t="s">
        <v>2977</v>
      </c>
      <c r="F702" s="7"/>
      <c r="G702" s="1" t="s">
        <v>1782</v>
      </c>
      <c r="H702" s="1">
        <v>500</v>
      </c>
      <c r="I702" s="6">
        <v>0.06</v>
      </c>
      <c r="J702" s="1">
        <f t="shared" si="48"/>
        <v>30</v>
      </c>
      <c r="K702" s="9"/>
      <c r="L702" s="80"/>
      <c r="M702" s="110"/>
      <c r="N702" s="9"/>
      <c r="O702" s="9"/>
      <c r="P702" s="9"/>
      <c r="Q702" s="9"/>
      <c r="R702" s="11"/>
    </row>
    <row r="703" spans="1:18" ht="12.75" customHeight="1">
      <c r="A703" s="10"/>
      <c r="D703" s="7"/>
      <c r="E703" s="116" t="s">
        <v>2978</v>
      </c>
      <c r="F703" s="7">
        <f>4.5/2</f>
        <v>2.25</v>
      </c>
      <c r="G703" s="1" t="s">
        <v>1781</v>
      </c>
      <c r="H703" s="1">
        <v>500</v>
      </c>
      <c r="I703" s="6">
        <v>0.06</v>
      </c>
      <c r="J703" s="1">
        <f t="shared" si="48"/>
        <v>30</v>
      </c>
      <c r="K703" s="9"/>
      <c r="L703" s="80"/>
      <c r="M703" s="110"/>
      <c r="N703" s="9"/>
      <c r="O703" s="9"/>
      <c r="P703" s="9"/>
      <c r="Q703" s="9"/>
      <c r="R703" s="11"/>
    </row>
    <row r="704" spans="1:18" ht="12.75" customHeight="1">
      <c r="A704" s="10"/>
      <c r="D704" s="7"/>
      <c r="E704" s="116" t="s">
        <v>2979</v>
      </c>
      <c r="F704" s="7">
        <v>3.1</v>
      </c>
      <c r="G704" s="1" t="s">
        <v>1788</v>
      </c>
      <c r="H704" s="1">
        <v>500</v>
      </c>
      <c r="I704" s="6">
        <v>7.0000000000000007E-2</v>
      </c>
      <c r="J704" s="1">
        <f t="shared" si="48"/>
        <v>35</v>
      </c>
      <c r="K704" s="9"/>
      <c r="L704" s="80"/>
      <c r="M704" s="110"/>
      <c r="N704" s="9"/>
      <c r="O704" s="9"/>
      <c r="P704" s="9"/>
      <c r="Q704" s="9"/>
      <c r="R704" s="11"/>
    </row>
    <row r="705" spans="1:18" ht="12.75" customHeight="1">
      <c r="A705" s="10"/>
      <c r="D705" s="7"/>
      <c r="E705" s="116" t="s">
        <v>2980</v>
      </c>
      <c r="F705" s="7">
        <v>3.9</v>
      </c>
      <c r="G705" s="1" t="s">
        <v>1791</v>
      </c>
      <c r="H705" s="1">
        <v>500</v>
      </c>
      <c r="I705" s="6">
        <v>0.1</v>
      </c>
      <c r="J705" s="1">
        <f t="shared" si="48"/>
        <v>50</v>
      </c>
      <c r="K705" s="9"/>
      <c r="L705" s="80"/>
      <c r="M705" s="110"/>
      <c r="N705" s="9"/>
      <c r="O705" s="9"/>
      <c r="P705" s="9"/>
      <c r="Q705" s="9"/>
      <c r="R705" s="11"/>
    </row>
    <row r="706" spans="1:18" ht="12.75" customHeight="1">
      <c r="A706" s="10"/>
      <c r="D706" s="7"/>
      <c r="E706" s="116" t="s">
        <v>2981</v>
      </c>
      <c r="F706" s="7">
        <v>2.5</v>
      </c>
      <c r="G706" s="1" t="s">
        <v>1795</v>
      </c>
      <c r="H706" s="1">
        <v>500</v>
      </c>
      <c r="I706" s="6">
        <v>7.0000000000000007E-2</v>
      </c>
      <c r="J706" s="1">
        <f t="shared" si="48"/>
        <v>35</v>
      </c>
      <c r="K706" s="9"/>
      <c r="L706" s="80"/>
      <c r="M706" s="110"/>
      <c r="N706" s="9"/>
      <c r="O706" s="9"/>
      <c r="P706" s="9"/>
      <c r="Q706" s="9"/>
      <c r="R706" s="11"/>
    </row>
    <row r="707" spans="1:18" ht="12.75" customHeight="1">
      <c r="A707" s="10"/>
      <c r="D707" s="7"/>
      <c r="E707" s="116" t="s">
        <v>4129</v>
      </c>
      <c r="F707" s="7">
        <v>3.4</v>
      </c>
      <c r="G707" s="1" t="s">
        <v>1793</v>
      </c>
      <c r="H707" s="1">
        <v>500</v>
      </c>
      <c r="I707" s="6">
        <v>0.08</v>
      </c>
      <c r="J707" s="1">
        <f t="shared" si="48"/>
        <v>40</v>
      </c>
      <c r="K707" s="9"/>
      <c r="L707" s="80"/>
      <c r="M707" s="110"/>
      <c r="N707" s="9"/>
      <c r="O707" s="9"/>
      <c r="P707" s="9"/>
      <c r="Q707" s="9"/>
      <c r="R707" s="11"/>
    </row>
    <row r="708" spans="1:18" ht="12.75" customHeight="1">
      <c r="A708" s="10"/>
      <c r="D708" s="7"/>
      <c r="E708" s="116" t="s">
        <v>2982</v>
      </c>
      <c r="F708" s="7">
        <v>4.7</v>
      </c>
      <c r="G708" s="1" t="s">
        <v>1790</v>
      </c>
      <c r="H708" s="1">
        <v>500</v>
      </c>
      <c r="I708" s="6">
        <v>0.12</v>
      </c>
      <c r="J708" s="1">
        <f t="shared" si="48"/>
        <v>60</v>
      </c>
      <c r="K708" s="9"/>
      <c r="L708" s="80"/>
      <c r="M708" s="110"/>
      <c r="N708" s="9"/>
      <c r="O708" s="9"/>
      <c r="P708" s="9"/>
      <c r="Q708" s="9"/>
      <c r="R708" s="11"/>
    </row>
    <row r="709" spans="1:18" ht="12.75" customHeight="1">
      <c r="A709" s="10"/>
      <c r="D709" s="7"/>
      <c r="E709" s="116" t="s">
        <v>4128</v>
      </c>
      <c r="F709" s="7">
        <v>6.3</v>
      </c>
      <c r="G709" s="1" t="s">
        <v>1784</v>
      </c>
      <c r="H709" s="1">
        <v>50</v>
      </c>
      <c r="I709" s="6">
        <v>0.15</v>
      </c>
      <c r="J709" s="1">
        <f t="shared" si="48"/>
        <v>7.5</v>
      </c>
      <c r="K709" s="9"/>
      <c r="L709" s="80"/>
      <c r="M709" s="110"/>
      <c r="N709" s="9"/>
      <c r="O709" s="9"/>
      <c r="P709" s="9"/>
      <c r="Q709" s="9"/>
      <c r="R709" s="11"/>
    </row>
    <row r="710" spans="1:18" ht="12.75" customHeight="1">
      <c r="A710" s="10"/>
      <c r="D710" s="7"/>
      <c r="E710" s="116" t="s">
        <v>2983</v>
      </c>
      <c r="F710" s="7">
        <v>6.2</v>
      </c>
      <c r="G710" s="1" t="s">
        <v>1783</v>
      </c>
      <c r="H710" s="1">
        <v>50</v>
      </c>
      <c r="I710" s="6">
        <v>0.18</v>
      </c>
      <c r="J710" s="1">
        <f t="shared" si="48"/>
        <v>9</v>
      </c>
      <c r="K710" s="9"/>
      <c r="L710" s="80"/>
      <c r="M710" s="110"/>
      <c r="N710" s="9"/>
      <c r="O710" s="9"/>
      <c r="P710" s="9"/>
      <c r="Q710" s="9"/>
      <c r="R710" s="11"/>
    </row>
    <row r="711" spans="1:18" ht="12.75" customHeight="1">
      <c r="A711" s="10"/>
      <c r="D711" s="7"/>
      <c r="E711" s="116" t="s">
        <v>4113</v>
      </c>
      <c r="F711" s="7">
        <v>6.6</v>
      </c>
      <c r="G711" s="1" t="s">
        <v>1787</v>
      </c>
      <c r="H711" s="1">
        <v>50</v>
      </c>
      <c r="I711" s="6">
        <v>0.2</v>
      </c>
      <c r="J711" s="1">
        <f t="shared" si="48"/>
        <v>10</v>
      </c>
      <c r="K711" s="9"/>
      <c r="L711" s="80"/>
      <c r="M711" s="110"/>
      <c r="N711" s="9"/>
      <c r="O711" s="9"/>
      <c r="P711" s="9"/>
      <c r="Q711" s="9"/>
      <c r="R711" s="11"/>
    </row>
    <row r="712" spans="1:18" ht="12.75" customHeight="1">
      <c r="A712" s="10"/>
      <c r="D712" s="7"/>
      <c r="E712" s="116" t="s">
        <v>2984</v>
      </c>
      <c r="F712" s="7">
        <v>8.4</v>
      </c>
      <c r="G712" s="1" t="s">
        <v>1785</v>
      </c>
      <c r="H712" s="1">
        <v>50</v>
      </c>
      <c r="I712" s="6">
        <v>0.24</v>
      </c>
      <c r="J712" s="1">
        <f t="shared" si="48"/>
        <v>12</v>
      </c>
      <c r="K712" s="9"/>
      <c r="L712" s="80"/>
      <c r="M712" s="110"/>
      <c r="N712" s="9"/>
      <c r="O712" s="9"/>
      <c r="P712" s="9"/>
      <c r="Q712" s="9"/>
      <c r="R712" s="11"/>
    </row>
    <row r="713" spans="1:18" ht="12.75" customHeight="1">
      <c r="A713" s="10"/>
      <c r="D713" s="7"/>
      <c r="E713" s="116" t="s">
        <v>2985</v>
      </c>
      <c r="F713" s="7"/>
      <c r="G713" s="1" t="s">
        <v>1780</v>
      </c>
      <c r="H713" s="1">
        <v>50</v>
      </c>
      <c r="I713" s="6">
        <v>0.26</v>
      </c>
      <c r="J713" s="1">
        <f t="shared" si="48"/>
        <v>13</v>
      </c>
      <c r="K713" s="9"/>
      <c r="L713" s="80"/>
      <c r="M713" s="110"/>
      <c r="N713" s="9"/>
      <c r="O713" s="9"/>
      <c r="P713" s="9"/>
      <c r="Q713" s="9"/>
      <c r="R713" s="11"/>
    </row>
    <row r="714" spans="1:18" ht="12.75" customHeight="1">
      <c r="A714" s="10"/>
      <c r="D714" s="7"/>
      <c r="E714" s="116" t="s">
        <v>4119</v>
      </c>
      <c r="F714" s="7">
        <v>12</v>
      </c>
      <c r="G714" s="1" t="s">
        <v>1786</v>
      </c>
      <c r="H714" s="1">
        <v>50</v>
      </c>
      <c r="I714" s="6">
        <v>0.32</v>
      </c>
      <c r="J714" s="1">
        <f t="shared" si="48"/>
        <v>16</v>
      </c>
      <c r="K714" s="9"/>
      <c r="L714" s="80"/>
      <c r="M714" s="110"/>
      <c r="N714" s="9"/>
      <c r="O714" s="9"/>
      <c r="P714" s="9"/>
      <c r="Q714" s="9"/>
      <c r="R714" s="11"/>
    </row>
    <row r="715" spans="1:18" s="4" customFormat="1" ht="12.75" customHeight="1">
      <c r="A715" s="12"/>
      <c r="B715" s="12"/>
      <c r="D715" s="5"/>
      <c r="E715" s="114"/>
      <c r="H715" s="4">
        <f>SUM(H701:H714)</f>
        <v>4300</v>
      </c>
      <c r="J715" s="4">
        <f>SUM(J699:J714)</f>
        <v>452.5</v>
      </c>
      <c r="K715" s="4">
        <v>0</v>
      </c>
      <c r="L715" s="4">
        <v>-442.5</v>
      </c>
      <c r="M715" s="54"/>
      <c r="N715" s="5">
        <v>-10</v>
      </c>
      <c r="O715" s="4">
        <f>SUM(J715:N715)</f>
        <v>0</v>
      </c>
      <c r="P715" s="13" t="s">
        <v>2986</v>
      </c>
      <c r="Q715" s="111"/>
    </row>
    <row r="716" spans="1:18" ht="12.75" customHeight="1">
      <c r="A716" s="10">
        <v>43833</v>
      </c>
      <c r="C716" s="7" t="s">
        <v>1778</v>
      </c>
      <c r="D716" s="134" t="s">
        <v>3312</v>
      </c>
      <c r="E716" s="113">
        <v>102.01</v>
      </c>
      <c r="F716" s="9">
        <v>10.8</v>
      </c>
      <c r="G716" s="1" t="s">
        <v>3341</v>
      </c>
      <c r="H716" s="1">
        <f>1*354</f>
        <v>354</v>
      </c>
      <c r="I716" s="108">
        <f t="shared" ref="I716:I722" si="49">65/H716</f>
        <v>0.18361581920903955</v>
      </c>
      <c r="J716" s="1">
        <f t="shared" ref="J716:J733" si="50">H716*I716</f>
        <v>65</v>
      </c>
      <c r="K716" s="9"/>
      <c r="L716" s="80"/>
      <c r="M716" s="110"/>
      <c r="N716" s="9"/>
      <c r="O716" s="9"/>
      <c r="P716" s="9"/>
      <c r="Q716" s="9"/>
      <c r="R716" s="11"/>
    </row>
    <row r="717" spans="1:18" ht="12.75" customHeight="1">
      <c r="A717" s="10"/>
      <c r="D717" s="155" t="s">
        <v>3667</v>
      </c>
      <c r="E717" s="113">
        <v>102.02</v>
      </c>
      <c r="F717" s="9">
        <v>12.8</v>
      </c>
      <c r="G717" s="1" t="s">
        <v>3342</v>
      </c>
      <c r="H717" s="1">
        <f>1*283</f>
        <v>283</v>
      </c>
      <c r="I717" s="108">
        <f t="shared" si="49"/>
        <v>0.22968197879858657</v>
      </c>
      <c r="J717" s="1">
        <f t="shared" si="50"/>
        <v>65</v>
      </c>
      <c r="K717" s="9"/>
      <c r="L717" s="80"/>
      <c r="M717" s="110"/>
      <c r="N717" s="9"/>
      <c r="O717" s="9"/>
      <c r="P717" s="9"/>
      <c r="Q717" s="9"/>
      <c r="R717" s="11"/>
    </row>
    <row r="718" spans="1:18" ht="12.75" customHeight="1">
      <c r="A718" s="10"/>
      <c r="D718" s="134" t="s">
        <v>3317</v>
      </c>
      <c r="E718" s="113">
        <v>102.03</v>
      </c>
      <c r="F718" s="9">
        <v>9.3000000000000007</v>
      </c>
      <c r="G718" s="1" t="s">
        <v>3343</v>
      </c>
      <c r="H718" s="1">
        <f>1*383</f>
        <v>383</v>
      </c>
      <c r="I718" s="108">
        <f t="shared" si="49"/>
        <v>0.16971279373368145</v>
      </c>
      <c r="J718" s="1">
        <f t="shared" si="50"/>
        <v>65</v>
      </c>
      <c r="K718" s="9"/>
      <c r="L718" s="80"/>
      <c r="M718" s="110"/>
      <c r="N718" s="9"/>
      <c r="O718" s="9"/>
      <c r="P718" s="9"/>
      <c r="Q718" s="9"/>
      <c r="R718" s="11"/>
    </row>
    <row r="719" spans="1:18" ht="12.75" customHeight="1">
      <c r="A719" s="10"/>
      <c r="D719" s="134" t="s">
        <v>3315</v>
      </c>
      <c r="E719" s="113">
        <v>102.04</v>
      </c>
      <c r="F719" s="9">
        <v>5.9</v>
      </c>
      <c r="G719" s="1" t="s">
        <v>4167</v>
      </c>
      <c r="H719" s="1">
        <f>1*650</f>
        <v>650</v>
      </c>
      <c r="I719" s="108">
        <f t="shared" si="49"/>
        <v>0.1</v>
      </c>
      <c r="J719" s="1">
        <f t="shared" si="50"/>
        <v>65</v>
      </c>
      <c r="K719" s="9"/>
      <c r="L719" s="80"/>
      <c r="M719" s="110"/>
      <c r="N719" s="9"/>
      <c r="O719" s="9"/>
      <c r="P719" s="9"/>
      <c r="Q719" s="9"/>
      <c r="R719" s="11"/>
    </row>
    <row r="720" spans="1:18" ht="12.75" customHeight="1">
      <c r="A720" s="10"/>
      <c r="D720" s="134" t="s">
        <v>3314</v>
      </c>
      <c r="E720" s="113">
        <v>102.05</v>
      </c>
      <c r="F720" s="9">
        <v>15.1</v>
      </c>
      <c r="G720" s="1" t="s">
        <v>3344</v>
      </c>
      <c r="H720" s="1">
        <f>1*250</f>
        <v>250</v>
      </c>
      <c r="I720" s="108">
        <f t="shared" si="49"/>
        <v>0.26</v>
      </c>
      <c r="J720" s="1">
        <f t="shared" si="50"/>
        <v>65</v>
      </c>
      <c r="K720" s="9"/>
      <c r="L720" s="80"/>
      <c r="M720" s="110"/>
      <c r="N720" s="9"/>
      <c r="O720" s="9"/>
      <c r="P720" s="9"/>
      <c r="Q720" s="9"/>
      <c r="R720" s="11"/>
    </row>
    <row r="721" spans="1:20" ht="12.75" customHeight="1">
      <c r="A721" s="10"/>
      <c r="D721" s="134" t="s">
        <v>3316</v>
      </c>
      <c r="E721" s="113">
        <v>102.06</v>
      </c>
      <c r="F721" s="9">
        <v>4.0999999999999996</v>
      </c>
      <c r="G721" s="178" t="s">
        <v>4168</v>
      </c>
      <c r="H721" s="1">
        <f>1*880</f>
        <v>880</v>
      </c>
      <c r="I721" s="108">
        <f t="shared" si="49"/>
        <v>7.3863636363636367E-2</v>
      </c>
      <c r="J721" s="1">
        <f t="shared" si="50"/>
        <v>65</v>
      </c>
      <c r="K721" s="9"/>
      <c r="L721" s="80"/>
      <c r="M721" s="110"/>
      <c r="N721" s="9"/>
      <c r="O721" s="9"/>
      <c r="P721" s="9"/>
      <c r="Q721" s="9"/>
      <c r="R721" s="11"/>
    </row>
    <row r="722" spans="1:20" ht="12.75" customHeight="1">
      <c r="A722" s="10"/>
      <c r="D722" s="134" t="s">
        <v>3313</v>
      </c>
      <c r="E722" s="113">
        <v>102.07</v>
      </c>
      <c r="F722" s="9">
        <v>25.8</v>
      </c>
      <c r="G722" s="1" t="s">
        <v>3345</v>
      </c>
      <c r="H722" s="1">
        <f>1*145</f>
        <v>145</v>
      </c>
      <c r="I722" s="108">
        <f t="shared" si="49"/>
        <v>0.44827586206896552</v>
      </c>
      <c r="J722" s="1">
        <f t="shared" si="50"/>
        <v>65</v>
      </c>
      <c r="P722" s="9" t="s">
        <v>1761</v>
      </c>
      <c r="Q722" s="9" t="s">
        <v>1761</v>
      </c>
      <c r="R722" s="9" t="s">
        <v>2987</v>
      </c>
      <c r="S722" s="110">
        <v>6</v>
      </c>
      <c r="T722" s="9"/>
    </row>
    <row r="723" spans="1:20" ht="12.75" customHeight="1">
      <c r="A723" s="10"/>
      <c r="D723" s="3"/>
      <c r="E723" s="113">
        <v>101.01</v>
      </c>
      <c r="F723" s="9">
        <v>2.2999999999999998</v>
      </c>
      <c r="G723" s="1" t="s">
        <v>3346</v>
      </c>
      <c r="H723" s="1">
        <f>1*950</f>
        <v>950</v>
      </c>
      <c r="I723" s="108">
        <v>5.2631578947368418E-2</v>
      </c>
      <c r="J723" s="1">
        <f t="shared" si="50"/>
        <v>50</v>
      </c>
      <c r="P723" s="7"/>
      <c r="T723" s="9">
        <v>1</v>
      </c>
    </row>
    <row r="724" spans="1:20" ht="12.75" customHeight="1">
      <c r="A724" s="10"/>
      <c r="D724" s="3"/>
      <c r="E724" s="113">
        <v>101.02</v>
      </c>
      <c r="F724" s="9">
        <v>2.6</v>
      </c>
      <c r="G724" s="1" t="s">
        <v>3347</v>
      </c>
      <c r="H724" s="1">
        <f>1*800</f>
        <v>800</v>
      </c>
      <c r="I724" s="108">
        <v>6.25E-2</v>
      </c>
      <c r="J724" s="1">
        <f t="shared" si="50"/>
        <v>50</v>
      </c>
      <c r="P724" s="10"/>
      <c r="Q724" s="10"/>
      <c r="S724" s="110"/>
      <c r="T724" s="9">
        <v>1</v>
      </c>
    </row>
    <row r="725" spans="1:20" ht="12.75" customHeight="1">
      <c r="A725" s="10"/>
      <c r="D725" s="3"/>
      <c r="E725" s="128">
        <v>101.03</v>
      </c>
      <c r="F725" s="9">
        <f>15.4/5</f>
        <v>3.08</v>
      </c>
      <c r="G725" s="1" t="s">
        <v>3348</v>
      </c>
      <c r="H725" s="1">
        <f>2*700</f>
        <v>1400</v>
      </c>
      <c r="I725" s="108">
        <v>7.1428571428571425E-2</v>
      </c>
      <c r="J725" s="1">
        <f t="shared" si="50"/>
        <v>100</v>
      </c>
      <c r="P725" s="9">
        <v>6</v>
      </c>
      <c r="Q725" s="9">
        <f>P725*25</f>
        <v>150</v>
      </c>
      <c r="R725" s="80">
        <f>Q725/H725*T725</f>
        <v>0.21428571428571427</v>
      </c>
      <c r="S725" s="110">
        <f t="shared" ref="S725:S733" si="51">R725*S$722</f>
        <v>1.2857142857142856</v>
      </c>
      <c r="T725" s="9">
        <v>2</v>
      </c>
    </row>
    <row r="726" spans="1:20" ht="12.75" customHeight="1">
      <c r="A726" s="10"/>
      <c r="D726" s="3"/>
      <c r="E726" s="113">
        <v>101.04</v>
      </c>
      <c r="F726" s="9">
        <v>4.9000000000000004</v>
      </c>
      <c r="G726" s="1" t="s">
        <v>3349</v>
      </c>
      <c r="H726" s="1">
        <f>2*450</f>
        <v>900</v>
      </c>
      <c r="I726" s="108">
        <v>0.1111111111111111</v>
      </c>
      <c r="J726" s="1">
        <f t="shared" si="50"/>
        <v>100</v>
      </c>
      <c r="P726" s="9">
        <v>4</v>
      </c>
      <c r="Q726" s="9">
        <f>P726*25</f>
        <v>100</v>
      </c>
      <c r="R726" s="80">
        <f>Q726/H726*T726</f>
        <v>0.22222222222222221</v>
      </c>
      <c r="S726" s="110">
        <f t="shared" si="51"/>
        <v>1.3333333333333333</v>
      </c>
      <c r="T726" s="9">
        <v>2</v>
      </c>
    </row>
    <row r="727" spans="1:20" ht="12.75" customHeight="1">
      <c r="A727" s="10"/>
      <c r="D727" s="3"/>
      <c r="E727" s="113">
        <v>101.05</v>
      </c>
      <c r="F727" s="9">
        <v>3.8</v>
      </c>
      <c r="G727" s="1" t="s">
        <v>3350</v>
      </c>
      <c r="H727" s="1">
        <f>3*550</f>
        <v>1650</v>
      </c>
      <c r="I727" s="108">
        <v>9.0909090909090912E-2</v>
      </c>
      <c r="J727" s="1">
        <f t="shared" si="50"/>
        <v>150</v>
      </c>
      <c r="P727" s="9">
        <v>9</v>
      </c>
      <c r="Q727" s="9">
        <f>P727*25</f>
        <v>225</v>
      </c>
      <c r="R727" s="80">
        <f>Q727/H727*T727</f>
        <v>0.40909090909090906</v>
      </c>
      <c r="S727" s="110">
        <f t="shared" si="51"/>
        <v>2.4545454545454541</v>
      </c>
      <c r="T727" s="9">
        <v>3</v>
      </c>
    </row>
    <row r="728" spans="1:20" ht="12.75" customHeight="1">
      <c r="A728" s="10"/>
      <c r="D728" s="3"/>
      <c r="E728" s="113">
        <v>101.06</v>
      </c>
      <c r="F728" s="9">
        <v>4.7</v>
      </c>
      <c r="G728" s="121" t="s">
        <v>3351</v>
      </c>
      <c r="H728" s="1">
        <f>12*450</f>
        <v>5400</v>
      </c>
      <c r="I728" s="108">
        <v>0.1111111111111111</v>
      </c>
      <c r="J728" s="1">
        <f t="shared" si="50"/>
        <v>600</v>
      </c>
      <c r="P728" s="9">
        <v>35</v>
      </c>
      <c r="Q728" s="9">
        <f>P728*25</f>
        <v>875</v>
      </c>
      <c r="R728" s="80">
        <f>Q728/H728*T728</f>
        <v>1.9444444444444444</v>
      </c>
      <c r="S728" s="110">
        <f t="shared" si="51"/>
        <v>11.666666666666666</v>
      </c>
      <c r="T728" s="9">
        <v>12</v>
      </c>
    </row>
    <row r="729" spans="1:20" ht="12.75" customHeight="1">
      <c r="A729" s="10"/>
      <c r="D729" s="3"/>
      <c r="E729" s="113">
        <v>101.07</v>
      </c>
      <c r="F729" s="65">
        <v>4.5</v>
      </c>
      <c r="G729" s="1" t="s">
        <v>3352</v>
      </c>
      <c r="H729" s="1">
        <f>1*470</f>
        <v>470</v>
      </c>
      <c r="I729" s="108">
        <v>0.10638297872340426</v>
      </c>
      <c r="J729" s="1">
        <f t="shared" si="50"/>
        <v>50</v>
      </c>
      <c r="P729" s="9"/>
      <c r="Q729" s="9"/>
      <c r="R729" s="80"/>
      <c r="S729" s="110">
        <f t="shared" si="51"/>
        <v>0</v>
      </c>
      <c r="T729" s="9">
        <v>1</v>
      </c>
    </row>
    <row r="730" spans="1:20" ht="12.75" customHeight="1">
      <c r="A730" s="10"/>
      <c r="D730" s="3"/>
      <c r="E730" s="128">
        <v>101.08</v>
      </c>
      <c r="F730" s="9">
        <v>7</v>
      </c>
      <c r="G730" s="121" t="s">
        <v>3353</v>
      </c>
      <c r="H730" s="1">
        <f>38*300</f>
        <v>11400</v>
      </c>
      <c r="I730" s="108">
        <v>0.16666666666666666</v>
      </c>
      <c r="J730" s="1">
        <f t="shared" si="50"/>
        <v>1900</v>
      </c>
      <c r="P730" s="9">
        <v>75</v>
      </c>
      <c r="Q730" s="9">
        <f>P730*25</f>
        <v>1875</v>
      </c>
      <c r="R730" s="80">
        <f>Q730/H730*T730</f>
        <v>6.25</v>
      </c>
      <c r="S730" s="110">
        <f t="shared" si="51"/>
        <v>37.5</v>
      </c>
      <c r="T730" s="9">
        <v>38</v>
      </c>
    </row>
    <row r="731" spans="1:20" ht="12.75" customHeight="1">
      <c r="A731" s="10"/>
      <c r="D731" s="3"/>
      <c r="E731" s="113">
        <v>101.09</v>
      </c>
      <c r="F731" s="9">
        <v>8.8000000000000007</v>
      </c>
      <c r="G731" s="1" t="s">
        <v>3354</v>
      </c>
      <c r="H731" s="1">
        <f>7*250</f>
        <v>1750</v>
      </c>
      <c r="I731" s="108">
        <v>0.2</v>
      </c>
      <c r="J731" s="1">
        <f t="shared" si="50"/>
        <v>350</v>
      </c>
      <c r="P731" s="9">
        <v>12</v>
      </c>
      <c r="Q731" s="9">
        <f>P731*25</f>
        <v>300</v>
      </c>
      <c r="R731" s="80">
        <f>Q731/H731*T731</f>
        <v>1.2</v>
      </c>
      <c r="S731" s="110">
        <f t="shared" si="51"/>
        <v>7.1999999999999993</v>
      </c>
      <c r="T731" s="9">
        <v>7</v>
      </c>
    </row>
    <row r="732" spans="1:20" ht="12.75" customHeight="1">
      <c r="A732" s="10"/>
      <c r="D732" s="3"/>
      <c r="E732" s="116" t="s">
        <v>2988</v>
      </c>
      <c r="F732" s="9">
        <v>10.199999999999999</v>
      </c>
      <c r="G732" s="1" t="s">
        <v>3355</v>
      </c>
      <c r="H732" s="1">
        <f>9*190</f>
        <v>1710</v>
      </c>
      <c r="I732" s="108">
        <v>0.26315789473684209</v>
      </c>
      <c r="J732" s="1">
        <f t="shared" si="50"/>
        <v>450</v>
      </c>
      <c r="P732" s="9">
        <v>10</v>
      </c>
      <c r="Q732" s="9">
        <f>P732*25</f>
        <v>250</v>
      </c>
      <c r="R732" s="80">
        <f>Q732/H732*T732</f>
        <v>1.3157894736842104</v>
      </c>
      <c r="S732" s="110">
        <f t="shared" si="51"/>
        <v>7.8947368421052619</v>
      </c>
      <c r="T732" s="9">
        <v>9</v>
      </c>
    </row>
    <row r="733" spans="1:20" ht="12.75" customHeight="1">
      <c r="A733" s="10"/>
      <c r="D733" s="3"/>
      <c r="E733" s="128">
        <v>101.11</v>
      </c>
      <c r="F733" s="9">
        <v>13.5</v>
      </c>
      <c r="G733" s="121" t="s">
        <v>3356</v>
      </c>
      <c r="H733" s="1">
        <f>24*160</f>
        <v>3840</v>
      </c>
      <c r="I733" s="108">
        <v>0.3125</v>
      </c>
      <c r="J733" s="1">
        <f t="shared" si="50"/>
        <v>1200</v>
      </c>
      <c r="L733" s="7">
        <f>33500*0.015</f>
        <v>502.5</v>
      </c>
      <c r="P733" s="9">
        <v>25</v>
      </c>
      <c r="Q733" s="9">
        <f>P733*25</f>
        <v>625</v>
      </c>
      <c r="R733" s="80">
        <f>Q733/H733*T733</f>
        <v>3.90625</v>
      </c>
      <c r="S733" s="110">
        <f t="shared" si="51"/>
        <v>23.4375</v>
      </c>
      <c r="T733" s="9">
        <v>24</v>
      </c>
    </row>
    <row r="734" spans="1:20" s="4" customFormat="1" ht="12.75" customHeight="1">
      <c r="A734" s="12"/>
      <c r="B734" s="12"/>
      <c r="D734" s="5"/>
      <c r="E734" s="114"/>
      <c r="H734" s="4">
        <f>SUM(H716:H733)</f>
        <v>33215</v>
      </c>
      <c r="J734" s="4">
        <f>SUM(J716:J733)</f>
        <v>5455</v>
      </c>
      <c r="K734" s="4">
        <v>0</v>
      </c>
      <c r="L734" s="4">
        <v>-5455</v>
      </c>
      <c r="M734" s="54"/>
      <c r="N734" s="5"/>
      <c r="O734" s="4">
        <f>SUM(J734:N734)</f>
        <v>0</v>
      </c>
      <c r="P734" s="13" t="s">
        <v>2989</v>
      </c>
      <c r="Q734" s="111"/>
    </row>
    <row r="735" spans="1:20" ht="12.75" customHeight="1">
      <c r="A735" s="10">
        <v>43834</v>
      </c>
      <c r="B735" s="10">
        <v>43837</v>
      </c>
      <c r="C735" s="7" t="s">
        <v>1403</v>
      </c>
      <c r="E735" s="128">
        <v>201.01</v>
      </c>
      <c r="F735" s="9">
        <v>118</v>
      </c>
      <c r="G735" s="7" t="s">
        <v>1568</v>
      </c>
      <c r="H735" s="7">
        <f>60*3</f>
        <v>180</v>
      </c>
      <c r="I735" s="56">
        <v>1.42</v>
      </c>
      <c r="J735" s="7">
        <v>255</v>
      </c>
    </row>
    <row r="736" spans="1:20" s="4" customFormat="1" ht="12.75" customHeight="1">
      <c r="A736" s="12"/>
      <c r="B736" s="12"/>
      <c r="D736" s="5"/>
      <c r="E736" s="114"/>
      <c r="F736" s="5"/>
      <c r="J736" s="4">
        <f>SUM(J735:J735)</f>
        <v>255</v>
      </c>
      <c r="K736" s="4">
        <v>0</v>
      </c>
      <c r="M736" s="4">
        <v>-230</v>
      </c>
      <c r="N736" s="4">
        <f>-20-5</f>
        <v>-25</v>
      </c>
      <c r="O736" s="4">
        <f>SUM(J736:N736)</f>
        <v>0</v>
      </c>
      <c r="P736" s="13" t="s">
        <v>1796</v>
      </c>
    </row>
    <row r="737" spans="1:18" ht="12.75" customHeight="1">
      <c r="A737" s="10">
        <v>43834</v>
      </c>
      <c r="B737" s="10">
        <v>43837</v>
      </c>
      <c r="C737" s="7" t="s">
        <v>1808</v>
      </c>
      <c r="D737" s="65" t="s">
        <v>3185</v>
      </c>
      <c r="E737" s="115">
        <v>104.01</v>
      </c>
      <c r="F737" s="9">
        <v>2.5</v>
      </c>
      <c r="G737" s="1" t="s">
        <v>2990</v>
      </c>
      <c r="H737" s="1">
        <v>100</v>
      </c>
      <c r="I737" s="6">
        <v>0.08</v>
      </c>
      <c r="J737" s="1">
        <f t="shared" ref="J737:J746" si="52">H737*I737</f>
        <v>8</v>
      </c>
      <c r="K737" s="9"/>
      <c r="L737" s="80"/>
      <c r="M737" s="110"/>
      <c r="N737" s="9"/>
      <c r="O737" s="9"/>
      <c r="P737" s="9"/>
      <c r="Q737" s="9"/>
      <c r="R737" s="11"/>
    </row>
    <row r="738" spans="1:18" ht="12.75" customHeight="1">
      <c r="A738" s="10"/>
      <c r="D738" s="65" t="s">
        <v>3185</v>
      </c>
      <c r="E738" s="115">
        <v>104.02</v>
      </c>
      <c r="F738" s="9">
        <v>3.1</v>
      </c>
      <c r="G738" s="1" t="s">
        <v>2991</v>
      </c>
      <c r="H738" s="1">
        <v>100</v>
      </c>
      <c r="I738" s="6">
        <v>0.13</v>
      </c>
      <c r="J738" s="1">
        <f t="shared" si="52"/>
        <v>13</v>
      </c>
      <c r="K738" s="9"/>
      <c r="L738" s="80"/>
      <c r="M738" s="110"/>
      <c r="N738" s="9"/>
      <c r="O738" s="9"/>
      <c r="P738" s="9"/>
      <c r="Q738" s="9"/>
      <c r="R738" s="11"/>
    </row>
    <row r="739" spans="1:18" ht="12.75" customHeight="1">
      <c r="D739" s="65" t="s">
        <v>3185</v>
      </c>
      <c r="E739" s="115">
        <v>104.03</v>
      </c>
      <c r="F739" s="9">
        <v>5.8</v>
      </c>
      <c r="G739" s="1" t="s">
        <v>2992</v>
      </c>
      <c r="H739" s="1">
        <v>100</v>
      </c>
      <c r="I739" s="6">
        <v>0.12</v>
      </c>
      <c r="J739" s="1">
        <f t="shared" si="52"/>
        <v>12</v>
      </c>
      <c r="K739" s="9"/>
      <c r="L739" s="80"/>
      <c r="M739" s="110"/>
      <c r="N739" s="9"/>
      <c r="O739" s="9"/>
      <c r="P739" s="9"/>
      <c r="Q739" s="9"/>
      <c r="R739" s="11"/>
    </row>
    <row r="740" spans="1:18" ht="12.75" customHeight="1">
      <c r="A740" s="10"/>
      <c r="D740" s="65" t="s">
        <v>3185</v>
      </c>
      <c r="E740" s="115">
        <v>104.04</v>
      </c>
      <c r="F740" s="9">
        <v>7.5</v>
      </c>
      <c r="G740" s="1" t="s">
        <v>2993</v>
      </c>
      <c r="H740" s="1">
        <v>100</v>
      </c>
      <c r="I740" s="6">
        <v>0.14000000000000001</v>
      </c>
      <c r="J740" s="1">
        <f t="shared" si="52"/>
        <v>14.000000000000002</v>
      </c>
      <c r="K740" s="9"/>
      <c r="L740" s="80"/>
      <c r="M740" s="110"/>
      <c r="N740" s="9"/>
      <c r="O740" s="9"/>
      <c r="P740" s="9"/>
      <c r="Q740" s="9"/>
      <c r="R740" s="11"/>
    </row>
    <row r="741" spans="1:18" ht="12.75" customHeight="1">
      <c r="A741" s="10"/>
      <c r="D741" s="65" t="s">
        <v>3185</v>
      </c>
      <c r="E741" s="115">
        <v>104.05</v>
      </c>
      <c r="F741" s="9">
        <f>49.7-41</f>
        <v>8.7000000000000028</v>
      </c>
      <c r="G741" s="1" t="s">
        <v>2994</v>
      </c>
      <c r="H741" s="1">
        <v>100</v>
      </c>
      <c r="I741" s="6">
        <v>0.19</v>
      </c>
      <c r="J741" s="1">
        <f t="shared" si="52"/>
        <v>19</v>
      </c>
      <c r="K741" s="9"/>
      <c r="L741" s="80"/>
      <c r="M741" s="110"/>
      <c r="N741" s="9"/>
      <c r="O741" s="9"/>
      <c r="P741" s="9"/>
      <c r="Q741" s="9"/>
      <c r="R741" s="11"/>
    </row>
    <row r="742" spans="1:18" ht="12.75" customHeight="1">
      <c r="A742" s="10"/>
      <c r="D742" s="65" t="s">
        <v>3185</v>
      </c>
      <c r="E742" s="115">
        <v>104.06</v>
      </c>
      <c r="F742" s="9">
        <v>9.6</v>
      </c>
      <c r="G742" s="1" t="s">
        <v>2995</v>
      </c>
      <c r="H742" s="1">
        <v>100</v>
      </c>
      <c r="I742" s="6">
        <v>0.22</v>
      </c>
      <c r="J742" s="1">
        <f t="shared" si="52"/>
        <v>22</v>
      </c>
      <c r="K742" s="9"/>
      <c r="L742" s="80"/>
      <c r="M742" s="110"/>
      <c r="N742" s="9"/>
      <c r="O742" s="9"/>
      <c r="P742" s="9"/>
      <c r="Q742" s="9"/>
      <c r="R742" s="11"/>
    </row>
    <row r="743" spans="1:18" ht="12.75" customHeight="1">
      <c r="A743" s="10"/>
      <c r="D743" s="65" t="s">
        <v>3185</v>
      </c>
      <c r="E743" s="115">
        <v>104.07</v>
      </c>
      <c r="F743" s="9">
        <v>11.3</v>
      </c>
      <c r="G743" s="1" t="s">
        <v>2996</v>
      </c>
      <c r="H743" s="1">
        <v>100</v>
      </c>
      <c r="I743" s="6">
        <v>0.33</v>
      </c>
      <c r="J743" s="1">
        <f t="shared" si="52"/>
        <v>33</v>
      </c>
      <c r="K743" s="9"/>
      <c r="L743" s="80"/>
      <c r="M743" s="110"/>
      <c r="N743" s="9"/>
      <c r="O743" s="9"/>
      <c r="P743" s="9"/>
      <c r="Q743" s="9"/>
      <c r="R743" s="11"/>
    </row>
    <row r="744" spans="1:18" ht="12.75" customHeight="1">
      <c r="A744" s="10"/>
      <c r="D744" s="65" t="s">
        <v>3185</v>
      </c>
      <c r="E744" s="115">
        <v>104.08</v>
      </c>
      <c r="F744" s="9">
        <v>20.7</v>
      </c>
      <c r="G744" s="1" t="s">
        <v>2997</v>
      </c>
      <c r="H744" s="1">
        <v>100</v>
      </c>
      <c r="I744" s="6">
        <v>0.47</v>
      </c>
      <c r="J744" s="1">
        <f t="shared" si="52"/>
        <v>47</v>
      </c>
      <c r="K744" s="9"/>
      <c r="L744" s="80"/>
      <c r="M744" s="110"/>
      <c r="N744" s="9"/>
      <c r="O744" s="9"/>
      <c r="P744" s="9"/>
      <c r="Q744" s="9"/>
      <c r="R744" s="11"/>
    </row>
    <row r="745" spans="1:18" ht="12.75" customHeight="1">
      <c r="A745" s="10"/>
      <c r="D745" s="65" t="s">
        <v>3185</v>
      </c>
      <c r="E745" s="115">
        <v>104.09</v>
      </c>
      <c r="F745" s="9">
        <v>37</v>
      </c>
      <c r="G745" s="1" t="s">
        <v>2998</v>
      </c>
      <c r="H745" s="1">
        <v>50</v>
      </c>
      <c r="I745" s="6">
        <v>0.75</v>
      </c>
      <c r="J745" s="1">
        <f t="shared" si="52"/>
        <v>37.5</v>
      </c>
      <c r="K745" s="9"/>
      <c r="L745" s="80"/>
      <c r="M745" s="110"/>
      <c r="N745" s="9"/>
      <c r="O745" s="9"/>
      <c r="P745" s="9"/>
      <c r="Q745" s="9"/>
      <c r="R745" s="11"/>
    </row>
    <row r="746" spans="1:18" ht="12.75" customHeight="1">
      <c r="A746" s="10"/>
      <c r="D746" s="65" t="s">
        <v>3185</v>
      </c>
      <c r="E746" s="117" t="s">
        <v>2999</v>
      </c>
      <c r="F746" s="9">
        <v>46.6</v>
      </c>
      <c r="G746" s="1" t="s">
        <v>3000</v>
      </c>
      <c r="H746" s="1">
        <v>50</v>
      </c>
      <c r="I746" s="6">
        <v>0.96</v>
      </c>
      <c r="J746" s="1">
        <f t="shared" si="52"/>
        <v>48</v>
      </c>
      <c r="K746" s="9"/>
      <c r="L746" s="80"/>
      <c r="M746" s="110"/>
      <c r="N746" s="9"/>
      <c r="O746" s="9"/>
      <c r="P746" s="9"/>
      <c r="Q746" s="9"/>
      <c r="R746" s="11"/>
    </row>
    <row r="747" spans="1:18" s="4" customFormat="1" ht="12.75" customHeight="1">
      <c r="A747" s="12"/>
      <c r="B747" s="12"/>
      <c r="D747" s="5"/>
      <c r="E747" s="114"/>
      <c r="F747" s="5"/>
      <c r="H747" s="4">
        <f>SUM(H737:H746)</f>
        <v>900</v>
      </c>
      <c r="J747" s="4">
        <f>SUM(J737:J746)</f>
        <v>253.5</v>
      </c>
      <c r="K747" s="4">
        <v>40.5</v>
      </c>
      <c r="L747" s="4">
        <v>-294</v>
      </c>
      <c r="M747" s="54"/>
      <c r="N747" s="5"/>
      <c r="O747" s="4">
        <f>SUM(J747:N747)</f>
        <v>0</v>
      </c>
      <c r="P747" s="13" t="s">
        <v>3001</v>
      </c>
      <c r="Q747" s="111"/>
    </row>
    <row r="748" spans="1:18" ht="12.75" customHeight="1">
      <c r="A748" s="10">
        <v>43834</v>
      </c>
      <c r="B748" s="10">
        <v>43837</v>
      </c>
      <c r="C748" s="7" t="s">
        <v>1810</v>
      </c>
      <c r="D748" s="3"/>
      <c r="E748" s="115">
        <v>268.01</v>
      </c>
      <c r="F748" s="9">
        <f>87.6/20</f>
        <v>4.38</v>
      </c>
      <c r="G748" s="1" t="s">
        <v>1825</v>
      </c>
      <c r="H748" s="1">
        <v>20</v>
      </c>
      <c r="I748" s="6">
        <v>0.44</v>
      </c>
      <c r="J748" s="1">
        <f t="shared" ref="J748:J783" si="53">H748*I748</f>
        <v>8.8000000000000007</v>
      </c>
      <c r="K748" s="9"/>
      <c r="L748" s="80"/>
      <c r="M748" s="110"/>
      <c r="N748" s="9"/>
      <c r="O748" s="9"/>
      <c r="P748" s="9"/>
      <c r="Q748" s="9"/>
      <c r="R748" s="11"/>
    </row>
    <row r="749" spans="1:18" ht="12.75" customHeight="1">
      <c r="A749" s="10"/>
      <c r="D749" s="3"/>
      <c r="E749" s="115">
        <v>268.02</v>
      </c>
      <c r="F749" s="110">
        <f>92.7/20</f>
        <v>4.6349999999999998</v>
      </c>
      <c r="G749" s="1" t="s">
        <v>1828</v>
      </c>
      <c r="H749" s="1">
        <v>20</v>
      </c>
      <c r="I749" s="6">
        <v>0.44</v>
      </c>
      <c r="J749" s="1">
        <f t="shared" si="53"/>
        <v>8.8000000000000007</v>
      </c>
      <c r="K749" s="9"/>
      <c r="L749" s="80"/>
      <c r="M749" s="110"/>
      <c r="N749" s="9"/>
      <c r="O749" s="9"/>
      <c r="P749" s="9"/>
      <c r="Q749" s="9"/>
      <c r="R749" s="11"/>
    </row>
    <row r="750" spans="1:18" ht="12.75" customHeight="1">
      <c r="A750" s="10"/>
      <c r="D750" s="3"/>
      <c r="E750" s="115">
        <v>268.02999999999997</v>
      </c>
      <c r="F750" s="9">
        <f>94.6/20</f>
        <v>4.7299999999999995</v>
      </c>
      <c r="G750" s="1" t="s">
        <v>1826</v>
      </c>
      <c r="H750" s="1">
        <v>20</v>
      </c>
      <c r="I750" s="6">
        <v>0.44</v>
      </c>
      <c r="J750" s="1">
        <f t="shared" si="53"/>
        <v>8.8000000000000007</v>
      </c>
      <c r="K750" s="9"/>
      <c r="L750" s="80"/>
      <c r="M750" s="110"/>
      <c r="N750" s="9"/>
      <c r="O750" s="9"/>
      <c r="P750" s="9"/>
      <c r="Q750" s="9"/>
      <c r="R750" s="11"/>
    </row>
    <row r="751" spans="1:18" ht="12.75" customHeight="1">
      <c r="A751" s="10"/>
      <c r="D751" s="3"/>
      <c r="E751" s="115">
        <v>268.04000000000002</v>
      </c>
      <c r="F751" s="110">
        <f>99.3/20</f>
        <v>4.9649999999999999</v>
      </c>
      <c r="G751" s="1" t="s">
        <v>1827</v>
      </c>
      <c r="H751" s="1">
        <v>20</v>
      </c>
      <c r="I751" s="6">
        <v>0.44</v>
      </c>
      <c r="J751" s="1">
        <f t="shared" si="53"/>
        <v>8.8000000000000007</v>
      </c>
      <c r="K751" s="9"/>
      <c r="L751" s="80"/>
      <c r="M751" s="110"/>
      <c r="N751" s="9"/>
      <c r="O751" s="9"/>
      <c r="P751" s="9"/>
      <c r="Q751" s="9"/>
      <c r="R751" s="11"/>
    </row>
    <row r="752" spans="1:18" ht="12.75" customHeight="1">
      <c r="D752" s="3"/>
      <c r="E752" s="115">
        <v>268.05</v>
      </c>
      <c r="F752" s="9">
        <v>8.6</v>
      </c>
      <c r="G752" s="1" t="s">
        <v>1811</v>
      </c>
      <c r="H752" s="1">
        <v>3</v>
      </c>
      <c r="I752" s="6">
        <v>0.6</v>
      </c>
      <c r="J752" s="1">
        <f t="shared" si="53"/>
        <v>1.7999999999999998</v>
      </c>
      <c r="K752" s="9"/>
      <c r="L752" s="80"/>
      <c r="M752" s="110"/>
      <c r="N752" s="9"/>
      <c r="O752" s="9"/>
      <c r="P752" s="9"/>
      <c r="Q752" s="9"/>
      <c r="R752" s="11"/>
    </row>
    <row r="753" spans="1:18" ht="12.75" customHeight="1">
      <c r="A753" s="10"/>
      <c r="D753" s="3"/>
      <c r="E753" s="115">
        <v>268.06</v>
      </c>
      <c r="F753" s="9">
        <v>8.6</v>
      </c>
      <c r="G753" s="1" t="s">
        <v>1812</v>
      </c>
      <c r="H753" s="1">
        <v>3</v>
      </c>
      <c r="I753" s="6">
        <v>0.6</v>
      </c>
      <c r="J753" s="1">
        <f t="shared" si="53"/>
        <v>1.7999999999999998</v>
      </c>
      <c r="K753" s="9"/>
      <c r="L753" s="80"/>
      <c r="M753" s="110"/>
      <c r="N753" s="9"/>
      <c r="O753" s="9"/>
      <c r="P753" s="9"/>
      <c r="Q753" s="9"/>
      <c r="R753" s="11"/>
    </row>
    <row r="754" spans="1:18" ht="12.75" customHeight="1">
      <c r="D754" s="3"/>
      <c r="E754" s="115">
        <v>268.07</v>
      </c>
      <c r="F754" s="9">
        <v>8.6</v>
      </c>
      <c r="G754" s="1" t="s">
        <v>1813</v>
      </c>
      <c r="H754" s="1">
        <v>3</v>
      </c>
      <c r="I754" s="6">
        <v>0.6</v>
      </c>
      <c r="J754" s="1">
        <f t="shared" si="53"/>
        <v>1.7999999999999998</v>
      </c>
      <c r="K754" s="9"/>
      <c r="L754" s="80"/>
      <c r="M754" s="110"/>
      <c r="N754" s="9"/>
      <c r="O754" s="9"/>
      <c r="P754" s="9"/>
      <c r="Q754" s="9"/>
      <c r="R754" s="11"/>
    </row>
    <row r="755" spans="1:18" ht="12.75" customHeight="1">
      <c r="A755" s="10"/>
      <c r="D755" s="3"/>
      <c r="E755" s="115">
        <v>268.08</v>
      </c>
      <c r="F755" s="9">
        <v>8.6</v>
      </c>
      <c r="G755" s="1" t="s">
        <v>1814</v>
      </c>
      <c r="H755" s="1">
        <v>3</v>
      </c>
      <c r="I755" s="6">
        <v>0.6</v>
      </c>
      <c r="J755" s="1">
        <f t="shared" si="53"/>
        <v>1.7999999999999998</v>
      </c>
      <c r="K755" s="9"/>
      <c r="L755" s="80"/>
      <c r="M755" s="110"/>
      <c r="N755" s="9"/>
      <c r="O755" s="9"/>
      <c r="P755" s="9"/>
      <c r="Q755" s="9"/>
      <c r="R755" s="11"/>
    </row>
    <row r="756" spans="1:18" ht="12.75" customHeight="1">
      <c r="A756" s="10"/>
      <c r="D756" s="3"/>
      <c r="E756" s="115">
        <v>268.08999999999997</v>
      </c>
      <c r="F756" s="9">
        <v>8.6</v>
      </c>
      <c r="G756" s="1" t="s">
        <v>1815</v>
      </c>
      <c r="H756" s="1">
        <v>3</v>
      </c>
      <c r="I756" s="6">
        <v>0.6</v>
      </c>
      <c r="J756" s="1">
        <f t="shared" si="53"/>
        <v>1.7999999999999998</v>
      </c>
      <c r="K756" s="9"/>
      <c r="L756" s="80"/>
      <c r="M756" s="110"/>
      <c r="N756" s="9"/>
      <c r="O756" s="9"/>
      <c r="P756" s="9"/>
      <c r="Q756" s="9"/>
      <c r="R756" s="11"/>
    </row>
    <row r="757" spans="1:18" ht="12.75" customHeight="1">
      <c r="A757" s="10"/>
      <c r="D757" s="3"/>
      <c r="E757" s="117" t="s">
        <v>2325</v>
      </c>
      <c r="F757" s="9">
        <v>8.6</v>
      </c>
      <c r="G757" s="1" t="s">
        <v>1816</v>
      </c>
      <c r="H757" s="1">
        <v>3</v>
      </c>
      <c r="I757" s="6">
        <v>0.6</v>
      </c>
      <c r="J757" s="1">
        <f t="shared" si="53"/>
        <v>1.7999999999999998</v>
      </c>
      <c r="K757" s="9"/>
      <c r="L757" s="80"/>
      <c r="M757" s="110"/>
      <c r="N757" s="9"/>
      <c r="O757" s="9"/>
      <c r="P757" s="9"/>
      <c r="Q757" s="9"/>
      <c r="R757" s="11"/>
    </row>
    <row r="758" spans="1:18" ht="12.75" customHeight="1">
      <c r="A758" s="10"/>
      <c r="D758" s="3"/>
      <c r="E758" s="117" t="s">
        <v>2326</v>
      </c>
      <c r="F758" s="9">
        <v>8.6</v>
      </c>
      <c r="G758" s="1" t="s">
        <v>1817</v>
      </c>
      <c r="H758" s="1">
        <v>3</v>
      </c>
      <c r="I758" s="6">
        <v>0.6</v>
      </c>
      <c r="J758" s="1">
        <f t="shared" si="53"/>
        <v>1.7999999999999998</v>
      </c>
      <c r="K758" s="9"/>
      <c r="L758" s="80"/>
      <c r="M758" s="110"/>
      <c r="N758" s="9"/>
      <c r="O758" s="9"/>
      <c r="P758" s="9"/>
      <c r="Q758" s="9"/>
      <c r="R758" s="11"/>
    </row>
    <row r="759" spans="1:18" ht="12.75" customHeight="1">
      <c r="A759" s="10"/>
      <c r="D759" s="3"/>
      <c r="E759" s="117" t="s">
        <v>2327</v>
      </c>
      <c r="F759" s="9">
        <v>8.6</v>
      </c>
      <c r="G759" s="1" t="s">
        <v>1818</v>
      </c>
      <c r="H759" s="1">
        <v>3</v>
      </c>
      <c r="I759" s="6">
        <v>0.6</v>
      </c>
      <c r="J759" s="1">
        <f t="shared" si="53"/>
        <v>1.7999999999999998</v>
      </c>
      <c r="K759" s="9"/>
      <c r="L759" s="80"/>
      <c r="M759" s="110"/>
      <c r="N759" s="9"/>
      <c r="O759" s="9"/>
      <c r="P759" s="9"/>
      <c r="Q759" s="9"/>
      <c r="R759" s="11"/>
    </row>
    <row r="760" spans="1:18" ht="12.75" customHeight="1">
      <c r="A760" s="10"/>
      <c r="D760" s="3"/>
      <c r="E760" s="117" t="s">
        <v>2328</v>
      </c>
      <c r="F760" s="9">
        <v>8.6</v>
      </c>
      <c r="G760" s="1" t="s">
        <v>1819</v>
      </c>
      <c r="H760" s="1">
        <v>3</v>
      </c>
      <c r="I760" s="6">
        <v>0.6</v>
      </c>
      <c r="J760" s="1">
        <f t="shared" si="53"/>
        <v>1.7999999999999998</v>
      </c>
      <c r="K760" s="9"/>
      <c r="L760" s="80"/>
      <c r="M760" s="110"/>
      <c r="N760" s="9"/>
      <c r="O760" s="9"/>
      <c r="P760" s="9"/>
      <c r="Q760" s="9"/>
      <c r="R760" s="11"/>
    </row>
    <row r="761" spans="1:18" ht="12.75" customHeight="1">
      <c r="A761" s="10"/>
      <c r="D761" s="3"/>
      <c r="E761" s="117" t="s">
        <v>2329</v>
      </c>
      <c r="F761" s="9">
        <v>8.6</v>
      </c>
      <c r="G761" s="1" t="s">
        <v>1820</v>
      </c>
      <c r="H761" s="1">
        <v>3</v>
      </c>
      <c r="I761" s="6">
        <v>0.6</v>
      </c>
      <c r="J761" s="1">
        <f t="shared" si="53"/>
        <v>1.7999999999999998</v>
      </c>
      <c r="K761" s="9"/>
      <c r="L761" s="80"/>
      <c r="M761" s="110"/>
      <c r="N761" s="9"/>
      <c r="O761" s="9"/>
      <c r="P761" s="9"/>
      <c r="Q761" s="9"/>
      <c r="R761" s="11"/>
    </row>
    <row r="762" spans="1:18" ht="12.75" customHeight="1">
      <c r="A762" s="10"/>
      <c r="D762" s="3"/>
      <c r="E762" s="117" t="s">
        <v>2330</v>
      </c>
      <c r="F762" s="9">
        <v>8.6</v>
      </c>
      <c r="G762" s="1" t="s">
        <v>1821</v>
      </c>
      <c r="H762" s="1">
        <v>3</v>
      </c>
      <c r="I762" s="6">
        <v>0.6</v>
      </c>
      <c r="J762" s="1">
        <f t="shared" si="53"/>
        <v>1.7999999999999998</v>
      </c>
      <c r="K762" s="9"/>
      <c r="L762" s="80"/>
      <c r="M762" s="110"/>
      <c r="N762" s="9"/>
      <c r="O762" s="9"/>
      <c r="P762" s="9"/>
      <c r="Q762" s="9"/>
      <c r="R762" s="11"/>
    </row>
    <row r="763" spans="1:18" ht="12.75" customHeight="1">
      <c r="A763" s="10"/>
      <c r="D763" s="3"/>
      <c r="E763" s="117" t="s">
        <v>2331</v>
      </c>
      <c r="F763" s="9">
        <v>8.6</v>
      </c>
      <c r="G763" s="1" t="s">
        <v>1822</v>
      </c>
      <c r="H763" s="1">
        <v>3</v>
      </c>
      <c r="I763" s="6">
        <v>0.6</v>
      </c>
      <c r="J763" s="1">
        <f t="shared" si="53"/>
        <v>1.7999999999999998</v>
      </c>
      <c r="K763" s="9"/>
      <c r="L763" s="80"/>
      <c r="M763" s="110"/>
      <c r="N763" s="9"/>
      <c r="O763" s="9"/>
      <c r="P763" s="9"/>
      <c r="Q763" s="9"/>
      <c r="R763" s="11"/>
    </row>
    <row r="764" spans="1:18" ht="12.75" customHeight="1">
      <c r="A764" s="10"/>
      <c r="D764" s="3"/>
      <c r="E764" s="117" t="s">
        <v>2332</v>
      </c>
      <c r="F764" s="9">
        <v>8.6</v>
      </c>
      <c r="G764" s="1" t="s">
        <v>1823</v>
      </c>
      <c r="H764" s="1">
        <v>3</v>
      </c>
      <c r="I764" s="6">
        <v>0.6</v>
      </c>
      <c r="J764" s="1">
        <f t="shared" si="53"/>
        <v>1.7999999999999998</v>
      </c>
      <c r="K764" s="9"/>
      <c r="L764" s="80"/>
      <c r="M764" s="110"/>
      <c r="N764" s="9"/>
      <c r="O764" s="9"/>
      <c r="P764" s="9"/>
      <c r="Q764" s="9"/>
      <c r="R764" s="11"/>
    </row>
    <row r="765" spans="1:18" ht="12.75" customHeight="1">
      <c r="A765" s="10"/>
      <c r="D765" s="3"/>
      <c r="E765" s="117" t="s">
        <v>2333</v>
      </c>
      <c r="F765" s="9">
        <v>8.6</v>
      </c>
      <c r="G765" s="1" t="s">
        <v>1824</v>
      </c>
      <c r="H765" s="1">
        <v>3</v>
      </c>
      <c r="I765" s="6">
        <v>0.6</v>
      </c>
      <c r="J765" s="1">
        <f t="shared" si="53"/>
        <v>1.7999999999999998</v>
      </c>
      <c r="K765" s="9"/>
      <c r="L765" s="80"/>
      <c r="M765" s="110"/>
      <c r="N765" s="9"/>
      <c r="O765" s="9"/>
      <c r="P765" s="9"/>
      <c r="Q765" s="9"/>
      <c r="R765" s="11"/>
    </row>
    <row r="766" spans="1:18" ht="12.75" customHeight="1">
      <c r="A766" s="10"/>
      <c r="D766" s="3"/>
      <c r="E766" s="117" t="s">
        <v>2334</v>
      </c>
      <c r="F766" s="9">
        <v>19.100000000000001</v>
      </c>
      <c r="G766" s="1" t="s">
        <v>1829</v>
      </c>
      <c r="H766" s="1">
        <v>2</v>
      </c>
      <c r="I766" s="6">
        <v>1.95</v>
      </c>
      <c r="J766" s="1">
        <f t="shared" si="53"/>
        <v>3.9</v>
      </c>
      <c r="K766" s="9"/>
      <c r="L766" s="80"/>
      <c r="M766" s="110"/>
      <c r="N766" s="9"/>
      <c r="O766" s="9"/>
      <c r="P766" s="9"/>
      <c r="Q766" s="9"/>
      <c r="R766" s="11"/>
    </row>
    <row r="767" spans="1:18" ht="12.75" customHeight="1">
      <c r="D767" s="3"/>
      <c r="E767" s="117" t="s">
        <v>2335</v>
      </c>
      <c r="F767" s="9">
        <v>19.100000000000001</v>
      </c>
      <c r="G767" s="1" t="s">
        <v>1830</v>
      </c>
      <c r="H767" s="1">
        <v>2</v>
      </c>
      <c r="I767" s="6">
        <v>1.95</v>
      </c>
      <c r="J767" s="1">
        <f t="shared" si="53"/>
        <v>3.9</v>
      </c>
      <c r="K767" s="9"/>
      <c r="L767" s="80"/>
      <c r="M767" s="110"/>
      <c r="N767" s="9"/>
      <c r="O767" s="9"/>
      <c r="P767" s="9"/>
      <c r="Q767" s="9"/>
      <c r="R767" s="11"/>
    </row>
    <row r="768" spans="1:18" ht="12.75" customHeight="1">
      <c r="A768" s="10"/>
      <c r="D768" s="3"/>
      <c r="E768" s="117" t="s">
        <v>2336</v>
      </c>
      <c r="F768" s="9">
        <v>19.100000000000001</v>
      </c>
      <c r="G768" s="1" t="s">
        <v>1831</v>
      </c>
      <c r="H768" s="1">
        <v>2</v>
      </c>
      <c r="I768" s="6">
        <v>1.95</v>
      </c>
      <c r="J768" s="1">
        <f t="shared" si="53"/>
        <v>3.9</v>
      </c>
      <c r="K768" s="9"/>
      <c r="L768" s="80"/>
      <c r="M768" s="110"/>
      <c r="N768" s="9"/>
      <c r="O768" s="9"/>
      <c r="P768" s="9"/>
      <c r="Q768" s="9"/>
      <c r="R768" s="11"/>
    </row>
    <row r="769" spans="1:18" ht="12.75" customHeight="1">
      <c r="A769" s="10"/>
      <c r="D769" s="3"/>
      <c r="E769" s="117" t="s">
        <v>2337</v>
      </c>
      <c r="F769" s="9">
        <v>19.100000000000001</v>
      </c>
      <c r="G769" s="1" t="s">
        <v>1832</v>
      </c>
      <c r="H769" s="1">
        <v>2</v>
      </c>
      <c r="I769" s="6">
        <v>1.95</v>
      </c>
      <c r="J769" s="1">
        <f t="shared" si="53"/>
        <v>3.9</v>
      </c>
      <c r="K769" s="9"/>
      <c r="L769" s="80"/>
      <c r="M769" s="110"/>
      <c r="N769" s="9"/>
      <c r="O769" s="9"/>
      <c r="P769" s="9"/>
      <c r="Q769" s="9"/>
      <c r="R769" s="11"/>
    </row>
    <row r="770" spans="1:18" ht="12.75" customHeight="1">
      <c r="A770" s="10"/>
      <c r="D770" s="3"/>
      <c r="E770" s="117" t="s">
        <v>2338</v>
      </c>
      <c r="F770" s="9">
        <v>19.100000000000001</v>
      </c>
      <c r="G770" s="1" t="s">
        <v>1833</v>
      </c>
      <c r="H770" s="1">
        <v>2</v>
      </c>
      <c r="I770" s="6">
        <v>1.95</v>
      </c>
      <c r="J770" s="1">
        <f t="shared" si="53"/>
        <v>3.9</v>
      </c>
      <c r="K770" s="9"/>
      <c r="L770" s="80"/>
      <c r="M770" s="110"/>
      <c r="N770" s="9"/>
      <c r="O770" s="9"/>
      <c r="P770" s="9"/>
      <c r="Q770" s="9"/>
      <c r="R770" s="11"/>
    </row>
    <row r="771" spans="1:18" ht="12.75" customHeight="1">
      <c r="A771" s="10"/>
      <c r="D771" s="3"/>
      <c r="E771" s="117" t="s">
        <v>2339</v>
      </c>
      <c r="F771" s="9">
        <v>19.100000000000001</v>
      </c>
      <c r="G771" s="1" t="s">
        <v>1834</v>
      </c>
      <c r="H771" s="1">
        <v>2</v>
      </c>
      <c r="I771" s="6">
        <v>1.95</v>
      </c>
      <c r="J771" s="1">
        <f t="shared" si="53"/>
        <v>3.9</v>
      </c>
      <c r="K771" s="9"/>
      <c r="L771" s="80"/>
      <c r="M771" s="110"/>
      <c r="N771" s="9"/>
      <c r="O771" s="9"/>
      <c r="P771" s="9"/>
      <c r="Q771" s="9"/>
      <c r="R771" s="11"/>
    </row>
    <row r="772" spans="1:18" ht="12.75" customHeight="1">
      <c r="A772" s="10"/>
      <c r="D772" s="3"/>
      <c r="E772" s="117" t="s">
        <v>2340</v>
      </c>
      <c r="F772" s="9">
        <v>19.100000000000001</v>
      </c>
      <c r="G772" s="1" t="s">
        <v>1846</v>
      </c>
      <c r="H772" s="1">
        <v>2</v>
      </c>
      <c r="I772" s="6">
        <v>1.95</v>
      </c>
      <c r="J772" s="1">
        <f t="shared" si="53"/>
        <v>3.9</v>
      </c>
      <c r="K772" s="9"/>
      <c r="L772" s="80"/>
      <c r="M772" s="110"/>
      <c r="N772" s="9"/>
      <c r="O772" s="9"/>
      <c r="P772" s="9"/>
      <c r="Q772" s="9"/>
      <c r="R772" s="11"/>
    </row>
    <row r="773" spans="1:18" ht="12.75" customHeight="1">
      <c r="A773" s="10"/>
      <c r="D773" s="3"/>
      <c r="E773" s="117" t="s">
        <v>2341</v>
      </c>
      <c r="F773" s="9">
        <v>19.100000000000001</v>
      </c>
      <c r="G773" s="1" t="s">
        <v>1835</v>
      </c>
      <c r="H773" s="1">
        <v>2</v>
      </c>
      <c r="I773" s="6">
        <v>1.95</v>
      </c>
      <c r="J773" s="1">
        <f t="shared" si="53"/>
        <v>3.9</v>
      </c>
      <c r="K773" s="9"/>
      <c r="L773" s="80"/>
      <c r="M773" s="110"/>
      <c r="N773" s="9"/>
      <c r="O773" s="9"/>
      <c r="P773" s="9"/>
      <c r="Q773" s="9"/>
      <c r="R773" s="11"/>
    </row>
    <row r="774" spans="1:18" ht="12.75" customHeight="1">
      <c r="A774" s="10"/>
      <c r="D774" s="3"/>
      <c r="E774" s="117" t="s">
        <v>2342</v>
      </c>
      <c r="F774" s="9">
        <v>19.100000000000001</v>
      </c>
      <c r="G774" s="1" t="s">
        <v>1836</v>
      </c>
      <c r="H774" s="1">
        <v>2</v>
      </c>
      <c r="I774" s="6">
        <v>1.95</v>
      </c>
      <c r="J774" s="1">
        <f t="shared" si="53"/>
        <v>3.9</v>
      </c>
      <c r="K774" s="9"/>
      <c r="L774" s="80"/>
      <c r="M774" s="110"/>
      <c r="N774" s="9"/>
      <c r="O774" s="9"/>
      <c r="P774" s="9"/>
      <c r="Q774" s="9"/>
      <c r="R774" s="11"/>
    </row>
    <row r="775" spans="1:18" ht="12.75" customHeight="1">
      <c r="A775" s="10"/>
      <c r="D775" s="3"/>
      <c r="E775" s="117" t="s">
        <v>2343</v>
      </c>
      <c r="F775" s="9">
        <v>19.100000000000001</v>
      </c>
      <c r="G775" s="1" t="s">
        <v>1837</v>
      </c>
      <c r="H775" s="1">
        <v>2</v>
      </c>
      <c r="I775" s="6">
        <v>1.95</v>
      </c>
      <c r="J775" s="1">
        <f t="shared" si="53"/>
        <v>3.9</v>
      </c>
      <c r="K775" s="9"/>
      <c r="L775" s="80"/>
      <c r="M775" s="110"/>
      <c r="N775" s="9"/>
      <c r="O775" s="9"/>
      <c r="P775" s="9"/>
      <c r="Q775" s="9"/>
      <c r="R775" s="11"/>
    </row>
    <row r="776" spans="1:18" ht="12.75" customHeight="1">
      <c r="A776" s="10"/>
      <c r="D776" s="3"/>
      <c r="E776" s="117" t="s">
        <v>2344</v>
      </c>
      <c r="F776" s="9">
        <v>19.100000000000001</v>
      </c>
      <c r="G776" s="1" t="s">
        <v>1838</v>
      </c>
      <c r="H776" s="1">
        <v>2</v>
      </c>
      <c r="I776" s="6">
        <v>1.95</v>
      </c>
      <c r="J776" s="1">
        <f t="shared" si="53"/>
        <v>3.9</v>
      </c>
      <c r="K776" s="9"/>
      <c r="L776" s="80"/>
      <c r="M776" s="110"/>
      <c r="N776" s="9"/>
      <c r="O776" s="9"/>
      <c r="P776" s="9"/>
      <c r="Q776" s="9"/>
      <c r="R776" s="11"/>
    </row>
    <row r="777" spans="1:18" ht="12.75" customHeight="1">
      <c r="A777" s="10"/>
      <c r="D777" s="3"/>
      <c r="E777" s="117" t="s">
        <v>2345</v>
      </c>
      <c r="F777" s="9">
        <v>19.100000000000001</v>
      </c>
      <c r="G777" s="1" t="s">
        <v>1845</v>
      </c>
      <c r="H777" s="1">
        <v>2</v>
      </c>
      <c r="I777" s="6">
        <v>1.95</v>
      </c>
      <c r="J777" s="1">
        <f t="shared" si="53"/>
        <v>3.9</v>
      </c>
      <c r="K777" s="9"/>
      <c r="L777" s="80"/>
      <c r="M777" s="110"/>
      <c r="N777" s="9"/>
      <c r="O777" s="9"/>
      <c r="P777" s="9"/>
      <c r="Q777" s="9"/>
      <c r="R777" s="11"/>
    </row>
    <row r="778" spans="1:18" ht="12.75" customHeight="1">
      <c r="A778" s="10"/>
      <c r="D778" s="3"/>
      <c r="E778" s="117" t="s">
        <v>2346</v>
      </c>
      <c r="F778" s="9">
        <v>19.100000000000001</v>
      </c>
      <c r="G778" s="1" t="s">
        <v>1844</v>
      </c>
      <c r="H778" s="1">
        <v>2</v>
      </c>
      <c r="I778" s="6">
        <v>1.95</v>
      </c>
      <c r="J778" s="1">
        <f t="shared" si="53"/>
        <v>3.9</v>
      </c>
      <c r="K778" s="9"/>
      <c r="L778" s="80"/>
      <c r="M778" s="110"/>
      <c r="N778" s="9"/>
      <c r="O778" s="9"/>
      <c r="P778" s="9"/>
      <c r="Q778" s="9"/>
      <c r="R778" s="11"/>
    </row>
    <row r="779" spans="1:18" ht="12.75" customHeight="1">
      <c r="A779" s="10"/>
      <c r="D779" s="3"/>
      <c r="E779" s="117" t="s">
        <v>2347</v>
      </c>
      <c r="F779" s="9">
        <v>19.100000000000001</v>
      </c>
      <c r="G779" s="1" t="s">
        <v>1843</v>
      </c>
      <c r="H779" s="1">
        <v>2</v>
      </c>
      <c r="I779" s="6">
        <v>1.95</v>
      </c>
      <c r="J779" s="1">
        <f t="shared" si="53"/>
        <v>3.9</v>
      </c>
      <c r="K779" s="9"/>
      <c r="L779" s="80"/>
      <c r="M779" s="110"/>
      <c r="N779" s="9"/>
      <c r="O779" s="9"/>
      <c r="P779" s="9"/>
      <c r="Q779" s="9"/>
      <c r="R779" s="11"/>
    </row>
    <row r="780" spans="1:18" ht="12.75" customHeight="1">
      <c r="A780" s="10"/>
      <c r="D780" s="3"/>
      <c r="E780" s="117" t="s">
        <v>2348</v>
      </c>
      <c r="F780" s="9">
        <v>19.100000000000001</v>
      </c>
      <c r="G780" s="1" t="s">
        <v>1842</v>
      </c>
      <c r="H780" s="1">
        <v>2</v>
      </c>
      <c r="I780" s="6">
        <v>1.95</v>
      </c>
      <c r="J780" s="1">
        <f t="shared" si="53"/>
        <v>3.9</v>
      </c>
      <c r="K780" s="9"/>
      <c r="L780" s="80"/>
      <c r="M780" s="110"/>
      <c r="N780" s="9"/>
      <c r="O780" s="9"/>
      <c r="P780" s="9"/>
      <c r="Q780" s="9"/>
      <c r="R780" s="11"/>
    </row>
    <row r="781" spans="1:18" ht="12.75" customHeight="1">
      <c r="A781" s="10"/>
      <c r="D781" s="3"/>
      <c r="E781" s="117" t="s">
        <v>2349</v>
      </c>
      <c r="F781" s="9">
        <v>19.100000000000001</v>
      </c>
      <c r="G781" s="1" t="s">
        <v>1841</v>
      </c>
      <c r="H781" s="1">
        <v>2</v>
      </c>
      <c r="I781" s="6">
        <v>1.95</v>
      </c>
      <c r="J781" s="1">
        <f t="shared" si="53"/>
        <v>3.9</v>
      </c>
      <c r="K781" s="9"/>
      <c r="L781" s="80"/>
      <c r="M781" s="110"/>
      <c r="N781" s="9"/>
      <c r="O781" s="9"/>
      <c r="P781" s="9"/>
      <c r="Q781" s="9"/>
      <c r="R781" s="11"/>
    </row>
    <row r="782" spans="1:18" ht="12.75" customHeight="1">
      <c r="A782" s="10"/>
      <c r="D782" s="3"/>
      <c r="E782" s="117" t="s">
        <v>2350</v>
      </c>
      <c r="F782" s="9">
        <v>19.100000000000001</v>
      </c>
      <c r="G782" s="1" t="s">
        <v>1840</v>
      </c>
      <c r="H782" s="1">
        <v>2</v>
      </c>
      <c r="I782" s="6">
        <v>1.95</v>
      </c>
      <c r="J782" s="1">
        <f t="shared" si="53"/>
        <v>3.9</v>
      </c>
      <c r="K782" s="9"/>
      <c r="L782" s="80"/>
      <c r="M782" s="110"/>
      <c r="N782" s="9"/>
      <c r="O782" s="9"/>
      <c r="P782" s="9"/>
      <c r="Q782" s="9"/>
      <c r="R782" s="11"/>
    </row>
    <row r="783" spans="1:18" ht="12.75" customHeight="1">
      <c r="A783" s="10"/>
      <c r="D783" s="3"/>
      <c r="E783" s="117" t="s">
        <v>2351</v>
      </c>
      <c r="F783" s="9">
        <v>19.100000000000001</v>
      </c>
      <c r="G783" s="1" t="s">
        <v>1839</v>
      </c>
      <c r="H783" s="1">
        <v>2</v>
      </c>
      <c r="I783" s="6">
        <v>1.95</v>
      </c>
      <c r="J783" s="1">
        <f t="shared" si="53"/>
        <v>3.9</v>
      </c>
      <c r="K783" s="9"/>
      <c r="L783" s="80"/>
      <c r="M783" s="110"/>
      <c r="N783" s="9"/>
      <c r="O783" s="9"/>
      <c r="P783" s="9"/>
      <c r="Q783" s="9"/>
      <c r="R783" s="11"/>
    </row>
    <row r="784" spans="1:18" s="4" customFormat="1" ht="12.75" customHeight="1">
      <c r="A784" s="12"/>
      <c r="B784" s="12"/>
      <c r="D784" s="5"/>
      <c r="E784" s="114">
        <v>1</v>
      </c>
      <c r="H784" s="4">
        <f>SUM(H748:H783)</f>
        <v>158</v>
      </c>
      <c r="J784" s="4">
        <f>SUM(J748:J783)</f>
        <v>130.60000000000005</v>
      </c>
      <c r="K784" s="4">
        <v>0</v>
      </c>
      <c r="L784" s="4">
        <v>-130.6</v>
      </c>
      <c r="M784" s="54"/>
      <c r="N784" s="5"/>
      <c r="O784" s="4">
        <f>SUM(J784:N784)</f>
        <v>0</v>
      </c>
      <c r="P784" s="13" t="s">
        <v>3002</v>
      </c>
      <c r="Q784" s="111"/>
    </row>
    <row r="785" spans="1:16" ht="12.75" customHeight="1">
      <c r="A785" s="10">
        <v>43834</v>
      </c>
      <c r="B785" s="10">
        <v>43837</v>
      </c>
      <c r="C785" s="7" t="s">
        <v>1774</v>
      </c>
      <c r="D785" s="3"/>
      <c r="E785" s="115">
        <v>107.01</v>
      </c>
      <c r="F785" s="110">
        <f>3.4/100</f>
        <v>3.4000000000000002E-2</v>
      </c>
      <c r="G785" s="1" t="s">
        <v>1777</v>
      </c>
      <c r="H785" s="1">
        <v>5000</v>
      </c>
      <c r="I785" s="108">
        <f>0.78/100</f>
        <v>7.8000000000000005E-3</v>
      </c>
      <c r="J785" s="1">
        <f t="shared" ref="J785:J793" si="54">H785*I785</f>
        <v>39</v>
      </c>
    </row>
    <row r="786" spans="1:16" ht="12.75" customHeight="1">
      <c r="A786" s="10"/>
      <c r="B786" s="10"/>
      <c r="D786" s="3"/>
      <c r="E786" s="117" t="s">
        <v>3003</v>
      </c>
      <c r="F786" s="9">
        <f>37.1/10</f>
        <v>3.71</v>
      </c>
      <c r="G786" s="201" t="s">
        <v>5983</v>
      </c>
      <c r="H786" s="1">
        <v>300</v>
      </c>
      <c r="I786" s="108">
        <f>6.6/100</f>
        <v>6.6000000000000003E-2</v>
      </c>
      <c r="J786" s="1">
        <f t="shared" si="54"/>
        <v>19.8</v>
      </c>
    </row>
    <row r="787" spans="1:16" ht="12.75" customHeight="1">
      <c r="A787" s="10"/>
      <c r="B787" s="10"/>
      <c r="D787" s="3"/>
      <c r="E787" s="113" t="s">
        <v>2766</v>
      </c>
      <c r="F787" s="113" t="s">
        <v>2766</v>
      </c>
      <c r="G787" s="1" t="s">
        <v>1847</v>
      </c>
      <c r="H787" s="1">
        <v>1</v>
      </c>
      <c r="I787" s="6">
        <v>6</v>
      </c>
      <c r="J787" s="1">
        <f t="shared" si="54"/>
        <v>6</v>
      </c>
    </row>
    <row r="788" spans="1:16" ht="12.75" customHeight="1">
      <c r="A788" s="10"/>
      <c r="B788" s="10"/>
      <c r="D788" s="3"/>
      <c r="E788" s="113" t="s">
        <v>2766</v>
      </c>
      <c r="F788" s="113" t="s">
        <v>2766</v>
      </c>
      <c r="G788" s="1" t="s">
        <v>1848</v>
      </c>
      <c r="H788" s="1">
        <v>1</v>
      </c>
      <c r="I788" s="6">
        <v>6</v>
      </c>
      <c r="J788" s="1">
        <f t="shared" si="54"/>
        <v>6</v>
      </c>
    </row>
    <row r="789" spans="1:16" ht="12.75" customHeight="1">
      <c r="A789" s="10"/>
      <c r="B789" s="10"/>
      <c r="D789" s="3"/>
      <c r="E789" s="128" t="s">
        <v>3272</v>
      </c>
      <c r="F789" s="9">
        <f>25.8/100</f>
        <v>0.25800000000000001</v>
      </c>
      <c r="G789" s="1" t="s">
        <v>3279</v>
      </c>
      <c r="H789" s="1">
        <v>100</v>
      </c>
      <c r="I789" s="6">
        <v>0.05</v>
      </c>
      <c r="J789" s="1">
        <f t="shared" si="54"/>
        <v>5</v>
      </c>
    </row>
    <row r="790" spans="1:16" ht="12.75" customHeight="1">
      <c r="A790" s="10"/>
      <c r="B790" s="10"/>
      <c r="D790" s="3"/>
      <c r="E790" s="128" t="s">
        <v>3277</v>
      </c>
      <c r="F790" s="9">
        <f>23.7/100</f>
        <v>0.23699999999999999</v>
      </c>
      <c r="G790" s="1" t="s">
        <v>3280</v>
      </c>
      <c r="H790" s="1">
        <v>100</v>
      </c>
      <c r="I790" s="6">
        <v>0.05</v>
      </c>
      <c r="J790" s="1">
        <f t="shared" si="54"/>
        <v>5</v>
      </c>
    </row>
    <row r="791" spans="1:16" ht="12.75" customHeight="1">
      <c r="A791" s="10"/>
      <c r="B791" s="10"/>
      <c r="D791" s="3"/>
      <c r="E791" s="128" t="s">
        <v>3275</v>
      </c>
      <c r="F791" s="9">
        <f>18/100</f>
        <v>0.18</v>
      </c>
      <c r="G791" s="1" t="s">
        <v>3281</v>
      </c>
      <c r="H791" s="1">
        <v>100</v>
      </c>
      <c r="I791" s="6">
        <v>0.05</v>
      </c>
      <c r="J791" s="1">
        <f t="shared" si="54"/>
        <v>5</v>
      </c>
    </row>
    <row r="792" spans="1:16" ht="12.75" customHeight="1">
      <c r="A792" s="10"/>
      <c r="B792" s="10"/>
      <c r="D792" s="3"/>
      <c r="E792" s="128" t="s">
        <v>3276</v>
      </c>
      <c r="F792" s="9">
        <f>21.2/100</f>
        <v>0.21199999999999999</v>
      </c>
      <c r="G792" s="1" t="s">
        <v>3282</v>
      </c>
      <c r="H792" s="123">
        <v>200</v>
      </c>
      <c r="I792" s="6">
        <f>0.05*100/200</f>
        <v>2.5000000000000001E-2</v>
      </c>
      <c r="J792" s="1">
        <f t="shared" si="54"/>
        <v>5</v>
      </c>
    </row>
    <row r="793" spans="1:16" ht="12.75" customHeight="1">
      <c r="A793" s="10"/>
      <c r="B793" s="10"/>
      <c r="D793" s="3"/>
      <c r="E793" s="128" t="s">
        <v>3278</v>
      </c>
      <c r="F793" s="9">
        <f>37.5/100</f>
        <v>0.375</v>
      </c>
      <c r="G793" s="1" t="s">
        <v>3283</v>
      </c>
      <c r="H793" s="1">
        <v>100</v>
      </c>
      <c r="I793" s="6">
        <v>0.05</v>
      </c>
      <c r="J793" s="1">
        <f t="shared" si="54"/>
        <v>5</v>
      </c>
    </row>
    <row r="794" spans="1:16" s="4" customFormat="1" ht="12.75" customHeight="1">
      <c r="A794" s="12"/>
      <c r="B794" s="12"/>
      <c r="D794" s="5"/>
      <c r="E794" s="114"/>
      <c r="F794" s="5"/>
      <c r="H794" s="4">
        <f>SUM(H785:H793)</f>
        <v>5902</v>
      </c>
      <c r="J794" s="4">
        <f>SUM(J785:J793)</f>
        <v>95.8</v>
      </c>
      <c r="K794" s="4">
        <v>0</v>
      </c>
      <c r="L794" s="4">
        <v>-95.8</v>
      </c>
      <c r="O794" s="4">
        <f>SUM(J794:N794)</f>
        <v>0</v>
      </c>
      <c r="P794" s="13" t="s">
        <v>3004</v>
      </c>
    </row>
    <row r="795" spans="1:16" ht="12.75" customHeight="1">
      <c r="A795" s="10">
        <v>43834</v>
      </c>
      <c r="B795" s="10">
        <v>43837</v>
      </c>
      <c r="C795" s="7" t="s">
        <v>1849</v>
      </c>
      <c r="D795" s="3"/>
      <c r="E795" s="115">
        <v>253.01</v>
      </c>
      <c r="F795" s="9">
        <f>650/100</f>
        <v>6.5</v>
      </c>
      <c r="G795" s="1" t="s">
        <v>1850</v>
      </c>
      <c r="H795" s="105">
        <v>100</v>
      </c>
      <c r="I795" s="6">
        <f>0.27*50/100</f>
        <v>0.13500000000000001</v>
      </c>
      <c r="J795" s="1">
        <f t="shared" ref="J795:J800" si="55">H795*I795</f>
        <v>13.5</v>
      </c>
    </row>
    <row r="796" spans="1:16" ht="12.75" customHeight="1">
      <c r="A796" s="10"/>
      <c r="B796" s="10"/>
      <c r="D796" s="3"/>
      <c r="E796" s="115">
        <v>253.02</v>
      </c>
      <c r="F796" s="9">
        <f>600/100</f>
        <v>6</v>
      </c>
      <c r="G796" s="1" t="s">
        <v>1851</v>
      </c>
      <c r="H796" s="105">
        <v>100</v>
      </c>
      <c r="I796" s="6">
        <f>0.25*50/100</f>
        <v>0.125</v>
      </c>
      <c r="J796" s="1">
        <f t="shared" si="55"/>
        <v>12.5</v>
      </c>
    </row>
    <row r="797" spans="1:16" ht="12.75" customHeight="1">
      <c r="A797" s="10"/>
      <c r="B797" s="10"/>
      <c r="D797" s="3"/>
      <c r="E797" s="115">
        <v>253.03</v>
      </c>
      <c r="F797" s="9">
        <f>600/100</f>
        <v>6</v>
      </c>
      <c r="G797" s="1" t="s">
        <v>1852</v>
      </c>
      <c r="H797" s="105">
        <v>100</v>
      </c>
      <c r="I797" s="6">
        <f>0.25*50/100</f>
        <v>0.125</v>
      </c>
      <c r="J797" s="1">
        <f t="shared" si="55"/>
        <v>12.5</v>
      </c>
    </row>
    <row r="798" spans="1:16" ht="12.75" customHeight="1">
      <c r="A798" s="10"/>
      <c r="B798" s="10"/>
      <c r="D798" s="3"/>
      <c r="E798" s="115">
        <v>253.04</v>
      </c>
      <c r="F798" s="9">
        <f>1150/100</f>
        <v>11.5</v>
      </c>
      <c r="G798" s="1" t="s">
        <v>1853</v>
      </c>
      <c r="H798" s="1">
        <v>100</v>
      </c>
      <c r="I798" s="6">
        <v>0.36</v>
      </c>
      <c r="J798" s="1">
        <f t="shared" si="55"/>
        <v>36</v>
      </c>
    </row>
    <row r="799" spans="1:16" ht="12.75" customHeight="1">
      <c r="A799" s="10"/>
      <c r="B799" s="10"/>
      <c r="D799" s="3"/>
      <c r="E799" s="115">
        <v>253.05</v>
      </c>
      <c r="F799" s="9">
        <f>1200/100</f>
        <v>12</v>
      </c>
      <c r="G799" s="1" t="s">
        <v>1854</v>
      </c>
      <c r="H799" s="1">
        <v>100</v>
      </c>
      <c r="I799" s="6">
        <v>0.35</v>
      </c>
      <c r="J799" s="1">
        <f t="shared" si="55"/>
        <v>35</v>
      </c>
    </row>
    <row r="800" spans="1:16" ht="12.75" customHeight="1">
      <c r="A800" s="10"/>
      <c r="B800" s="10"/>
      <c r="D800" s="3"/>
      <c r="E800" s="115">
        <v>253.06</v>
      </c>
      <c r="F800" s="9">
        <f>1150/100</f>
        <v>11.5</v>
      </c>
      <c r="G800" s="1" t="s">
        <v>1855</v>
      </c>
      <c r="H800" s="1">
        <v>100</v>
      </c>
      <c r="I800" s="6">
        <v>0.35</v>
      </c>
      <c r="J800" s="1">
        <f t="shared" si="55"/>
        <v>35</v>
      </c>
    </row>
    <row r="801" spans="1:16" s="4" customFormat="1" ht="12.75" customHeight="1">
      <c r="A801" s="12"/>
      <c r="B801" s="12"/>
      <c r="D801" s="5"/>
      <c r="E801" s="114"/>
      <c r="F801" s="5"/>
      <c r="H801" s="4">
        <f>SUM(H795:H800)</f>
        <v>600</v>
      </c>
      <c r="J801" s="4">
        <f>SUM(J795:J800)</f>
        <v>144.5</v>
      </c>
      <c r="K801" s="4">
        <v>20</v>
      </c>
      <c r="L801" s="4">
        <v>-164.5</v>
      </c>
      <c r="O801" s="4">
        <f>SUM(J801:N801)</f>
        <v>0</v>
      </c>
      <c r="P801" s="13" t="s">
        <v>3005</v>
      </c>
    </row>
    <row r="802" spans="1:16" ht="12.75" customHeight="1">
      <c r="A802" s="10">
        <v>43834</v>
      </c>
      <c r="B802" s="10">
        <v>43837</v>
      </c>
      <c r="C802" s="7" t="s">
        <v>1856</v>
      </c>
      <c r="D802" s="3"/>
      <c r="E802" s="119" t="s">
        <v>3121</v>
      </c>
      <c r="F802" s="9">
        <v>17</v>
      </c>
      <c r="G802" s="1" t="s">
        <v>1857</v>
      </c>
      <c r="H802" s="1">
        <v>5</v>
      </c>
      <c r="I802" s="6">
        <v>0.6</v>
      </c>
      <c r="J802" s="1">
        <f t="shared" ref="J802:J818" si="56">H802*I802</f>
        <v>3</v>
      </c>
    </row>
    <row r="803" spans="1:16" ht="12.75" customHeight="1">
      <c r="A803" s="10"/>
      <c r="B803" s="10"/>
      <c r="D803" s="3"/>
      <c r="E803" s="119" t="s">
        <v>3122</v>
      </c>
      <c r="F803" s="9">
        <v>17</v>
      </c>
      <c r="G803" s="1" t="s">
        <v>1858</v>
      </c>
      <c r="H803" s="1">
        <v>3</v>
      </c>
      <c r="I803" s="6">
        <v>0.6</v>
      </c>
      <c r="J803" s="1">
        <f t="shared" si="56"/>
        <v>1.7999999999999998</v>
      </c>
    </row>
    <row r="804" spans="1:16" ht="12.75" customHeight="1">
      <c r="A804" s="10"/>
      <c r="B804" s="10"/>
      <c r="D804" s="3"/>
      <c r="E804" s="119" t="s">
        <v>3123</v>
      </c>
      <c r="F804" s="9">
        <v>17</v>
      </c>
      <c r="G804" s="1" t="s">
        <v>1859</v>
      </c>
      <c r="H804" s="1">
        <v>3</v>
      </c>
      <c r="I804" s="6">
        <v>0.6</v>
      </c>
      <c r="J804" s="1">
        <f t="shared" si="56"/>
        <v>1.7999999999999998</v>
      </c>
    </row>
    <row r="805" spans="1:16" ht="12.75" customHeight="1">
      <c r="A805" s="10"/>
      <c r="B805" s="10"/>
      <c r="D805" s="3"/>
      <c r="E805" s="119" t="s">
        <v>3150</v>
      </c>
      <c r="F805" s="9">
        <v>17</v>
      </c>
      <c r="G805" s="1" t="s">
        <v>1860</v>
      </c>
      <c r="H805" s="1">
        <v>3</v>
      </c>
      <c r="I805" s="6">
        <v>0.6</v>
      </c>
      <c r="J805" s="1">
        <f t="shared" si="56"/>
        <v>1.7999999999999998</v>
      </c>
    </row>
    <row r="806" spans="1:16" ht="12.75" customHeight="1">
      <c r="A806" s="10"/>
      <c r="B806" s="10"/>
      <c r="D806" s="3"/>
      <c r="E806" s="119" t="s">
        <v>3124</v>
      </c>
      <c r="F806" s="9">
        <v>17</v>
      </c>
      <c r="G806" s="1" t="s">
        <v>1861</v>
      </c>
      <c r="H806" s="1">
        <v>3</v>
      </c>
      <c r="I806" s="6">
        <v>0.6</v>
      </c>
      <c r="J806" s="1">
        <f t="shared" si="56"/>
        <v>1.7999999999999998</v>
      </c>
    </row>
    <row r="807" spans="1:16" ht="12.75" customHeight="1">
      <c r="A807" s="10"/>
      <c r="B807" s="10"/>
      <c r="D807" s="3"/>
      <c r="E807" s="119" t="s">
        <v>3125</v>
      </c>
      <c r="F807" s="9">
        <v>32</v>
      </c>
      <c r="G807" s="1" t="s">
        <v>1862</v>
      </c>
      <c r="H807" s="1">
        <v>3</v>
      </c>
      <c r="I807" s="6">
        <v>1.75</v>
      </c>
      <c r="J807" s="1">
        <f t="shared" si="56"/>
        <v>5.25</v>
      </c>
    </row>
    <row r="808" spans="1:16" ht="12.75" customHeight="1">
      <c r="A808" s="10"/>
      <c r="B808" s="10"/>
      <c r="D808" s="3"/>
      <c r="E808" s="119" t="s">
        <v>3126</v>
      </c>
      <c r="F808" s="9">
        <v>32</v>
      </c>
      <c r="G808" s="1" t="s">
        <v>1863</v>
      </c>
      <c r="H808" s="1">
        <v>3</v>
      </c>
      <c r="I808" s="6">
        <v>1.75</v>
      </c>
      <c r="J808" s="1">
        <f t="shared" si="56"/>
        <v>5.25</v>
      </c>
    </row>
    <row r="809" spans="1:16" ht="12.75" customHeight="1">
      <c r="A809" s="10"/>
      <c r="B809" s="10"/>
      <c r="D809" s="3"/>
      <c r="E809" s="119" t="s">
        <v>3127</v>
      </c>
      <c r="F809" s="9">
        <v>32</v>
      </c>
      <c r="G809" s="1" t="s">
        <v>1864</v>
      </c>
      <c r="H809" s="1">
        <v>3</v>
      </c>
      <c r="I809" s="6">
        <v>1.75</v>
      </c>
      <c r="J809" s="1">
        <f t="shared" si="56"/>
        <v>5.25</v>
      </c>
    </row>
    <row r="810" spans="1:16" ht="12.75" customHeight="1">
      <c r="A810" s="10"/>
      <c r="B810" s="10"/>
      <c r="D810" s="3"/>
      <c r="E810" s="119" t="s">
        <v>3128</v>
      </c>
      <c r="F810" s="9">
        <v>32</v>
      </c>
      <c r="G810" s="1" t="s">
        <v>1865</v>
      </c>
      <c r="H810" s="1">
        <v>3</v>
      </c>
      <c r="I810" s="6">
        <v>1.75</v>
      </c>
      <c r="J810" s="1">
        <f t="shared" si="56"/>
        <v>5.25</v>
      </c>
    </row>
    <row r="811" spans="1:16" ht="12.75" customHeight="1">
      <c r="A811" s="10"/>
      <c r="B811" s="10"/>
      <c r="D811" s="3"/>
      <c r="E811" s="119" t="s">
        <v>3129</v>
      </c>
      <c r="F811" s="9">
        <v>30</v>
      </c>
      <c r="G811" s="1" t="s">
        <v>1867</v>
      </c>
      <c r="H811" s="1">
        <v>5</v>
      </c>
      <c r="I811" s="6">
        <v>1</v>
      </c>
      <c r="J811" s="1">
        <f t="shared" si="56"/>
        <v>5</v>
      </c>
    </row>
    <row r="812" spans="1:16" ht="12.75" customHeight="1">
      <c r="A812" s="10"/>
      <c r="B812" s="10"/>
      <c r="D812" s="3"/>
      <c r="E812" s="119" t="s">
        <v>3149</v>
      </c>
      <c r="F812" s="9">
        <v>24.4</v>
      </c>
      <c r="G812" s="1" t="s">
        <v>1866</v>
      </c>
      <c r="H812" s="1">
        <v>20</v>
      </c>
      <c r="I812" s="6">
        <v>0.6</v>
      </c>
      <c r="J812" s="1">
        <f t="shared" si="56"/>
        <v>12</v>
      </c>
    </row>
    <row r="813" spans="1:16" ht="12.75" customHeight="1">
      <c r="A813" s="10"/>
      <c r="B813" s="10"/>
      <c r="D813" s="3"/>
      <c r="E813" s="119" t="s">
        <v>3130</v>
      </c>
      <c r="F813" s="9">
        <v>26</v>
      </c>
      <c r="G813" s="1" t="s">
        <v>1868</v>
      </c>
      <c r="H813" s="1">
        <v>10</v>
      </c>
      <c r="I813" s="6">
        <v>0.6</v>
      </c>
      <c r="J813" s="1">
        <f t="shared" si="56"/>
        <v>6</v>
      </c>
    </row>
    <row r="814" spans="1:16" ht="12.75" customHeight="1">
      <c r="A814" s="10"/>
      <c r="B814" s="10"/>
      <c r="D814" s="3"/>
      <c r="E814" s="119" t="s">
        <v>3131</v>
      </c>
      <c r="F814" s="9">
        <v>26.9</v>
      </c>
      <c r="G814" s="1" t="s">
        <v>1869</v>
      </c>
      <c r="H814" s="1">
        <v>10</v>
      </c>
      <c r="I814" s="6">
        <v>0.6</v>
      </c>
      <c r="J814" s="1">
        <f t="shared" si="56"/>
        <v>6</v>
      </c>
    </row>
    <row r="815" spans="1:16" ht="12.75" customHeight="1">
      <c r="A815" s="10"/>
      <c r="B815" s="10"/>
      <c r="D815" s="3"/>
      <c r="E815" s="119" t="s">
        <v>3132</v>
      </c>
      <c r="F815" s="9">
        <v>25.2</v>
      </c>
      <c r="G815" s="1" t="s">
        <v>1870</v>
      </c>
      <c r="H815" s="1">
        <v>10</v>
      </c>
      <c r="I815" s="6">
        <v>0.6</v>
      </c>
      <c r="J815" s="1">
        <f t="shared" si="56"/>
        <v>6</v>
      </c>
    </row>
    <row r="816" spans="1:16" ht="12.75" customHeight="1">
      <c r="A816" s="10"/>
      <c r="B816" s="10"/>
      <c r="D816" s="3"/>
      <c r="E816" s="119" t="s">
        <v>3133</v>
      </c>
      <c r="F816" s="9">
        <v>19.3</v>
      </c>
      <c r="G816" s="1" t="s">
        <v>1871</v>
      </c>
      <c r="H816" s="1">
        <v>5</v>
      </c>
      <c r="I816" s="6">
        <v>1.1000000000000001</v>
      </c>
      <c r="J816" s="1">
        <f t="shared" si="56"/>
        <v>5.5</v>
      </c>
    </row>
    <row r="817" spans="1:16" ht="12.75" customHeight="1">
      <c r="A817" s="10"/>
      <c r="B817" s="10"/>
      <c r="D817" s="3"/>
      <c r="E817" s="119" t="s">
        <v>3134</v>
      </c>
      <c r="F817" s="9">
        <v>20</v>
      </c>
      <c r="G817" s="1" t="s">
        <v>1872</v>
      </c>
      <c r="H817" s="1">
        <v>5</v>
      </c>
      <c r="I817" s="6">
        <v>1.1000000000000001</v>
      </c>
      <c r="J817" s="1">
        <f t="shared" si="56"/>
        <v>5.5</v>
      </c>
    </row>
    <row r="818" spans="1:16" ht="12.75" customHeight="1">
      <c r="A818" s="10"/>
      <c r="B818" s="10"/>
      <c r="D818" s="3"/>
      <c r="E818" s="119" t="s">
        <v>3135</v>
      </c>
      <c r="F818" s="9">
        <v>57</v>
      </c>
      <c r="G818" s="1" t="s">
        <v>1873</v>
      </c>
      <c r="H818" s="1">
        <v>20</v>
      </c>
      <c r="I818" s="6">
        <v>1.2</v>
      </c>
      <c r="J818" s="1">
        <f t="shared" si="56"/>
        <v>24</v>
      </c>
    </row>
    <row r="819" spans="1:16" s="4" customFormat="1" ht="12.75" customHeight="1">
      <c r="A819" s="12"/>
      <c r="B819" s="12"/>
      <c r="D819" s="5"/>
      <c r="E819" s="114"/>
      <c r="F819" s="5"/>
      <c r="H819" s="4">
        <f>SUM(H802:H818)</f>
        <v>114</v>
      </c>
      <c r="J819" s="4">
        <f>SUM(J802:J818)</f>
        <v>101.2</v>
      </c>
      <c r="K819" s="4">
        <v>20</v>
      </c>
      <c r="L819" s="4">
        <v>-121.2</v>
      </c>
      <c r="O819" s="4">
        <f>SUM(J819:N819)</f>
        <v>0</v>
      </c>
      <c r="P819" s="13" t="s">
        <v>3006</v>
      </c>
    </row>
    <row r="820" spans="1:16" ht="12.75" customHeight="1">
      <c r="A820" s="10">
        <v>43834</v>
      </c>
      <c r="B820" s="10"/>
      <c r="C820" s="7" t="s">
        <v>1874</v>
      </c>
      <c r="D820" s="3"/>
      <c r="E820" s="119" t="s">
        <v>2824</v>
      </c>
      <c r="F820" s="9">
        <v>16.5</v>
      </c>
      <c r="G820" s="1" t="s">
        <v>1883</v>
      </c>
      <c r="H820" s="1">
        <v>5</v>
      </c>
      <c r="I820" s="6">
        <v>1.2</v>
      </c>
      <c r="J820" s="1">
        <f t="shared" ref="J820:J832" si="57">H820*I820</f>
        <v>6</v>
      </c>
    </row>
    <row r="821" spans="1:16" ht="12.75" customHeight="1">
      <c r="A821" s="10"/>
      <c r="B821" s="10"/>
      <c r="D821" s="3"/>
      <c r="E821" s="119" t="s">
        <v>2825</v>
      </c>
      <c r="F821" s="9">
        <v>11.7</v>
      </c>
      <c r="G821" s="1" t="s">
        <v>1884</v>
      </c>
      <c r="H821" s="1">
        <v>5</v>
      </c>
      <c r="I821" s="6">
        <v>1.7</v>
      </c>
      <c r="J821" s="1">
        <f t="shared" si="57"/>
        <v>8.5</v>
      </c>
    </row>
    <row r="822" spans="1:16" ht="12.75" customHeight="1">
      <c r="A822" s="10"/>
      <c r="B822" s="10"/>
      <c r="D822" s="3"/>
      <c r="E822" s="113" t="s">
        <v>3120</v>
      </c>
      <c r="G822" s="1" t="s">
        <v>1883</v>
      </c>
      <c r="H822" s="1">
        <v>5</v>
      </c>
      <c r="I822" s="6">
        <f>11.39*1.19/(1.19+1.68+2.38+2.97+3.56)</f>
        <v>1.1506027164685908</v>
      </c>
      <c r="J822" s="6">
        <f t="shared" si="57"/>
        <v>5.7530135823429536</v>
      </c>
    </row>
    <row r="823" spans="1:16" ht="12.75" customHeight="1">
      <c r="A823" s="10"/>
      <c r="B823" s="10"/>
      <c r="D823" s="3"/>
      <c r="E823" s="113" t="s">
        <v>3120</v>
      </c>
      <c r="G823" s="1" t="s">
        <v>1884</v>
      </c>
      <c r="H823" s="1">
        <v>5</v>
      </c>
      <c r="I823" s="6">
        <f>11.39*1.68/(1.19+1.68+2.38+2.97+3.56)</f>
        <v>1.6243803056027164</v>
      </c>
      <c r="J823" s="6">
        <f t="shared" si="57"/>
        <v>8.1219015280135824</v>
      </c>
    </row>
    <row r="824" spans="1:16" ht="12.75" customHeight="1">
      <c r="A824" s="10"/>
      <c r="B824" s="10"/>
      <c r="D824" s="3"/>
      <c r="E824" s="119" t="s">
        <v>3156</v>
      </c>
      <c r="F824" s="9">
        <v>22.3</v>
      </c>
      <c r="G824" s="1" t="s">
        <v>1885</v>
      </c>
      <c r="H824" s="1">
        <v>5</v>
      </c>
      <c r="I824" s="6">
        <f>11.39*2.38/(1.19+1.68+2.38+2.97+3.56)</f>
        <v>2.3012054329371816</v>
      </c>
      <c r="J824" s="6">
        <f t="shared" si="57"/>
        <v>11.506027164685907</v>
      </c>
    </row>
    <row r="825" spans="1:16" ht="12.75" customHeight="1">
      <c r="A825" s="10"/>
      <c r="B825" s="10"/>
      <c r="D825" s="3"/>
      <c r="E825" s="119" t="s">
        <v>2826</v>
      </c>
      <c r="F825" s="9">
        <v>27.5</v>
      </c>
      <c r="G825" s="1" t="s">
        <v>1886</v>
      </c>
      <c r="H825" s="1">
        <v>5</v>
      </c>
      <c r="I825" s="6">
        <f>11.39*2.97/(1.19+1.68+2.38+2.97+3.56)</f>
        <v>2.8716723259762311</v>
      </c>
      <c r="J825" s="6">
        <f t="shared" si="57"/>
        <v>14.358361629881156</v>
      </c>
    </row>
    <row r="826" spans="1:16" ht="12.75" customHeight="1">
      <c r="A826" s="10"/>
      <c r="B826" s="10"/>
      <c r="D826" s="3"/>
      <c r="E826" s="119" t="s">
        <v>2827</v>
      </c>
      <c r="F826" s="9">
        <v>30.5</v>
      </c>
      <c r="G826" s="1" t="s">
        <v>1887</v>
      </c>
      <c r="H826" s="1">
        <v>5</v>
      </c>
      <c r="I826" s="6">
        <f>11.39*3.56/(1.19+1.68+2.38+2.97+3.56)</f>
        <v>3.4421392190152797</v>
      </c>
      <c r="J826" s="6">
        <f t="shared" si="57"/>
        <v>17.210696095076401</v>
      </c>
    </row>
    <row r="827" spans="1:16" ht="12.75" customHeight="1">
      <c r="A827" s="10"/>
      <c r="B827" s="10"/>
      <c r="D827" s="3"/>
      <c r="E827" s="119" t="s">
        <v>2828</v>
      </c>
      <c r="F827" s="9">
        <v>63</v>
      </c>
      <c r="G827" s="1" t="s">
        <v>1877</v>
      </c>
      <c r="H827" s="1">
        <v>3</v>
      </c>
      <c r="I827" s="6">
        <v>2.15</v>
      </c>
      <c r="J827" s="1">
        <f t="shared" si="57"/>
        <v>6.4499999999999993</v>
      </c>
    </row>
    <row r="828" spans="1:16" ht="12.75" customHeight="1">
      <c r="A828" s="10"/>
      <c r="B828" s="10"/>
      <c r="D828" s="3"/>
      <c r="E828" s="119" t="s">
        <v>3158</v>
      </c>
      <c r="F828" s="9">
        <v>62.2</v>
      </c>
      <c r="G828" s="1" t="s">
        <v>1878</v>
      </c>
      <c r="H828" s="1">
        <v>3</v>
      </c>
      <c r="I828" s="6">
        <v>2.15</v>
      </c>
      <c r="J828" s="1">
        <f t="shared" si="57"/>
        <v>6.4499999999999993</v>
      </c>
    </row>
    <row r="829" spans="1:16" ht="12.75" customHeight="1">
      <c r="A829" s="10"/>
      <c r="B829" s="10"/>
      <c r="D829" s="3"/>
      <c r="E829" s="119" t="s">
        <v>3157</v>
      </c>
      <c r="F829" s="9">
        <v>60.8</v>
      </c>
      <c r="G829" s="1" t="s">
        <v>1879</v>
      </c>
      <c r="H829" s="1">
        <v>3</v>
      </c>
      <c r="I829" s="6">
        <v>2.15</v>
      </c>
      <c r="J829" s="1">
        <f t="shared" si="57"/>
        <v>6.4499999999999993</v>
      </c>
    </row>
    <row r="830" spans="1:16" ht="12.75" customHeight="1">
      <c r="A830" s="10"/>
      <c r="B830" s="10"/>
      <c r="D830" s="3"/>
      <c r="E830" s="119" t="s">
        <v>2829</v>
      </c>
      <c r="F830" s="9">
        <v>58.6</v>
      </c>
      <c r="G830" s="1" t="s">
        <v>1880</v>
      </c>
      <c r="H830" s="1">
        <v>3</v>
      </c>
      <c r="I830" s="6">
        <v>2.15</v>
      </c>
      <c r="J830" s="1">
        <f t="shared" si="57"/>
        <v>6.4499999999999993</v>
      </c>
    </row>
    <row r="831" spans="1:16" ht="12.75" customHeight="1">
      <c r="A831" s="10"/>
      <c r="B831" s="10"/>
      <c r="D831" s="3"/>
      <c r="E831" s="119" t="s">
        <v>2830</v>
      </c>
      <c r="F831" s="9">
        <v>82.4</v>
      </c>
      <c r="G831" s="1" t="s">
        <v>1881</v>
      </c>
      <c r="H831" s="1">
        <v>3</v>
      </c>
      <c r="I831" s="6">
        <v>2.15</v>
      </c>
      <c r="J831" s="1">
        <f t="shared" si="57"/>
        <v>6.4499999999999993</v>
      </c>
    </row>
    <row r="832" spans="1:16" ht="12.75" customHeight="1">
      <c r="A832" s="10"/>
      <c r="B832" s="10"/>
      <c r="D832" s="3"/>
      <c r="E832" s="119" t="s">
        <v>3159</v>
      </c>
      <c r="F832" s="9">
        <v>78.8</v>
      </c>
      <c r="G832" s="1" t="s">
        <v>1882</v>
      </c>
      <c r="H832" s="1">
        <v>3</v>
      </c>
      <c r="I832" s="6">
        <v>2.15</v>
      </c>
      <c r="J832" s="1">
        <f t="shared" si="57"/>
        <v>6.4499999999999993</v>
      </c>
    </row>
    <row r="833" spans="1:16" s="4" customFormat="1" ht="12.75" customHeight="1">
      <c r="A833" s="12"/>
      <c r="B833" s="12"/>
      <c r="D833" s="5"/>
      <c r="E833" s="114"/>
      <c r="F833" s="5"/>
      <c r="H833" s="4">
        <f>SUM(H820:H832)</f>
        <v>53</v>
      </c>
      <c r="J833" s="4">
        <f>SUM(J820:J832)</f>
        <v>110.15000000000002</v>
      </c>
      <c r="K833" s="4">
        <v>9.1</v>
      </c>
      <c r="L833" s="4">
        <v>-110.99</v>
      </c>
      <c r="N833" s="4">
        <v>-8.26</v>
      </c>
      <c r="O833" s="4">
        <f>SUM(J833:N833)</f>
        <v>1.9539925233402755E-14</v>
      </c>
      <c r="P833" s="13" t="s">
        <v>3007</v>
      </c>
    </row>
    <row r="834" spans="1:16" ht="12.75" customHeight="1">
      <c r="A834" s="10">
        <v>43834</v>
      </c>
      <c r="B834" s="10">
        <v>43837</v>
      </c>
      <c r="C834" s="7" t="s">
        <v>1875</v>
      </c>
      <c r="D834" s="3"/>
      <c r="E834" s="115">
        <v>209.01</v>
      </c>
      <c r="G834" s="1" t="s">
        <v>1888</v>
      </c>
      <c r="H834" s="1">
        <v>3</v>
      </c>
      <c r="I834" s="6">
        <v>3.4</v>
      </c>
      <c r="J834" s="1">
        <f t="shared" ref="J834:J843" si="58">H834*I834</f>
        <v>10.199999999999999</v>
      </c>
    </row>
    <row r="835" spans="1:16" ht="12.75" customHeight="1">
      <c r="A835" s="10"/>
      <c r="B835" s="10"/>
      <c r="D835" s="3"/>
      <c r="E835" s="115">
        <v>209.02</v>
      </c>
      <c r="G835" s="1" t="s">
        <v>1889</v>
      </c>
      <c r="H835" s="1">
        <v>3</v>
      </c>
      <c r="I835" s="6">
        <v>3.4</v>
      </c>
      <c r="J835" s="1">
        <f t="shared" si="58"/>
        <v>10.199999999999999</v>
      </c>
    </row>
    <row r="836" spans="1:16" ht="12.75" customHeight="1">
      <c r="A836" s="10"/>
      <c r="B836" s="10"/>
      <c r="D836" s="3"/>
      <c r="E836" s="115">
        <v>209.03</v>
      </c>
      <c r="G836" s="1" t="s">
        <v>1890</v>
      </c>
      <c r="H836" s="1">
        <v>3</v>
      </c>
      <c r="I836" s="6">
        <v>3.4</v>
      </c>
      <c r="J836" s="1">
        <f t="shared" si="58"/>
        <v>10.199999999999999</v>
      </c>
    </row>
    <row r="837" spans="1:16" ht="12.75" customHeight="1">
      <c r="A837" s="10"/>
      <c r="B837" s="10"/>
      <c r="D837" s="3"/>
      <c r="E837" s="115">
        <v>209.04</v>
      </c>
      <c r="G837" s="1" t="s">
        <v>1891</v>
      </c>
      <c r="H837" s="1">
        <v>3</v>
      </c>
      <c r="I837" s="6">
        <v>3.4</v>
      </c>
      <c r="J837" s="1">
        <f t="shared" si="58"/>
        <v>10.199999999999999</v>
      </c>
    </row>
    <row r="838" spans="1:16" ht="12.75" customHeight="1">
      <c r="A838" s="10"/>
      <c r="B838" s="10"/>
      <c r="D838" s="3"/>
      <c r="E838" s="115">
        <v>209.05</v>
      </c>
      <c r="G838" s="1" t="s">
        <v>1892</v>
      </c>
      <c r="H838" s="1">
        <v>3</v>
      </c>
      <c r="I838" s="6">
        <v>3.4</v>
      </c>
      <c r="J838" s="1">
        <f t="shared" si="58"/>
        <v>10.199999999999999</v>
      </c>
    </row>
    <row r="839" spans="1:16" ht="12.75" customHeight="1">
      <c r="A839" s="10"/>
      <c r="B839" s="10"/>
      <c r="D839" s="3"/>
      <c r="E839" s="115">
        <v>209.06</v>
      </c>
      <c r="G839" s="1" t="s">
        <v>1876</v>
      </c>
      <c r="H839" s="1">
        <v>3</v>
      </c>
      <c r="I839" s="6">
        <v>3.4</v>
      </c>
      <c r="J839" s="1">
        <f t="shared" si="58"/>
        <v>10.199999999999999</v>
      </c>
    </row>
    <row r="840" spans="1:16" ht="12.75" customHeight="1">
      <c r="A840" s="10"/>
      <c r="B840" s="10"/>
      <c r="D840" s="3"/>
      <c r="E840" s="115">
        <v>209.07</v>
      </c>
      <c r="G840" s="1" t="s">
        <v>1893</v>
      </c>
      <c r="H840" s="1">
        <v>3</v>
      </c>
      <c r="I840" s="6">
        <v>3.4</v>
      </c>
      <c r="J840" s="1">
        <f t="shared" si="58"/>
        <v>10.199999999999999</v>
      </c>
    </row>
    <row r="841" spans="1:16" ht="12.75" customHeight="1">
      <c r="A841" s="10"/>
      <c r="B841" s="10"/>
      <c r="D841" s="3"/>
      <c r="E841" s="115">
        <v>209.08</v>
      </c>
      <c r="G841" s="1" t="s">
        <v>1894</v>
      </c>
      <c r="H841" s="1">
        <v>3</v>
      </c>
      <c r="I841" s="6">
        <v>3.4</v>
      </c>
      <c r="J841" s="1">
        <f t="shared" si="58"/>
        <v>10.199999999999999</v>
      </c>
    </row>
    <row r="842" spans="1:16" ht="12.75" customHeight="1">
      <c r="A842" s="10"/>
      <c r="B842" s="10"/>
      <c r="D842" s="3"/>
      <c r="E842" s="115">
        <v>209.09</v>
      </c>
      <c r="G842" s="1" t="s">
        <v>1895</v>
      </c>
      <c r="H842" s="1">
        <v>3</v>
      </c>
      <c r="I842" s="6">
        <v>3.4</v>
      </c>
      <c r="J842" s="1">
        <f t="shared" si="58"/>
        <v>10.199999999999999</v>
      </c>
    </row>
    <row r="843" spans="1:16" ht="12.75" customHeight="1">
      <c r="A843" s="10"/>
      <c r="B843" s="10"/>
      <c r="D843" s="3"/>
      <c r="E843" s="117" t="s">
        <v>3008</v>
      </c>
      <c r="G843" s="1" t="s">
        <v>1896</v>
      </c>
      <c r="H843" s="1">
        <v>3</v>
      </c>
      <c r="I843" s="6">
        <v>3.4</v>
      </c>
      <c r="J843" s="1">
        <f t="shared" si="58"/>
        <v>10.199999999999999</v>
      </c>
    </row>
    <row r="844" spans="1:16" s="4" customFormat="1" ht="12.75" customHeight="1">
      <c r="A844" s="12"/>
      <c r="B844" s="12"/>
      <c r="D844" s="5"/>
      <c r="E844" s="114"/>
      <c r="F844" s="5"/>
      <c r="H844" s="4">
        <f>SUM(H834:H843)</f>
        <v>30</v>
      </c>
      <c r="J844" s="4">
        <f>SUM(J834:J843)</f>
        <v>102.00000000000001</v>
      </c>
      <c r="K844" s="4">
        <v>0</v>
      </c>
      <c r="L844" s="4">
        <v>-102</v>
      </c>
      <c r="O844" s="4">
        <f>SUM(J844:N844)</f>
        <v>0</v>
      </c>
      <c r="P844" s="13" t="s">
        <v>3009</v>
      </c>
    </row>
    <row r="845" spans="1:16" ht="12.75" customHeight="1">
      <c r="A845" s="10">
        <v>43834</v>
      </c>
      <c r="B845" s="10"/>
      <c r="C845" s="7" t="s">
        <v>1897</v>
      </c>
      <c r="D845" s="3"/>
      <c r="E845" s="119" t="s">
        <v>3010</v>
      </c>
      <c r="F845" s="9">
        <v>6.7</v>
      </c>
      <c r="G845" s="1" t="s">
        <v>1898</v>
      </c>
      <c r="H845" s="1">
        <f>3*8</f>
        <v>24</v>
      </c>
      <c r="I845" s="6">
        <f>4.5/8</f>
        <v>0.5625</v>
      </c>
      <c r="J845" s="1">
        <f>H845*I845</f>
        <v>13.5</v>
      </c>
    </row>
    <row r="846" spans="1:16" ht="12.75" customHeight="1">
      <c r="A846" s="10"/>
      <c r="B846" s="10"/>
      <c r="D846" s="3"/>
      <c r="E846" s="119" t="s">
        <v>3011</v>
      </c>
      <c r="F846" s="9">
        <v>6.8</v>
      </c>
      <c r="G846" s="1" t="s">
        <v>1899</v>
      </c>
      <c r="H846" s="1">
        <f>3*8</f>
        <v>24</v>
      </c>
      <c r="I846" s="6">
        <f>4.5/8</f>
        <v>0.5625</v>
      </c>
      <c r="J846" s="1">
        <f>H846*I846</f>
        <v>13.5</v>
      </c>
    </row>
    <row r="847" spans="1:16" ht="12.75" customHeight="1">
      <c r="A847" s="10"/>
      <c r="B847" s="10"/>
      <c r="D847" s="3"/>
      <c r="E847" s="119" t="s">
        <v>3012</v>
      </c>
      <c r="F847" s="9">
        <v>11.8</v>
      </c>
      <c r="G847" s="1" t="s">
        <v>1900</v>
      </c>
      <c r="H847" s="1">
        <f>3*8</f>
        <v>24</v>
      </c>
      <c r="I847" s="6">
        <f>8/8</f>
        <v>1</v>
      </c>
      <c r="J847" s="1">
        <f>H847*I847</f>
        <v>24</v>
      </c>
    </row>
    <row r="848" spans="1:16" ht="12.75" customHeight="1">
      <c r="A848" s="10"/>
      <c r="B848" s="10"/>
      <c r="D848" s="3"/>
      <c r="E848" s="119" t="s">
        <v>3013</v>
      </c>
      <c r="F848" s="9">
        <v>11.2</v>
      </c>
      <c r="G848" s="1" t="s">
        <v>1901</v>
      </c>
      <c r="H848" s="1">
        <f>3*8</f>
        <v>24</v>
      </c>
      <c r="I848" s="6">
        <f>8/8</f>
        <v>1</v>
      </c>
      <c r="J848" s="1">
        <f>H848*I848</f>
        <v>24</v>
      </c>
    </row>
    <row r="849" spans="1:16" ht="12.75" customHeight="1">
      <c r="A849" s="10"/>
      <c r="B849" s="10"/>
      <c r="D849" s="3"/>
      <c r="E849" s="119" t="s">
        <v>3154</v>
      </c>
      <c r="F849" s="9">
        <v>13.3</v>
      </c>
      <c r="G849" s="105" t="s">
        <v>3155</v>
      </c>
      <c r="H849" s="1">
        <v>4</v>
      </c>
      <c r="I849" s="127">
        <v>0</v>
      </c>
      <c r="J849" s="1">
        <f>H849*I849</f>
        <v>0</v>
      </c>
    </row>
    <row r="850" spans="1:16" s="4" customFormat="1" ht="12.75" customHeight="1">
      <c r="A850" s="12"/>
      <c r="B850" s="12"/>
      <c r="D850" s="5"/>
      <c r="E850" s="114"/>
      <c r="F850" s="5"/>
      <c r="H850" s="4">
        <f>SUM(H845:H849)</f>
        <v>100</v>
      </c>
      <c r="J850" s="4">
        <f>SUM(J845:J849)</f>
        <v>75</v>
      </c>
      <c r="K850" s="4">
        <v>7</v>
      </c>
      <c r="L850" s="4">
        <v>-82</v>
      </c>
      <c r="O850" s="4">
        <f>SUM(J850:N850)</f>
        <v>0</v>
      </c>
      <c r="P850" s="13" t="s">
        <v>3014</v>
      </c>
    </row>
    <row r="851" spans="1:16" ht="12.75" customHeight="1">
      <c r="A851" s="10">
        <v>43834</v>
      </c>
      <c r="B851" s="10">
        <v>43837</v>
      </c>
      <c r="C851" s="7" t="s">
        <v>1902</v>
      </c>
      <c r="D851" s="3"/>
      <c r="E851" s="115">
        <v>211.01</v>
      </c>
      <c r="F851" s="9">
        <f>118.2</f>
        <v>118.2</v>
      </c>
      <c r="G851" s="1" t="s">
        <v>1903</v>
      </c>
      <c r="H851" s="1">
        <v>5</v>
      </c>
      <c r="I851" s="6">
        <v>3</v>
      </c>
      <c r="J851" s="1">
        <f>H851*I851</f>
        <v>15</v>
      </c>
    </row>
    <row r="852" spans="1:16" ht="12.75" customHeight="1">
      <c r="A852" s="10"/>
      <c r="B852" s="10"/>
      <c r="D852" s="3"/>
      <c r="E852" s="115">
        <v>211.02</v>
      </c>
      <c r="F852" s="9">
        <f>118.2</f>
        <v>118.2</v>
      </c>
      <c r="G852" s="1" t="s">
        <v>1904</v>
      </c>
      <c r="H852" s="1">
        <v>5</v>
      </c>
      <c r="I852" s="6">
        <v>3</v>
      </c>
      <c r="J852" s="1">
        <f>H852*I852</f>
        <v>15</v>
      </c>
    </row>
    <row r="853" spans="1:16" ht="12.75" customHeight="1">
      <c r="A853" s="10"/>
      <c r="B853" s="10"/>
      <c r="D853" s="3"/>
      <c r="E853" s="115">
        <v>211.03</v>
      </c>
      <c r="F853" s="9">
        <f>118.2</f>
        <v>118.2</v>
      </c>
      <c r="G853" s="1" t="s">
        <v>1905</v>
      </c>
      <c r="H853" s="1">
        <v>5</v>
      </c>
      <c r="I853" s="6">
        <v>3</v>
      </c>
      <c r="J853" s="1">
        <f>H853*I853</f>
        <v>15</v>
      </c>
    </row>
    <row r="854" spans="1:16" ht="12.75" customHeight="1">
      <c r="A854" s="10"/>
      <c r="B854" s="10"/>
      <c r="D854" s="3"/>
      <c r="E854" s="115">
        <v>211.04</v>
      </c>
      <c r="F854" s="9">
        <f>118.2</f>
        <v>118.2</v>
      </c>
      <c r="G854" s="1" t="s">
        <v>1906</v>
      </c>
      <c r="H854" s="1">
        <v>5</v>
      </c>
      <c r="I854" s="6">
        <v>3</v>
      </c>
      <c r="J854" s="1">
        <f>H854*I854</f>
        <v>15</v>
      </c>
    </row>
    <row r="855" spans="1:16" s="4" customFormat="1" ht="12.75" customHeight="1">
      <c r="A855" s="12"/>
      <c r="B855" s="12"/>
      <c r="D855" s="5"/>
      <c r="E855" s="114"/>
      <c r="F855" s="5"/>
      <c r="H855" s="4">
        <f>SUM(H851:H854)</f>
        <v>20</v>
      </c>
      <c r="J855" s="4">
        <f>SUM(J851:J854)</f>
        <v>60</v>
      </c>
      <c r="K855" s="4">
        <v>8</v>
      </c>
      <c r="L855" s="4">
        <v>-68</v>
      </c>
      <c r="O855" s="4">
        <f>SUM(J855:N855)</f>
        <v>0</v>
      </c>
      <c r="P855" s="13" t="s">
        <v>3015</v>
      </c>
    </row>
    <row r="856" spans="1:16" ht="12.75" customHeight="1">
      <c r="A856" s="10">
        <v>43834</v>
      </c>
      <c r="B856" s="10">
        <v>43837</v>
      </c>
      <c r="C856" s="7" t="s">
        <v>1907</v>
      </c>
      <c r="D856" s="3"/>
      <c r="E856" s="115">
        <v>262.41000000000003</v>
      </c>
      <c r="F856" s="9">
        <f>330/10</f>
        <v>33</v>
      </c>
      <c r="G856" s="1" t="s">
        <v>4037</v>
      </c>
      <c r="H856" s="1">
        <v>20</v>
      </c>
      <c r="I856" s="6">
        <v>1.28</v>
      </c>
      <c r="J856" s="1">
        <f>H856*I856</f>
        <v>25.6</v>
      </c>
    </row>
    <row r="857" spans="1:16" s="4" customFormat="1" ht="12.75" customHeight="1">
      <c r="A857" s="12"/>
      <c r="B857" s="12"/>
      <c r="D857" s="5"/>
      <c r="E857" s="114"/>
      <c r="F857" s="5"/>
      <c r="H857" s="4">
        <f>SUM(H856:H856)</f>
        <v>20</v>
      </c>
      <c r="J857" s="4">
        <f>SUM(J856:J856)</f>
        <v>25.6</v>
      </c>
      <c r="K857" s="4">
        <v>9</v>
      </c>
      <c r="L857" s="4">
        <v>-29.6</v>
      </c>
      <c r="N857" s="4">
        <v>-5</v>
      </c>
      <c r="O857" s="4">
        <f>SUM(J857:N857)</f>
        <v>0</v>
      </c>
      <c r="P857" s="13" t="s">
        <v>3016</v>
      </c>
    </row>
    <row r="858" spans="1:16" ht="12.75" customHeight="1">
      <c r="A858" s="10">
        <v>43836</v>
      </c>
      <c r="B858" s="10"/>
      <c r="C858" s="7" t="s">
        <v>2318</v>
      </c>
      <c r="D858" s="3"/>
      <c r="E858" s="128" t="s">
        <v>3017</v>
      </c>
      <c r="F858" s="9">
        <v>13</v>
      </c>
      <c r="G858" s="1" t="s">
        <v>3359</v>
      </c>
      <c r="H858" s="1">
        <v>3</v>
      </c>
      <c r="I858" s="6">
        <v>2.2000000000000002</v>
      </c>
      <c r="J858" s="1">
        <f t="shared" ref="J858:J879" si="59">H858*I858</f>
        <v>6.6000000000000005</v>
      </c>
    </row>
    <row r="859" spans="1:16" ht="12.75" customHeight="1">
      <c r="A859" s="10"/>
      <c r="B859" s="10"/>
      <c r="D859" s="3"/>
      <c r="E859" s="128" t="s">
        <v>3018</v>
      </c>
      <c r="F859" s="9">
        <v>13</v>
      </c>
      <c r="G859" s="1" t="s">
        <v>3360</v>
      </c>
      <c r="H859" s="1">
        <v>3</v>
      </c>
      <c r="I859" s="6">
        <v>2.2000000000000002</v>
      </c>
      <c r="J859" s="1">
        <f t="shared" si="59"/>
        <v>6.6000000000000005</v>
      </c>
    </row>
    <row r="860" spans="1:16" ht="12.75" customHeight="1">
      <c r="A860" s="10"/>
      <c r="B860" s="10"/>
      <c r="D860" s="3"/>
      <c r="E860" s="128" t="s">
        <v>3019</v>
      </c>
      <c r="F860" s="9">
        <v>13</v>
      </c>
      <c r="G860" s="1" t="s">
        <v>3361</v>
      </c>
      <c r="H860" s="1">
        <v>3</v>
      </c>
      <c r="I860" s="6">
        <v>2.2000000000000002</v>
      </c>
      <c r="J860" s="1">
        <f t="shared" si="59"/>
        <v>6.6000000000000005</v>
      </c>
    </row>
    <row r="861" spans="1:16" ht="12.75" customHeight="1">
      <c r="A861" s="10"/>
      <c r="B861" s="10"/>
      <c r="D861" s="3"/>
      <c r="E861" s="128" t="s">
        <v>3020</v>
      </c>
      <c r="F861" s="9">
        <v>13</v>
      </c>
      <c r="G861" s="1" t="s">
        <v>3362</v>
      </c>
      <c r="H861" s="1">
        <v>3</v>
      </c>
      <c r="I861" s="6">
        <v>2.2000000000000002</v>
      </c>
      <c r="J861" s="1">
        <f t="shared" si="59"/>
        <v>6.6000000000000005</v>
      </c>
    </row>
    <row r="862" spans="1:16" ht="12.75" customHeight="1">
      <c r="A862" s="10"/>
      <c r="B862" s="10"/>
      <c r="D862" s="3"/>
      <c r="E862" s="128" t="s">
        <v>3021</v>
      </c>
      <c r="F862" s="9">
        <v>13</v>
      </c>
      <c r="G862" s="1" t="s">
        <v>3363</v>
      </c>
      <c r="H862" s="1">
        <v>3</v>
      </c>
      <c r="I862" s="6">
        <v>2.2000000000000002</v>
      </c>
      <c r="J862" s="1">
        <f t="shared" si="59"/>
        <v>6.6000000000000005</v>
      </c>
    </row>
    <row r="863" spans="1:16" ht="12.75" customHeight="1">
      <c r="A863" s="10"/>
      <c r="B863" s="10"/>
      <c r="D863" s="3"/>
      <c r="E863" s="128" t="s">
        <v>3022</v>
      </c>
      <c r="F863" s="9">
        <v>13</v>
      </c>
      <c r="G863" s="1" t="s">
        <v>3364</v>
      </c>
      <c r="H863" s="1">
        <v>3</v>
      </c>
      <c r="I863" s="6">
        <v>2.2000000000000002</v>
      </c>
      <c r="J863" s="1">
        <f t="shared" si="59"/>
        <v>6.6000000000000005</v>
      </c>
    </row>
    <row r="864" spans="1:16" ht="12.75" customHeight="1">
      <c r="A864" s="10"/>
      <c r="B864" s="10"/>
      <c r="D864" s="3"/>
      <c r="E864" s="128" t="s">
        <v>3023</v>
      </c>
      <c r="F864" s="9">
        <v>13</v>
      </c>
      <c r="G864" s="1" t="s">
        <v>3365</v>
      </c>
      <c r="H864" s="1">
        <v>3</v>
      </c>
      <c r="I864" s="6">
        <v>2.2000000000000002</v>
      </c>
      <c r="J864" s="1">
        <f t="shared" si="59"/>
        <v>6.6000000000000005</v>
      </c>
    </row>
    <row r="865" spans="1:16" ht="12.75" customHeight="1">
      <c r="A865" s="10"/>
      <c r="B865" s="10"/>
      <c r="D865" s="3"/>
      <c r="E865" s="128" t="s">
        <v>3024</v>
      </c>
      <c r="F865" s="9">
        <v>13</v>
      </c>
      <c r="G865" s="1" t="s">
        <v>3366</v>
      </c>
      <c r="H865" s="1">
        <v>3</v>
      </c>
      <c r="I865" s="6">
        <v>2.2000000000000002</v>
      </c>
      <c r="J865" s="1">
        <f t="shared" si="59"/>
        <v>6.6000000000000005</v>
      </c>
    </row>
    <row r="866" spans="1:16" ht="12.75" customHeight="1">
      <c r="A866" s="10"/>
      <c r="B866" s="10"/>
      <c r="D866" s="3"/>
      <c r="E866" s="128" t="s">
        <v>3025</v>
      </c>
      <c r="F866" s="9">
        <v>13</v>
      </c>
      <c r="G866" s="1" t="s">
        <v>3367</v>
      </c>
      <c r="H866" s="1">
        <v>3</v>
      </c>
      <c r="I866" s="6">
        <v>2.2000000000000002</v>
      </c>
      <c r="J866" s="1">
        <f t="shared" si="59"/>
        <v>6.6000000000000005</v>
      </c>
    </row>
    <row r="867" spans="1:16" ht="12.75" customHeight="1">
      <c r="A867" s="10"/>
      <c r="B867" s="10"/>
      <c r="D867" s="3"/>
      <c r="E867" s="128" t="s">
        <v>3026</v>
      </c>
      <c r="F867" s="9">
        <v>13</v>
      </c>
      <c r="G867" s="1" t="s">
        <v>3368</v>
      </c>
      <c r="H867" s="1">
        <v>3</v>
      </c>
      <c r="I867" s="6">
        <v>2.2000000000000002</v>
      </c>
      <c r="J867" s="1">
        <f t="shared" si="59"/>
        <v>6.6000000000000005</v>
      </c>
    </row>
    <row r="868" spans="1:16" ht="12.75" customHeight="1">
      <c r="A868" s="10"/>
      <c r="B868" s="10"/>
      <c r="D868" s="3"/>
      <c r="E868" s="128" t="s">
        <v>3027</v>
      </c>
      <c r="F868" s="9">
        <v>13</v>
      </c>
      <c r="G868" s="138" t="s">
        <v>3369</v>
      </c>
      <c r="H868" s="1">
        <v>3</v>
      </c>
      <c r="I868" s="6">
        <v>2.2000000000000002</v>
      </c>
      <c r="J868" s="1">
        <f t="shared" si="59"/>
        <v>6.6000000000000005</v>
      </c>
    </row>
    <row r="869" spans="1:16" ht="12.75" customHeight="1">
      <c r="A869" s="10"/>
      <c r="B869" s="10"/>
      <c r="D869" s="3"/>
      <c r="E869" s="128" t="s">
        <v>3028</v>
      </c>
      <c r="F869" s="9">
        <v>13</v>
      </c>
      <c r="G869" s="1" t="s">
        <v>3370</v>
      </c>
      <c r="H869" s="1">
        <v>3</v>
      </c>
      <c r="I869" s="6">
        <v>2.2000000000000002</v>
      </c>
      <c r="J869" s="1">
        <f t="shared" si="59"/>
        <v>6.6000000000000005</v>
      </c>
    </row>
    <row r="870" spans="1:16" ht="12.75" customHeight="1">
      <c r="A870" s="10"/>
      <c r="B870" s="10"/>
      <c r="D870" s="3"/>
      <c r="E870" s="128" t="s">
        <v>3029</v>
      </c>
      <c r="F870" s="9">
        <v>13</v>
      </c>
      <c r="G870" s="1" t="s">
        <v>3371</v>
      </c>
      <c r="H870" s="1">
        <v>3</v>
      </c>
      <c r="I870" s="6">
        <v>2.2000000000000002</v>
      </c>
      <c r="J870" s="1">
        <f t="shared" si="59"/>
        <v>6.6000000000000005</v>
      </c>
    </row>
    <row r="871" spans="1:16" ht="12.75" customHeight="1">
      <c r="A871" s="10"/>
      <c r="B871" s="10"/>
      <c r="D871" s="3"/>
      <c r="E871" s="128" t="s">
        <v>3030</v>
      </c>
      <c r="F871" s="9">
        <v>13</v>
      </c>
      <c r="G871" s="1" t="s">
        <v>3372</v>
      </c>
      <c r="H871" s="1">
        <v>3</v>
      </c>
      <c r="I871" s="6">
        <v>2.2000000000000002</v>
      </c>
      <c r="J871" s="1">
        <f t="shared" si="59"/>
        <v>6.6000000000000005</v>
      </c>
    </row>
    <row r="872" spans="1:16" ht="12.75" customHeight="1">
      <c r="A872" s="10"/>
      <c r="B872" s="10"/>
      <c r="D872" s="3"/>
      <c r="E872" s="128" t="s">
        <v>3031</v>
      </c>
      <c r="F872" s="9">
        <v>13</v>
      </c>
      <c r="G872" s="1" t="s">
        <v>3373</v>
      </c>
      <c r="H872" s="1">
        <v>3</v>
      </c>
      <c r="I872" s="6">
        <v>2.2000000000000002</v>
      </c>
      <c r="J872" s="1">
        <f t="shared" si="59"/>
        <v>6.6000000000000005</v>
      </c>
    </row>
    <row r="873" spans="1:16" ht="12.75" customHeight="1">
      <c r="A873" s="10"/>
      <c r="B873" s="10"/>
      <c r="D873" s="3"/>
      <c r="E873" s="128" t="s">
        <v>3032</v>
      </c>
      <c r="F873" s="9">
        <v>13</v>
      </c>
      <c r="G873" s="1" t="s">
        <v>3374</v>
      </c>
      <c r="H873" s="1">
        <v>3</v>
      </c>
      <c r="I873" s="6">
        <v>2.2000000000000002</v>
      </c>
      <c r="J873" s="1">
        <f t="shared" si="59"/>
        <v>6.6000000000000005</v>
      </c>
    </row>
    <row r="874" spans="1:16" ht="12.75" customHeight="1">
      <c r="A874" s="10"/>
      <c r="B874" s="10"/>
      <c r="D874" s="3"/>
      <c r="E874" s="128" t="s">
        <v>3033</v>
      </c>
      <c r="F874" s="9">
        <v>13</v>
      </c>
      <c r="G874" s="1" t="s">
        <v>3375</v>
      </c>
      <c r="H874" s="1">
        <v>3</v>
      </c>
      <c r="I874" s="6">
        <v>2.2000000000000002</v>
      </c>
      <c r="J874" s="1">
        <f t="shared" si="59"/>
        <v>6.6000000000000005</v>
      </c>
    </row>
    <row r="875" spans="1:16" ht="12.75" customHeight="1">
      <c r="A875" s="10"/>
      <c r="B875" s="10"/>
      <c r="D875" s="3"/>
      <c r="E875" s="128" t="s">
        <v>3034</v>
      </c>
      <c r="F875" s="9">
        <v>13</v>
      </c>
      <c r="G875" s="1" t="s">
        <v>3376</v>
      </c>
      <c r="H875" s="1">
        <v>3</v>
      </c>
      <c r="I875" s="6">
        <v>2.2000000000000002</v>
      </c>
      <c r="J875" s="1">
        <f t="shared" si="59"/>
        <v>6.6000000000000005</v>
      </c>
    </row>
    <row r="876" spans="1:16" ht="12.75" customHeight="1">
      <c r="A876" s="10"/>
      <c r="B876" s="10"/>
      <c r="D876" s="3"/>
      <c r="E876" s="128" t="s">
        <v>3035</v>
      </c>
      <c r="F876" s="9">
        <v>13</v>
      </c>
      <c r="G876" s="1" t="s">
        <v>3377</v>
      </c>
      <c r="H876" s="1">
        <v>3</v>
      </c>
      <c r="I876" s="6">
        <v>2.2000000000000002</v>
      </c>
      <c r="J876" s="1">
        <f t="shared" si="59"/>
        <v>6.6000000000000005</v>
      </c>
    </row>
    <row r="877" spans="1:16" ht="12.75" customHeight="1">
      <c r="A877" s="10"/>
      <c r="B877" s="10"/>
      <c r="D877" s="3"/>
      <c r="E877" s="128" t="s">
        <v>3036</v>
      </c>
      <c r="F877" s="9">
        <v>13</v>
      </c>
      <c r="G877" s="1" t="s">
        <v>3378</v>
      </c>
      <c r="H877" s="1">
        <v>3</v>
      </c>
      <c r="I877" s="6">
        <v>2.2000000000000002</v>
      </c>
      <c r="J877" s="1">
        <f t="shared" si="59"/>
        <v>6.6000000000000005</v>
      </c>
    </row>
    <row r="878" spans="1:16" ht="12.75" customHeight="1">
      <c r="A878" s="10"/>
      <c r="B878" s="10"/>
      <c r="D878" s="3"/>
      <c r="E878" s="128" t="s">
        <v>3037</v>
      </c>
      <c r="F878" s="9">
        <v>13</v>
      </c>
      <c r="G878" s="1" t="s">
        <v>3379</v>
      </c>
      <c r="H878" s="1">
        <v>3</v>
      </c>
      <c r="I878" s="6">
        <v>2.2000000000000002</v>
      </c>
      <c r="J878" s="1">
        <f t="shared" si="59"/>
        <v>6.6000000000000005</v>
      </c>
    </row>
    <row r="879" spans="1:16" ht="12.75" customHeight="1">
      <c r="A879" s="10"/>
      <c r="B879" s="10"/>
      <c r="D879" s="3"/>
      <c r="E879" s="128" t="s">
        <v>3038</v>
      </c>
      <c r="F879" s="9">
        <v>13</v>
      </c>
      <c r="G879" s="1" t="s">
        <v>3380</v>
      </c>
      <c r="H879" s="1">
        <v>3</v>
      </c>
      <c r="I879" s="6">
        <v>2.2000000000000002</v>
      </c>
      <c r="J879" s="1">
        <f t="shared" si="59"/>
        <v>6.6000000000000005</v>
      </c>
    </row>
    <row r="880" spans="1:16" s="4" customFormat="1" ht="12.75" customHeight="1">
      <c r="A880" s="12"/>
      <c r="B880" s="12"/>
      <c r="D880" s="5"/>
      <c r="E880" s="114"/>
      <c r="F880" s="5"/>
      <c r="H880" s="4">
        <f>SUM(H858:H879)</f>
        <v>66</v>
      </c>
      <c r="J880" s="4">
        <f>SUM(J858:J879)</f>
        <v>145.19999999999993</v>
      </c>
      <c r="K880" s="4">
        <v>7</v>
      </c>
      <c r="L880" s="4">
        <v>-147.03</v>
      </c>
      <c r="N880" s="4">
        <v>-5.17</v>
      </c>
      <c r="O880" s="4">
        <f>SUM(J880:N880)</f>
        <v>-6.9277916736609768E-14</v>
      </c>
      <c r="P880" s="13" t="s">
        <v>3039</v>
      </c>
    </row>
    <row r="881" spans="1:10" ht="12.75" customHeight="1">
      <c r="A881" s="10">
        <v>43836</v>
      </c>
      <c r="B881" s="10"/>
      <c r="C881" s="7" t="s">
        <v>2302</v>
      </c>
      <c r="D881" s="3"/>
      <c r="E881" s="152" t="s">
        <v>3143</v>
      </c>
      <c r="F881" s="9">
        <f>15.2/10</f>
        <v>1.52</v>
      </c>
      <c r="G881" s="1" t="s">
        <v>5909</v>
      </c>
      <c r="H881" s="1">
        <v>1</v>
      </c>
      <c r="I881" s="6">
        <v>72</v>
      </c>
      <c r="J881" s="1">
        <f>H881*I881</f>
        <v>72</v>
      </c>
    </row>
    <row r="882" spans="1:10" ht="12.75" customHeight="1">
      <c r="A882" s="10"/>
      <c r="B882" s="10"/>
      <c r="D882" s="3"/>
      <c r="E882" s="152" t="s">
        <v>3144</v>
      </c>
      <c r="F882" s="9">
        <f>14.8/10</f>
        <v>1.48</v>
      </c>
      <c r="G882" s="1" t="s">
        <v>2316</v>
      </c>
      <c r="H882" s="1">
        <v>1</v>
      </c>
      <c r="I882" s="6">
        <v>80</v>
      </c>
      <c r="J882" s="1">
        <f>H882*I882</f>
        <v>80</v>
      </c>
    </row>
    <row r="883" spans="1:10" ht="12.75" customHeight="1">
      <c r="A883" s="10"/>
      <c r="B883" s="10"/>
      <c r="D883" s="3"/>
      <c r="E883" s="152" t="s">
        <v>3145</v>
      </c>
      <c r="F883" s="9">
        <f>13.3/10</f>
        <v>1.33</v>
      </c>
      <c r="G883" s="1" t="s">
        <v>5910</v>
      </c>
      <c r="H883" s="1">
        <v>1</v>
      </c>
      <c r="I883" s="6">
        <v>13</v>
      </c>
      <c r="J883" s="1">
        <f>H883*I883</f>
        <v>13</v>
      </c>
    </row>
    <row r="884" spans="1:10" ht="12.75" customHeight="1">
      <c r="A884" s="10"/>
      <c r="B884" s="10"/>
      <c r="D884" s="3"/>
      <c r="E884" s="152" t="s">
        <v>3146</v>
      </c>
      <c r="F884" s="9">
        <f>15.1/10</f>
        <v>1.51</v>
      </c>
      <c r="G884" s="1" t="s">
        <v>2317</v>
      </c>
      <c r="H884" s="1">
        <v>1</v>
      </c>
      <c r="I884" s="6">
        <v>75</v>
      </c>
      <c r="J884" s="1">
        <f>H884*I884</f>
        <v>75</v>
      </c>
    </row>
    <row r="885" spans="1:10" ht="12.75" customHeight="1">
      <c r="A885" s="10"/>
      <c r="B885" s="10"/>
      <c r="D885" s="3"/>
      <c r="E885" s="113"/>
      <c r="G885" s="1"/>
      <c r="H885" s="1"/>
      <c r="I885" s="6"/>
      <c r="J885" s="1"/>
    </row>
    <row r="886" spans="1:10" ht="12.75" customHeight="1">
      <c r="A886" s="10"/>
      <c r="B886" s="10"/>
      <c r="D886" s="3"/>
      <c r="E886" s="151" t="s">
        <v>3602</v>
      </c>
      <c r="G886" s="1" t="s">
        <v>5907</v>
      </c>
      <c r="H886" s="51">
        <v>100</v>
      </c>
      <c r="I886" s="6">
        <v>0.1</v>
      </c>
      <c r="J886" s="1">
        <f t="shared" ref="J886:J904" si="60">H886*I886</f>
        <v>10</v>
      </c>
    </row>
    <row r="887" spans="1:10" ht="12.75" customHeight="1">
      <c r="A887" s="10"/>
      <c r="B887" s="10"/>
      <c r="C887" s="3"/>
      <c r="D887" s="9">
        <f>138/F887</f>
        <v>102.22222222222221</v>
      </c>
      <c r="E887" s="151" t="s">
        <v>3603</v>
      </c>
      <c r="F887" s="9">
        <f>13.5/10</f>
        <v>1.35</v>
      </c>
      <c r="G887" s="1" t="s">
        <v>5908</v>
      </c>
      <c r="H887" s="1">
        <f t="shared" ref="H887:H892" si="61">600/6</f>
        <v>100</v>
      </c>
      <c r="I887" s="6">
        <v>0.09</v>
      </c>
      <c r="J887" s="1">
        <f t="shared" si="60"/>
        <v>9</v>
      </c>
    </row>
    <row r="888" spans="1:10" ht="12.75" customHeight="1">
      <c r="A888" s="10"/>
      <c r="B888" s="10"/>
      <c r="D888" s="3">
        <f>136.8/F888</f>
        <v>100.58823529411767</v>
      </c>
      <c r="E888" s="151" t="s">
        <v>3604</v>
      </c>
      <c r="F888" s="9">
        <f>13.6/10</f>
        <v>1.3599999999999999</v>
      </c>
      <c r="G888" s="143" t="s">
        <v>3594</v>
      </c>
      <c r="H888" s="1">
        <f t="shared" si="61"/>
        <v>100</v>
      </c>
      <c r="I888" s="6">
        <v>0.09</v>
      </c>
      <c r="J888" s="1">
        <f t="shared" si="60"/>
        <v>9</v>
      </c>
    </row>
    <row r="889" spans="1:10" ht="12.75" customHeight="1">
      <c r="A889" s="10"/>
      <c r="B889" s="10"/>
      <c r="D889" s="3"/>
      <c r="E889" s="151" t="s">
        <v>3605</v>
      </c>
      <c r="F889" s="9">
        <f>13.6/10</f>
        <v>1.3599999999999999</v>
      </c>
      <c r="G889" s="143" t="s">
        <v>3592</v>
      </c>
      <c r="H889" s="1">
        <f t="shared" si="61"/>
        <v>100</v>
      </c>
      <c r="I889" s="6">
        <v>0.09</v>
      </c>
      <c r="J889" s="1">
        <f t="shared" si="60"/>
        <v>9</v>
      </c>
    </row>
    <row r="890" spans="1:10" ht="12.75" customHeight="1">
      <c r="A890" s="10"/>
      <c r="B890" s="10"/>
      <c r="D890" s="3"/>
      <c r="E890" s="151" t="s">
        <v>3606</v>
      </c>
      <c r="F890" s="9">
        <f>13.6/10</f>
        <v>1.3599999999999999</v>
      </c>
      <c r="G890" s="143" t="s">
        <v>3593</v>
      </c>
      <c r="H890" s="1">
        <f t="shared" si="61"/>
        <v>100</v>
      </c>
      <c r="I890" s="6">
        <v>0.09</v>
      </c>
      <c r="J890" s="1">
        <f t="shared" si="60"/>
        <v>9</v>
      </c>
    </row>
    <row r="891" spans="1:10" ht="12.75" customHeight="1">
      <c r="A891" s="10"/>
      <c r="B891" s="10"/>
      <c r="D891" s="3"/>
      <c r="E891" s="151" t="s">
        <v>3607</v>
      </c>
      <c r="F891" s="9">
        <f>13.6/10</f>
        <v>1.3599999999999999</v>
      </c>
      <c r="G891" s="143" t="s">
        <v>3596</v>
      </c>
      <c r="H891" s="1">
        <f t="shared" si="61"/>
        <v>100</v>
      </c>
      <c r="I891" s="6">
        <v>0.09</v>
      </c>
      <c r="J891" s="1">
        <f t="shared" si="60"/>
        <v>9</v>
      </c>
    </row>
    <row r="892" spans="1:10" ht="12.75" customHeight="1">
      <c r="A892" s="10"/>
      <c r="B892" s="10"/>
      <c r="D892" s="3"/>
      <c r="E892" s="151" t="s">
        <v>3608</v>
      </c>
      <c r="F892" s="9">
        <f>13.6/10</f>
        <v>1.3599999999999999</v>
      </c>
      <c r="G892" s="143" t="s">
        <v>3616</v>
      </c>
      <c r="H892" s="1">
        <f t="shared" si="61"/>
        <v>100</v>
      </c>
      <c r="I892" s="6">
        <v>0.09</v>
      </c>
      <c r="J892" s="1">
        <f t="shared" si="60"/>
        <v>9</v>
      </c>
    </row>
    <row r="893" spans="1:10" ht="12.75" customHeight="1">
      <c r="A893" s="10"/>
      <c r="B893" s="10"/>
      <c r="D893" s="3"/>
      <c r="E893" s="151" t="s">
        <v>3609</v>
      </c>
      <c r="F893" s="9">
        <f t="shared" ref="F893:F898" si="62">80.5/50</f>
        <v>1.61</v>
      </c>
      <c r="G893" s="143" t="s">
        <v>3597</v>
      </c>
      <c r="H893" s="1">
        <v>50</v>
      </c>
      <c r="I893" s="6">
        <v>0.15</v>
      </c>
      <c r="J893" s="1">
        <f t="shared" si="60"/>
        <v>7.5</v>
      </c>
    </row>
    <row r="894" spans="1:10" ht="12.75" customHeight="1">
      <c r="A894" s="10"/>
      <c r="B894" s="10"/>
      <c r="D894" s="3"/>
      <c r="E894" s="151" t="s">
        <v>3610</v>
      </c>
      <c r="F894" s="9">
        <f t="shared" si="62"/>
        <v>1.61</v>
      </c>
      <c r="G894" s="1" t="s">
        <v>3598</v>
      </c>
      <c r="H894" s="1">
        <v>50</v>
      </c>
      <c r="I894" s="6">
        <v>0.15</v>
      </c>
      <c r="J894" s="1">
        <f t="shared" si="60"/>
        <v>7.5</v>
      </c>
    </row>
    <row r="895" spans="1:10" ht="12.75" customHeight="1">
      <c r="A895" s="10"/>
      <c r="B895" s="10"/>
      <c r="D895" s="3"/>
      <c r="E895" s="151" t="s">
        <v>3611</v>
      </c>
      <c r="F895" s="9">
        <f t="shared" si="62"/>
        <v>1.61</v>
      </c>
      <c r="G895" s="1" t="s">
        <v>3599</v>
      </c>
      <c r="H895" s="1">
        <v>50</v>
      </c>
      <c r="I895" s="6">
        <v>0.15</v>
      </c>
      <c r="J895" s="1">
        <f t="shared" si="60"/>
        <v>7.5</v>
      </c>
    </row>
    <row r="896" spans="1:10" ht="12.75" customHeight="1">
      <c r="A896" s="10"/>
      <c r="B896" s="10"/>
      <c r="D896" s="3"/>
      <c r="E896" s="151" t="s">
        <v>3612</v>
      </c>
      <c r="F896" s="9">
        <f t="shared" si="62"/>
        <v>1.61</v>
      </c>
      <c r="G896" s="123" t="s">
        <v>3868</v>
      </c>
      <c r="H896" s="1">
        <v>50</v>
      </c>
      <c r="I896" s="6">
        <v>0.15</v>
      </c>
      <c r="J896" s="1">
        <f t="shared" si="60"/>
        <v>7.5</v>
      </c>
    </row>
    <row r="897" spans="1:10" ht="12.75" customHeight="1">
      <c r="A897" s="10"/>
      <c r="B897" s="10"/>
      <c r="D897" s="3"/>
      <c r="E897" s="151" t="s">
        <v>3613</v>
      </c>
      <c r="F897" s="9">
        <f t="shared" si="62"/>
        <v>1.61</v>
      </c>
      <c r="G897" s="1" t="s">
        <v>3600</v>
      </c>
      <c r="H897" s="1">
        <v>50</v>
      </c>
      <c r="I897" s="6">
        <v>0.15</v>
      </c>
      <c r="J897" s="1">
        <f t="shared" si="60"/>
        <v>7.5</v>
      </c>
    </row>
    <row r="898" spans="1:10" ht="12.75" customHeight="1">
      <c r="A898" s="10"/>
      <c r="B898" s="10"/>
      <c r="D898" s="3"/>
      <c r="E898" s="151" t="s">
        <v>3614</v>
      </c>
      <c r="F898" s="9">
        <f t="shared" si="62"/>
        <v>1.61</v>
      </c>
      <c r="G898" s="1" t="s">
        <v>3601</v>
      </c>
      <c r="H898" s="1">
        <v>50</v>
      </c>
      <c r="I898" s="6">
        <v>0.15</v>
      </c>
      <c r="J898" s="1">
        <f t="shared" si="60"/>
        <v>7.5</v>
      </c>
    </row>
    <row r="899" spans="1:10" ht="12.75" customHeight="1">
      <c r="A899" s="10"/>
      <c r="B899" s="10"/>
      <c r="D899" s="3">
        <f>115.6/F899</f>
        <v>101.40350877192981</v>
      </c>
      <c r="E899" s="151" t="s">
        <v>3615</v>
      </c>
      <c r="F899" s="9">
        <f>11.4/10</f>
        <v>1.1400000000000001</v>
      </c>
      <c r="G899" s="1" t="s">
        <v>2303</v>
      </c>
      <c r="H899" s="1">
        <v>100</v>
      </c>
      <c r="I899" s="6">
        <v>0.08</v>
      </c>
      <c r="J899" s="1">
        <f t="shared" si="60"/>
        <v>8</v>
      </c>
    </row>
    <row r="900" spans="1:10" ht="12.75" customHeight="1">
      <c r="A900" s="10"/>
      <c r="B900" s="10"/>
      <c r="D900" s="3">
        <f>155.7/F900</f>
        <v>119.76923076923076</v>
      </c>
      <c r="E900" s="151" t="s">
        <v>3622</v>
      </c>
      <c r="F900" s="9">
        <f>13/10</f>
        <v>1.3</v>
      </c>
      <c r="G900" s="143" t="s">
        <v>3617</v>
      </c>
      <c r="H900" s="1">
        <f>600/5</f>
        <v>120</v>
      </c>
      <c r="I900" s="6">
        <v>7.0000000000000007E-2</v>
      </c>
      <c r="J900" s="1">
        <f t="shared" si="60"/>
        <v>8.4</v>
      </c>
    </row>
    <row r="901" spans="1:10" ht="12.75" customHeight="1">
      <c r="A901" s="10"/>
      <c r="B901" s="10"/>
      <c r="D901" s="3"/>
      <c r="E901" s="151" t="s">
        <v>3623</v>
      </c>
      <c r="F901" s="9">
        <f>14/10</f>
        <v>1.4</v>
      </c>
      <c r="G901" s="143" t="s">
        <v>3618</v>
      </c>
      <c r="H901" s="1">
        <f>600/5</f>
        <v>120</v>
      </c>
      <c r="I901" s="6">
        <v>7.0000000000000007E-2</v>
      </c>
      <c r="J901" s="1">
        <f t="shared" si="60"/>
        <v>8.4</v>
      </c>
    </row>
    <row r="902" spans="1:10" ht="12.75" customHeight="1">
      <c r="A902" s="10"/>
      <c r="B902" s="10"/>
      <c r="D902" s="3"/>
      <c r="E902" s="151" t="s">
        <v>3624</v>
      </c>
      <c r="F902" s="9">
        <f>14/10</f>
        <v>1.4</v>
      </c>
      <c r="G902" s="143" t="s">
        <v>3619</v>
      </c>
      <c r="H902" s="1">
        <f>600/5</f>
        <v>120</v>
      </c>
      <c r="I902" s="6">
        <v>7.0000000000000007E-2</v>
      </c>
      <c r="J902" s="1">
        <f t="shared" si="60"/>
        <v>8.4</v>
      </c>
    </row>
    <row r="903" spans="1:10" ht="12.75" customHeight="1">
      <c r="A903" s="10"/>
      <c r="B903" s="10"/>
      <c r="D903" s="3"/>
      <c r="E903" s="151" t="s">
        <v>3625</v>
      </c>
      <c r="F903" s="9">
        <f>14/10</f>
        <v>1.4</v>
      </c>
      <c r="G903" s="143" t="s">
        <v>3620</v>
      </c>
      <c r="H903" s="1">
        <f>600/5</f>
        <v>120</v>
      </c>
      <c r="I903" s="6">
        <v>7.0000000000000007E-2</v>
      </c>
      <c r="J903" s="1">
        <f t="shared" si="60"/>
        <v>8.4</v>
      </c>
    </row>
    <row r="904" spans="1:10" ht="12.75" customHeight="1">
      <c r="A904" s="10"/>
      <c r="B904" s="10"/>
      <c r="D904" s="3"/>
      <c r="E904" s="151" t="s">
        <v>3626</v>
      </c>
      <c r="F904" s="9">
        <f>14/10</f>
        <v>1.4</v>
      </c>
      <c r="G904" s="143" t="s">
        <v>3621</v>
      </c>
      <c r="H904" s="1">
        <f>600/5</f>
        <v>120</v>
      </c>
      <c r="I904" s="6">
        <v>7.0000000000000007E-2</v>
      </c>
      <c r="J904" s="1">
        <f t="shared" si="60"/>
        <v>8.4</v>
      </c>
    </row>
    <row r="905" spans="1:10" ht="12.75" customHeight="1">
      <c r="A905" s="10"/>
      <c r="B905" s="10"/>
      <c r="D905" s="3"/>
      <c r="E905" s="113"/>
      <c r="G905" s="1"/>
      <c r="H905" s="1"/>
      <c r="I905" s="6"/>
      <c r="J905" s="1"/>
    </row>
    <row r="906" spans="1:10" ht="12.75" customHeight="1">
      <c r="A906" s="10"/>
      <c r="B906" s="10"/>
      <c r="D906" s="3"/>
      <c r="E906" s="151" t="s">
        <v>3629</v>
      </c>
      <c r="F906" s="9">
        <v>30.5</v>
      </c>
      <c r="G906" s="143" t="s">
        <v>3628</v>
      </c>
      <c r="H906" s="1">
        <v>5</v>
      </c>
      <c r="I906" s="6">
        <v>0.6</v>
      </c>
      <c r="J906" s="1">
        <f t="shared" ref="J906:J911" si="63">H906*I906</f>
        <v>3</v>
      </c>
    </row>
    <row r="907" spans="1:10" ht="12.75" customHeight="1">
      <c r="A907" s="10"/>
      <c r="B907" s="10"/>
      <c r="D907" s="3"/>
      <c r="E907" s="151" t="s">
        <v>3630</v>
      </c>
      <c r="F907" s="9">
        <v>6.5</v>
      </c>
      <c r="G907" s="1" t="s">
        <v>2311</v>
      </c>
      <c r="H907" s="1">
        <v>5</v>
      </c>
      <c r="I907" s="6">
        <v>0.18</v>
      </c>
      <c r="J907" s="1">
        <f t="shared" si="63"/>
        <v>0.89999999999999991</v>
      </c>
    </row>
    <row r="908" spans="1:10" ht="12.75" customHeight="1">
      <c r="A908" s="10"/>
      <c r="B908" s="10"/>
      <c r="D908" s="3"/>
      <c r="E908" s="151" t="s">
        <v>3631</v>
      </c>
      <c r="F908" s="9">
        <v>18.3</v>
      </c>
      <c r="G908" s="143" t="s">
        <v>3627</v>
      </c>
      <c r="H908" s="1">
        <v>5</v>
      </c>
      <c r="I908" s="6">
        <v>2</v>
      </c>
      <c r="J908" s="1">
        <f t="shared" si="63"/>
        <v>10</v>
      </c>
    </row>
    <row r="909" spans="1:10" ht="12.75" customHeight="1">
      <c r="A909" s="10"/>
      <c r="B909" s="10"/>
      <c r="D909" s="3"/>
      <c r="E909" s="151" t="s">
        <v>3632</v>
      </c>
      <c r="F909" s="9">
        <v>9.6</v>
      </c>
      <c r="G909" s="143" t="s">
        <v>3642</v>
      </c>
      <c r="H909" s="1">
        <v>5</v>
      </c>
      <c r="I909" s="6">
        <v>1.6</v>
      </c>
      <c r="J909" s="1">
        <f t="shared" si="63"/>
        <v>8</v>
      </c>
    </row>
    <row r="910" spans="1:10" ht="12.75" customHeight="1">
      <c r="A910" s="10"/>
      <c r="B910" s="10"/>
      <c r="D910" s="3"/>
      <c r="E910" s="151" t="s">
        <v>3633</v>
      </c>
      <c r="F910" s="9">
        <v>10</v>
      </c>
      <c r="G910" s="154" t="s">
        <v>3643</v>
      </c>
      <c r="H910" s="1">
        <v>5</v>
      </c>
      <c r="I910" s="6">
        <v>0.45</v>
      </c>
      <c r="J910" s="1">
        <f t="shared" si="63"/>
        <v>2.25</v>
      </c>
    </row>
    <row r="911" spans="1:10" ht="12.75" customHeight="1">
      <c r="A911" s="10"/>
      <c r="B911" s="10"/>
      <c r="D911" s="3"/>
      <c r="E911" s="151" t="s">
        <v>3634</v>
      </c>
      <c r="F911" s="9">
        <v>10.8</v>
      </c>
      <c r="G911" s="154" t="s">
        <v>3641</v>
      </c>
      <c r="H911" s="1">
        <v>5</v>
      </c>
      <c r="I911" s="6">
        <v>1.6</v>
      </c>
      <c r="J911" s="1">
        <f t="shared" si="63"/>
        <v>8</v>
      </c>
    </row>
    <row r="912" spans="1:10" ht="12.75" customHeight="1">
      <c r="A912" s="10"/>
      <c r="B912" s="10"/>
      <c r="D912" s="3"/>
      <c r="E912" s="113"/>
      <c r="G912" s="1"/>
      <c r="H912" s="1"/>
      <c r="I912" s="6"/>
      <c r="J912" s="1"/>
    </row>
    <row r="913" spans="1:16" ht="12.75" customHeight="1">
      <c r="A913" s="10"/>
      <c r="B913" s="10"/>
      <c r="D913" s="3"/>
      <c r="E913" s="152" t="s">
        <v>3300</v>
      </c>
      <c r="F913" s="9">
        <f>7.8/10</f>
        <v>0.78</v>
      </c>
      <c r="G913" s="1" t="s">
        <v>2307</v>
      </c>
      <c r="H913" s="1">
        <v>1</v>
      </c>
      <c r="I913" s="6">
        <v>27</v>
      </c>
      <c r="J913" s="1">
        <f>H913*I913</f>
        <v>27</v>
      </c>
    </row>
    <row r="914" spans="1:16" ht="12.75" customHeight="1">
      <c r="A914" s="10"/>
      <c r="B914" s="10"/>
      <c r="D914" s="3"/>
      <c r="E914" s="113"/>
      <c r="G914" s="1"/>
      <c r="H914" s="1"/>
      <c r="I914" s="6"/>
      <c r="J914" s="1"/>
    </row>
    <row r="915" spans="1:16" ht="12.75" customHeight="1">
      <c r="A915" s="10"/>
      <c r="B915" s="10"/>
      <c r="D915" s="3"/>
      <c r="E915" s="151" t="s">
        <v>3637</v>
      </c>
      <c r="F915" s="9">
        <v>6.9</v>
      </c>
      <c r="G915" s="1" t="s">
        <v>2312</v>
      </c>
      <c r="H915" s="1">
        <v>5</v>
      </c>
      <c r="I915" s="6">
        <v>1.2</v>
      </c>
      <c r="J915" s="1">
        <f t="shared" ref="J915:J923" si="64">H915*I915</f>
        <v>6</v>
      </c>
    </row>
    <row r="916" spans="1:16" ht="12.75" customHeight="1">
      <c r="A916" s="10"/>
      <c r="B916" s="10"/>
      <c r="D916" s="3"/>
      <c r="E916" s="151" t="s">
        <v>3301</v>
      </c>
      <c r="F916" s="9">
        <v>9.1</v>
      </c>
      <c r="G916" s="1" t="s">
        <v>2309</v>
      </c>
      <c r="H916" s="1">
        <v>5</v>
      </c>
      <c r="I916" s="6">
        <v>1.5</v>
      </c>
      <c r="J916" s="1">
        <f t="shared" si="64"/>
        <v>7.5</v>
      </c>
    </row>
    <row r="917" spans="1:16" ht="12.75" customHeight="1">
      <c r="A917" s="10"/>
      <c r="B917" s="10"/>
      <c r="D917" s="3"/>
      <c r="E917" s="151" t="s">
        <v>3302</v>
      </c>
      <c r="F917" s="9">
        <v>7.7</v>
      </c>
      <c r="G917" s="1" t="s">
        <v>2306</v>
      </c>
      <c r="H917" s="1">
        <v>5</v>
      </c>
      <c r="I917" s="6">
        <v>0.4</v>
      </c>
      <c r="J917" s="1">
        <f t="shared" si="64"/>
        <v>2</v>
      </c>
    </row>
    <row r="918" spans="1:16" ht="12.75" customHeight="1">
      <c r="A918" s="10"/>
      <c r="B918" s="10"/>
      <c r="D918" s="3"/>
      <c r="E918" s="151" t="s">
        <v>3303</v>
      </c>
      <c r="F918" s="9">
        <v>12.7</v>
      </c>
      <c r="G918" s="1" t="s">
        <v>2304</v>
      </c>
      <c r="H918" s="1">
        <v>5</v>
      </c>
      <c r="I918" s="6">
        <v>1.3</v>
      </c>
      <c r="J918" s="1">
        <f t="shared" si="64"/>
        <v>6.5</v>
      </c>
    </row>
    <row r="919" spans="1:16" ht="12.75" customHeight="1">
      <c r="A919" s="10"/>
      <c r="B919" s="10"/>
      <c r="D919" s="3"/>
      <c r="E919" s="151" t="s">
        <v>3304</v>
      </c>
      <c r="F919" s="9">
        <v>20.8</v>
      </c>
      <c r="G919" s="143" t="s">
        <v>3639</v>
      </c>
      <c r="H919" s="1">
        <v>5</v>
      </c>
      <c r="I919" s="6">
        <v>2.5</v>
      </c>
      <c r="J919" s="1">
        <f t="shared" si="64"/>
        <v>12.5</v>
      </c>
    </row>
    <row r="920" spans="1:16" ht="12" customHeight="1">
      <c r="A920" s="10"/>
      <c r="B920" s="10"/>
      <c r="D920" s="3"/>
      <c r="E920" s="151" t="s">
        <v>3305</v>
      </c>
      <c r="F920" s="9">
        <v>16.100000000000001</v>
      </c>
      <c r="G920" s="1" t="s">
        <v>2314</v>
      </c>
      <c r="H920" s="1">
        <v>5</v>
      </c>
      <c r="I920" s="6">
        <v>2</v>
      </c>
      <c r="J920" s="1">
        <f t="shared" si="64"/>
        <v>10</v>
      </c>
    </row>
    <row r="921" spans="1:16" ht="12.75" customHeight="1">
      <c r="A921" s="10"/>
      <c r="B921" s="10"/>
      <c r="D921" s="3"/>
      <c r="E921" s="151" t="s">
        <v>3306</v>
      </c>
      <c r="F921" s="9">
        <v>31.4</v>
      </c>
      <c r="G921" s="1" t="s">
        <v>2305</v>
      </c>
      <c r="H921" s="1">
        <v>5</v>
      </c>
      <c r="I921" s="6">
        <v>2.9</v>
      </c>
      <c r="J921" s="1">
        <f t="shared" si="64"/>
        <v>14.5</v>
      </c>
    </row>
    <row r="922" spans="1:16" ht="12.75" customHeight="1">
      <c r="A922" s="10"/>
      <c r="B922" s="10"/>
      <c r="D922" s="3"/>
      <c r="E922" s="151" t="s">
        <v>3307</v>
      </c>
      <c r="F922" s="9">
        <v>7.2</v>
      </c>
      <c r="G922" s="143" t="s">
        <v>3640</v>
      </c>
      <c r="H922" s="1">
        <v>5</v>
      </c>
      <c r="I922" s="6">
        <v>0.6</v>
      </c>
      <c r="J922" s="1">
        <f t="shared" si="64"/>
        <v>3</v>
      </c>
    </row>
    <row r="923" spans="1:16" ht="12.75" customHeight="1">
      <c r="A923" s="10"/>
      <c r="B923" s="10"/>
      <c r="D923" s="3"/>
      <c r="E923" s="151" t="s">
        <v>3638</v>
      </c>
      <c r="F923" s="9">
        <f>42.7-6.6</f>
        <v>36.1</v>
      </c>
      <c r="G923" s="1" t="s">
        <v>2313</v>
      </c>
      <c r="H923" s="1">
        <v>5</v>
      </c>
      <c r="I923" s="6">
        <v>4</v>
      </c>
      <c r="J923" s="1">
        <f t="shared" si="64"/>
        <v>20</v>
      </c>
    </row>
    <row r="924" spans="1:16" ht="12.75" customHeight="1">
      <c r="A924" s="10"/>
      <c r="B924" s="10"/>
      <c r="D924" s="3"/>
      <c r="E924" s="113"/>
      <c r="G924" s="1"/>
      <c r="H924" s="1"/>
      <c r="I924" s="6"/>
      <c r="J924" s="1"/>
    </row>
    <row r="925" spans="1:16" ht="12.75" customHeight="1">
      <c r="A925" s="10"/>
      <c r="B925" s="10"/>
      <c r="E925" s="153" t="s">
        <v>3636</v>
      </c>
      <c r="F925" s="9">
        <f>38.2/5</f>
        <v>7.6400000000000006</v>
      </c>
      <c r="G925" s="7" t="s">
        <v>3308</v>
      </c>
      <c r="H925" s="1">
        <v>5</v>
      </c>
      <c r="I925" s="6">
        <v>0.6</v>
      </c>
      <c r="J925" s="7">
        <f>H925*I925</f>
        <v>3</v>
      </c>
    </row>
    <row r="926" spans="1:16" s="4" customFormat="1" ht="12.75" customHeight="1">
      <c r="A926" s="12"/>
      <c r="B926" s="12"/>
      <c r="D926" s="5"/>
      <c r="E926" s="114"/>
      <c r="F926" s="5"/>
      <c r="H926" s="4">
        <f>SUM(H881:H925)</f>
        <v>1785</v>
      </c>
      <c r="J926" s="4">
        <f>SUM(J881:J925)</f>
        <v>543.14999999999986</v>
      </c>
      <c r="K926" s="4">
        <v>20</v>
      </c>
      <c r="L926" s="4">
        <v>-563.15</v>
      </c>
      <c r="O926" s="4">
        <f>SUM(J926:N926)</f>
        <v>0</v>
      </c>
      <c r="P926" s="13" t="s">
        <v>3040</v>
      </c>
    </row>
    <row r="927" spans="1:16" ht="12.75" customHeight="1">
      <c r="A927" s="10">
        <v>43836</v>
      </c>
      <c r="B927" s="10"/>
      <c r="C927" s="7" t="s">
        <v>1126</v>
      </c>
      <c r="E927" s="106">
        <v>103.07</v>
      </c>
      <c r="F927" s="9">
        <v>1.7</v>
      </c>
      <c r="G927" s="7" t="s">
        <v>3041</v>
      </c>
      <c r="H927" s="7">
        <v>2000</v>
      </c>
      <c r="I927" s="7">
        <v>0.08</v>
      </c>
      <c r="J927" s="7">
        <f>H927*I927</f>
        <v>160</v>
      </c>
    </row>
    <row r="928" spans="1:16" s="4" customFormat="1" ht="12.75" customHeight="1">
      <c r="A928" s="12"/>
      <c r="B928" s="12"/>
      <c r="D928" s="5"/>
      <c r="E928" s="114"/>
      <c r="F928" s="5"/>
      <c r="J928" s="4">
        <f>SUM(J927:J927)</f>
        <v>160</v>
      </c>
      <c r="K928" s="4">
        <v>0</v>
      </c>
      <c r="L928" s="4">
        <v>-160</v>
      </c>
      <c r="O928" s="4">
        <f>SUM(J928:N928)</f>
        <v>0</v>
      </c>
      <c r="P928" s="13" t="s">
        <v>3042</v>
      </c>
    </row>
    <row r="929" spans="1:16" ht="12.75" customHeight="1">
      <c r="A929" s="10">
        <v>43836</v>
      </c>
      <c r="B929" s="10"/>
      <c r="C929" s="7" t="s">
        <v>2164</v>
      </c>
      <c r="F929" s="9">
        <v>1</v>
      </c>
      <c r="G929" s="7" t="s">
        <v>2167</v>
      </c>
      <c r="H929" s="7">
        <v>3</v>
      </c>
      <c r="I929" s="7">
        <v>1.3</v>
      </c>
      <c r="J929" s="7">
        <f t="shared" ref="J929:J960" si="65">H929*I929</f>
        <v>3.9000000000000004</v>
      </c>
    </row>
    <row r="930" spans="1:16" ht="12.75" customHeight="1">
      <c r="A930" s="10"/>
      <c r="B930" s="10"/>
      <c r="F930" s="9">
        <v>1</v>
      </c>
      <c r="G930" s="7" t="s">
        <v>2165</v>
      </c>
      <c r="H930" s="7">
        <v>6</v>
      </c>
      <c r="I930" s="7">
        <v>0.85</v>
      </c>
      <c r="J930" s="7">
        <f t="shared" si="65"/>
        <v>5.0999999999999996</v>
      </c>
    </row>
    <row r="931" spans="1:16" ht="12.75" customHeight="1">
      <c r="A931" s="10"/>
      <c r="B931" s="10"/>
      <c r="F931" s="9">
        <v>1</v>
      </c>
      <c r="G931" s="7" t="s">
        <v>2166</v>
      </c>
      <c r="H931" s="7">
        <v>6</v>
      </c>
      <c r="I931" s="7">
        <v>0.3</v>
      </c>
      <c r="J931" s="7">
        <f t="shared" si="65"/>
        <v>1.7999999999999998</v>
      </c>
    </row>
    <row r="932" spans="1:16" ht="12.75" customHeight="1">
      <c r="A932" s="10"/>
      <c r="B932" s="10"/>
      <c r="F932" s="9">
        <v>2</v>
      </c>
      <c r="G932" s="7" t="s">
        <v>2168</v>
      </c>
      <c r="H932" s="7">
        <v>3</v>
      </c>
      <c r="I932" s="7">
        <v>1.43</v>
      </c>
      <c r="J932" s="7">
        <f t="shared" si="65"/>
        <v>4.29</v>
      </c>
      <c r="P932" s="7"/>
    </row>
    <row r="933" spans="1:16" ht="12.75" customHeight="1">
      <c r="A933" s="10"/>
      <c r="B933" s="10"/>
      <c r="F933" s="9">
        <v>2</v>
      </c>
      <c r="G933" s="7" t="s">
        <v>2169</v>
      </c>
      <c r="H933" s="7">
        <v>3</v>
      </c>
      <c r="I933" s="7">
        <v>1.54</v>
      </c>
      <c r="J933" s="7">
        <f t="shared" si="65"/>
        <v>4.62</v>
      </c>
      <c r="P933" s="7"/>
    </row>
    <row r="934" spans="1:16" ht="12.75" customHeight="1">
      <c r="A934" s="10"/>
      <c r="B934" s="10"/>
      <c r="F934" s="9">
        <v>2</v>
      </c>
      <c r="G934" s="7" t="s">
        <v>2170</v>
      </c>
      <c r="H934" s="7">
        <v>3</v>
      </c>
      <c r="I934" s="7">
        <v>0.88</v>
      </c>
      <c r="J934" s="7">
        <f t="shared" si="65"/>
        <v>2.64</v>
      </c>
      <c r="P934" s="7"/>
    </row>
    <row r="935" spans="1:16" ht="12.75" customHeight="1">
      <c r="A935" s="10"/>
      <c r="B935" s="10"/>
      <c r="F935" s="9">
        <v>2</v>
      </c>
      <c r="G935" s="7" t="s">
        <v>2171</v>
      </c>
      <c r="H935" s="7">
        <v>3</v>
      </c>
      <c r="I935" s="7">
        <v>0.72</v>
      </c>
      <c r="J935" s="7">
        <f t="shared" si="65"/>
        <v>2.16</v>
      </c>
      <c r="P935" s="7"/>
    </row>
    <row r="936" spans="1:16" ht="12.75" customHeight="1">
      <c r="A936" s="10"/>
      <c r="B936" s="10"/>
      <c r="F936" s="9">
        <v>2</v>
      </c>
      <c r="G936" s="7" t="s">
        <v>2172</v>
      </c>
      <c r="H936" s="7">
        <v>3</v>
      </c>
      <c r="I936" s="7">
        <v>0.99</v>
      </c>
      <c r="J936" s="7">
        <f t="shared" si="65"/>
        <v>2.9699999999999998</v>
      </c>
      <c r="P936" s="7"/>
    </row>
    <row r="937" spans="1:16" ht="12.75" customHeight="1">
      <c r="A937" s="10"/>
      <c r="B937" s="10"/>
      <c r="F937" s="9">
        <v>2</v>
      </c>
      <c r="G937" s="7" t="s">
        <v>2173</v>
      </c>
      <c r="H937" s="7">
        <v>6</v>
      </c>
      <c r="I937" s="7">
        <v>0.7</v>
      </c>
      <c r="J937" s="7">
        <f t="shared" si="65"/>
        <v>4.1999999999999993</v>
      </c>
      <c r="P937" s="7"/>
    </row>
    <row r="938" spans="1:16" ht="12.75" customHeight="1">
      <c r="A938" s="10"/>
      <c r="B938" s="10"/>
      <c r="F938" s="9">
        <v>2</v>
      </c>
      <c r="G938" s="7" t="s">
        <v>2188</v>
      </c>
      <c r="H938" s="7">
        <v>6</v>
      </c>
      <c r="I938" s="7">
        <v>0.3</v>
      </c>
      <c r="J938" s="7">
        <f t="shared" si="65"/>
        <v>1.7999999999999998</v>
      </c>
      <c r="P938" s="7"/>
    </row>
    <row r="939" spans="1:16" ht="12.75" customHeight="1">
      <c r="A939" s="10"/>
      <c r="B939" s="10"/>
      <c r="F939" s="9">
        <v>2</v>
      </c>
      <c r="G939" s="7" t="s">
        <v>2189</v>
      </c>
      <c r="H939" s="7">
        <v>6</v>
      </c>
      <c r="I939" s="7">
        <v>0.21</v>
      </c>
      <c r="J939" s="7">
        <f t="shared" si="65"/>
        <v>1.26</v>
      </c>
      <c r="P939" s="7"/>
    </row>
    <row r="940" spans="1:16" ht="12.75" customHeight="1">
      <c r="A940" s="10"/>
      <c r="B940" s="10"/>
      <c r="F940" s="9">
        <v>2</v>
      </c>
      <c r="G940" s="7" t="s">
        <v>2190</v>
      </c>
      <c r="H940" s="7">
        <v>6</v>
      </c>
      <c r="I940" s="7">
        <v>2.2000000000000002</v>
      </c>
      <c r="J940" s="7">
        <f t="shared" si="65"/>
        <v>13.200000000000001</v>
      </c>
      <c r="P940" s="7"/>
    </row>
    <row r="941" spans="1:16" ht="12.75" customHeight="1">
      <c r="A941" s="10"/>
      <c r="B941" s="10"/>
      <c r="F941" s="9">
        <v>2</v>
      </c>
      <c r="G941" s="7" t="s">
        <v>2174</v>
      </c>
      <c r="H941" s="7">
        <v>6</v>
      </c>
      <c r="I941" s="7">
        <v>3</v>
      </c>
      <c r="J941" s="7">
        <f t="shared" si="65"/>
        <v>18</v>
      </c>
      <c r="P941" s="7"/>
    </row>
    <row r="942" spans="1:16" ht="12.75" customHeight="1">
      <c r="A942" s="10"/>
      <c r="B942" s="10"/>
      <c r="F942" s="9">
        <v>2</v>
      </c>
      <c r="G942" s="7" t="s">
        <v>2175</v>
      </c>
      <c r="H942" s="7">
        <v>6</v>
      </c>
      <c r="I942" s="7">
        <v>3.2</v>
      </c>
      <c r="J942" s="7">
        <f t="shared" si="65"/>
        <v>19.200000000000003</v>
      </c>
      <c r="P942" s="7"/>
    </row>
    <row r="943" spans="1:16" ht="12.75" customHeight="1">
      <c r="A943" s="10"/>
      <c r="B943" s="10"/>
      <c r="F943" s="9">
        <v>2</v>
      </c>
      <c r="G943" s="7" t="s">
        <v>2191</v>
      </c>
      <c r="H943" s="7">
        <v>3</v>
      </c>
      <c r="I943" s="7">
        <v>1.82</v>
      </c>
      <c r="J943" s="7">
        <f t="shared" si="65"/>
        <v>5.46</v>
      </c>
      <c r="P943" s="7"/>
    </row>
    <row r="944" spans="1:16" ht="12.75" customHeight="1">
      <c r="A944" s="10"/>
      <c r="B944" s="10"/>
      <c r="F944" s="9">
        <v>2</v>
      </c>
      <c r="G944" s="7" t="s">
        <v>2192</v>
      </c>
      <c r="H944" s="7">
        <v>3</v>
      </c>
      <c r="I944" s="7">
        <v>2.5</v>
      </c>
      <c r="J944" s="7">
        <f t="shared" si="65"/>
        <v>7.5</v>
      </c>
      <c r="P944" s="7"/>
    </row>
    <row r="945" spans="1:16" ht="12.75" customHeight="1">
      <c r="A945" s="10"/>
      <c r="B945" s="10"/>
      <c r="F945" s="9">
        <v>2</v>
      </c>
      <c r="G945" s="7" t="s">
        <v>2193</v>
      </c>
      <c r="H945" s="7">
        <v>3</v>
      </c>
      <c r="I945" s="7">
        <v>1.6</v>
      </c>
      <c r="J945" s="7">
        <f t="shared" si="65"/>
        <v>4.8000000000000007</v>
      </c>
      <c r="P945" s="7"/>
    </row>
    <row r="946" spans="1:16" ht="12.75" customHeight="1">
      <c r="A946" s="10"/>
      <c r="B946" s="10"/>
      <c r="F946" s="9">
        <v>2</v>
      </c>
      <c r="G946" s="7" t="s">
        <v>2194</v>
      </c>
      <c r="H946" s="7">
        <v>3</v>
      </c>
      <c r="I946" s="7">
        <v>1.5</v>
      </c>
      <c r="J946" s="7">
        <f t="shared" si="65"/>
        <v>4.5</v>
      </c>
      <c r="P946" s="7"/>
    </row>
    <row r="947" spans="1:16" ht="12.75" customHeight="1">
      <c r="A947" s="10"/>
      <c r="B947" s="10"/>
      <c r="F947" s="9">
        <v>2</v>
      </c>
      <c r="G947" s="7" t="s">
        <v>2195</v>
      </c>
      <c r="H947" s="7">
        <v>3</v>
      </c>
      <c r="I947" s="7">
        <v>1.8</v>
      </c>
      <c r="J947" s="7">
        <f t="shared" si="65"/>
        <v>5.4</v>
      </c>
      <c r="P947" s="7"/>
    </row>
    <row r="948" spans="1:16" ht="12.75" customHeight="1">
      <c r="A948" s="10"/>
      <c r="B948" s="10"/>
      <c r="F948" s="9">
        <v>2</v>
      </c>
      <c r="G948" s="7" t="s">
        <v>2196</v>
      </c>
      <c r="H948" s="7">
        <v>3</v>
      </c>
      <c r="I948" s="7">
        <v>1.5</v>
      </c>
      <c r="J948" s="7">
        <f t="shared" si="65"/>
        <v>4.5</v>
      </c>
      <c r="P948" s="7"/>
    </row>
    <row r="949" spans="1:16" ht="12.75" customHeight="1">
      <c r="A949" s="10"/>
      <c r="B949" s="10"/>
      <c r="F949" s="9">
        <v>2</v>
      </c>
      <c r="G949" s="7" t="s">
        <v>2197</v>
      </c>
      <c r="H949" s="7">
        <v>3</v>
      </c>
      <c r="I949" s="7">
        <v>1.6</v>
      </c>
      <c r="J949" s="7">
        <f t="shared" si="65"/>
        <v>4.8000000000000007</v>
      </c>
      <c r="P949" s="7"/>
    </row>
    <row r="950" spans="1:16" ht="12.75" customHeight="1">
      <c r="A950" s="10"/>
      <c r="B950" s="10"/>
      <c r="F950" s="9">
        <v>2</v>
      </c>
      <c r="G950" s="7" t="s">
        <v>2198</v>
      </c>
      <c r="H950" s="7">
        <v>3</v>
      </c>
      <c r="I950" s="7">
        <v>1.1000000000000001</v>
      </c>
      <c r="J950" s="7">
        <f t="shared" si="65"/>
        <v>3.3000000000000003</v>
      </c>
      <c r="P950" s="7"/>
    </row>
    <row r="951" spans="1:16" ht="12.75" customHeight="1">
      <c r="A951" s="10"/>
      <c r="B951" s="10"/>
      <c r="F951" s="9">
        <v>2</v>
      </c>
      <c r="G951" s="7" t="s">
        <v>2199</v>
      </c>
      <c r="H951" s="7">
        <v>3</v>
      </c>
      <c r="I951" s="7">
        <v>1.98</v>
      </c>
      <c r="J951" s="7">
        <f t="shared" si="65"/>
        <v>5.9399999999999995</v>
      </c>
      <c r="P951" s="7"/>
    </row>
    <row r="952" spans="1:16" ht="12.75" customHeight="1">
      <c r="A952" s="10"/>
      <c r="B952" s="10"/>
      <c r="F952" s="9">
        <v>2</v>
      </c>
      <c r="G952" s="7" t="s">
        <v>2200</v>
      </c>
      <c r="H952" s="7">
        <v>6</v>
      </c>
      <c r="I952" s="7">
        <v>0.15</v>
      </c>
      <c r="J952" s="7">
        <f t="shared" si="65"/>
        <v>0.89999999999999991</v>
      </c>
      <c r="P952" s="7"/>
    </row>
    <row r="953" spans="1:16" ht="12.75" customHeight="1">
      <c r="A953" s="10"/>
      <c r="B953" s="10"/>
      <c r="F953" s="9">
        <v>2</v>
      </c>
      <c r="G953" s="7" t="s">
        <v>2176</v>
      </c>
      <c r="H953" s="7">
        <v>6</v>
      </c>
      <c r="I953" s="7">
        <v>0.18</v>
      </c>
      <c r="J953" s="7">
        <f t="shared" si="65"/>
        <v>1.08</v>
      </c>
      <c r="P953" s="7"/>
    </row>
    <row r="954" spans="1:16" ht="12.75" customHeight="1">
      <c r="A954" s="10"/>
      <c r="B954" s="10"/>
      <c r="F954" s="9">
        <v>2</v>
      </c>
      <c r="G954" s="7" t="s">
        <v>2177</v>
      </c>
      <c r="H954" s="7">
        <v>20</v>
      </c>
      <c r="I954" s="7">
        <v>0.3</v>
      </c>
      <c r="J954" s="7">
        <f t="shared" si="65"/>
        <v>6</v>
      </c>
      <c r="P954" s="7"/>
    </row>
    <row r="955" spans="1:16" ht="12.75" customHeight="1">
      <c r="A955" s="10"/>
      <c r="B955" s="10"/>
      <c r="F955" s="9">
        <v>2</v>
      </c>
      <c r="G955" s="7" t="s">
        <v>2178</v>
      </c>
      <c r="H955" s="7">
        <v>6</v>
      </c>
      <c r="I955" s="7">
        <v>0.2</v>
      </c>
      <c r="J955" s="7">
        <f t="shared" si="65"/>
        <v>1.2000000000000002</v>
      </c>
      <c r="P955" s="7"/>
    </row>
    <row r="956" spans="1:16" ht="12.75" customHeight="1">
      <c r="A956" s="10"/>
      <c r="B956" s="10"/>
      <c r="F956" s="9">
        <v>2</v>
      </c>
      <c r="G956" s="7" t="s">
        <v>2179</v>
      </c>
      <c r="H956" s="7">
        <v>6</v>
      </c>
      <c r="I956" s="7">
        <v>0.5</v>
      </c>
      <c r="J956" s="7">
        <f t="shared" si="65"/>
        <v>3</v>
      </c>
      <c r="P956" s="7"/>
    </row>
    <row r="957" spans="1:16" ht="12.75" customHeight="1">
      <c r="A957" s="10"/>
      <c r="B957" s="10"/>
      <c r="F957" s="9">
        <v>2</v>
      </c>
      <c r="G957" s="7" t="s">
        <v>2180</v>
      </c>
      <c r="H957" s="7">
        <v>20</v>
      </c>
      <c r="I957" s="7">
        <v>0.44</v>
      </c>
      <c r="J957" s="7">
        <f t="shared" si="65"/>
        <v>8.8000000000000007</v>
      </c>
      <c r="P957" s="7"/>
    </row>
    <row r="958" spans="1:16" ht="12.75" customHeight="1">
      <c r="A958" s="10"/>
      <c r="B958" s="10"/>
      <c r="F958" s="9">
        <v>2</v>
      </c>
      <c r="G958" s="7" t="s">
        <v>2181</v>
      </c>
      <c r="H958" s="7">
        <v>6</v>
      </c>
      <c r="I958" s="7">
        <v>0.22</v>
      </c>
      <c r="J958" s="7">
        <f t="shared" si="65"/>
        <v>1.32</v>
      </c>
      <c r="P958" s="7"/>
    </row>
    <row r="959" spans="1:16" ht="12.75" customHeight="1">
      <c r="A959" s="10"/>
      <c r="B959" s="10"/>
      <c r="F959" s="9">
        <v>2</v>
      </c>
      <c r="G959" s="7" t="s">
        <v>2201</v>
      </c>
      <c r="H959" s="7">
        <v>6</v>
      </c>
      <c r="I959" s="7">
        <v>0.23</v>
      </c>
      <c r="J959" s="7">
        <f t="shared" si="65"/>
        <v>1.3800000000000001</v>
      </c>
      <c r="P959" s="7"/>
    </row>
    <row r="960" spans="1:16" ht="12.75" customHeight="1">
      <c r="A960" s="10"/>
      <c r="B960" s="10"/>
      <c r="F960" s="9">
        <v>2</v>
      </c>
      <c r="G960" s="7" t="s">
        <v>2202</v>
      </c>
      <c r="H960" s="7">
        <v>6</v>
      </c>
      <c r="I960" s="7">
        <v>0.65</v>
      </c>
      <c r="J960" s="7">
        <f t="shared" si="65"/>
        <v>3.9000000000000004</v>
      </c>
      <c r="P960" s="7"/>
    </row>
    <row r="961" spans="1:16" ht="12.75" customHeight="1">
      <c r="A961" s="10"/>
      <c r="B961" s="10"/>
      <c r="F961" s="9">
        <v>2</v>
      </c>
      <c r="G961" s="7" t="s">
        <v>2203</v>
      </c>
      <c r="H961" s="7">
        <v>3</v>
      </c>
      <c r="I961" s="7">
        <v>2.2000000000000002</v>
      </c>
      <c r="J961" s="7">
        <f t="shared" ref="J961:J992" si="66">H961*I961</f>
        <v>6.6000000000000005</v>
      </c>
      <c r="P961" s="7"/>
    </row>
    <row r="962" spans="1:16" ht="12.75" customHeight="1">
      <c r="A962" s="10"/>
      <c r="B962" s="10"/>
      <c r="F962" s="9">
        <v>2</v>
      </c>
      <c r="G962" s="7" t="s">
        <v>2204</v>
      </c>
      <c r="H962" s="7">
        <v>5</v>
      </c>
      <c r="I962" s="7">
        <v>2</v>
      </c>
      <c r="J962" s="7">
        <f t="shared" si="66"/>
        <v>10</v>
      </c>
      <c r="P962" s="7"/>
    </row>
    <row r="963" spans="1:16" ht="12.75" customHeight="1">
      <c r="A963" s="10"/>
      <c r="B963" s="10"/>
      <c r="F963" s="9">
        <v>2</v>
      </c>
      <c r="G963" s="7" t="s">
        <v>2205</v>
      </c>
      <c r="H963" s="7">
        <v>6</v>
      </c>
      <c r="I963" s="7">
        <v>3.3</v>
      </c>
      <c r="J963" s="7">
        <f t="shared" si="66"/>
        <v>19.799999999999997</v>
      </c>
      <c r="P963" s="7"/>
    </row>
    <row r="964" spans="1:16" ht="12.75" customHeight="1">
      <c r="A964" s="10"/>
      <c r="B964" s="10"/>
      <c r="F964" s="9">
        <v>2</v>
      </c>
      <c r="G964" s="7" t="s">
        <v>2182</v>
      </c>
      <c r="H964" s="7">
        <v>6</v>
      </c>
      <c r="I964" s="7">
        <v>1.3</v>
      </c>
      <c r="J964" s="7">
        <f t="shared" si="66"/>
        <v>7.8000000000000007</v>
      </c>
      <c r="P964" s="7"/>
    </row>
    <row r="965" spans="1:16" ht="12.75" customHeight="1">
      <c r="A965" s="10"/>
      <c r="B965" s="10"/>
      <c r="F965" s="9">
        <v>2</v>
      </c>
      <c r="G965" s="7" t="s">
        <v>2206</v>
      </c>
      <c r="H965" s="7">
        <v>3</v>
      </c>
      <c r="I965" s="7">
        <v>0.8</v>
      </c>
      <c r="J965" s="7">
        <f t="shared" si="66"/>
        <v>2.4000000000000004</v>
      </c>
      <c r="P965" s="7"/>
    </row>
    <row r="966" spans="1:16" ht="12.75" customHeight="1">
      <c r="A966" s="10"/>
      <c r="B966" s="10"/>
      <c r="F966" s="9">
        <v>2</v>
      </c>
      <c r="G966" s="7" t="s">
        <v>2207</v>
      </c>
      <c r="H966" s="7">
        <v>3</v>
      </c>
      <c r="I966" s="7">
        <v>1.1000000000000001</v>
      </c>
      <c r="J966" s="7">
        <f t="shared" si="66"/>
        <v>3.3000000000000003</v>
      </c>
      <c r="P966" s="7"/>
    </row>
    <row r="967" spans="1:16" ht="12.75" customHeight="1">
      <c r="A967" s="10"/>
      <c r="B967" s="10"/>
      <c r="F967" s="9">
        <v>2</v>
      </c>
      <c r="G967" s="7" t="s">
        <v>2183</v>
      </c>
      <c r="H967" s="7">
        <v>6</v>
      </c>
      <c r="I967" s="7">
        <v>3</v>
      </c>
      <c r="J967" s="7">
        <f t="shared" si="66"/>
        <v>18</v>
      </c>
      <c r="P967" s="7"/>
    </row>
    <row r="968" spans="1:16" ht="12.75" customHeight="1">
      <c r="A968" s="10"/>
      <c r="B968" s="10"/>
      <c r="F968" s="9">
        <v>2</v>
      </c>
      <c r="G968" s="7" t="s">
        <v>2208</v>
      </c>
      <c r="H968" s="7">
        <v>3</v>
      </c>
      <c r="I968" s="7">
        <v>1.1000000000000001</v>
      </c>
      <c r="J968" s="7">
        <f t="shared" si="66"/>
        <v>3.3000000000000003</v>
      </c>
      <c r="P968" s="7"/>
    </row>
    <row r="969" spans="1:16" ht="12.75" customHeight="1">
      <c r="A969" s="10"/>
      <c r="B969" s="10"/>
      <c r="F969" s="9">
        <v>2</v>
      </c>
      <c r="G969" s="7" t="s">
        <v>2184</v>
      </c>
      <c r="H969" s="7">
        <v>6</v>
      </c>
      <c r="I969" s="7">
        <v>0.8</v>
      </c>
      <c r="J969" s="7">
        <f t="shared" si="66"/>
        <v>4.8000000000000007</v>
      </c>
      <c r="P969" s="7"/>
    </row>
    <row r="970" spans="1:16" ht="12.75" customHeight="1">
      <c r="A970" s="10"/>
      <c r="B970" s="10"/>
      <c r="F970" s="9">
        <v>2</v>
      </c>
      <c r="G970" s="7" t="s">
        <v>2185</v>
      </c>
      <c r="H970" s="7">
        <v>6</v>
      </c>
      <c r="I970" s="7">
        <v>0.36</v>
      </c>
      <c r="J970" s="7">
        <f t="shared" si="66"/>
        <v>2.16</v>
      </c>
      <c r="P970" s="7"/>
    </row>
    <row r="971" spans="1:16" ht="12.75" customHeight="1">
      <c r="A971" s="10"/>
      <c r="B971" s="10"/>
      <c r="F971" s="9">
        <v>2</v>
      </c>
      <c r="G971" s="7" t="s">
        <v>2209</v>
      </c>
      <c r="H971" s="7">
        <v>6</v>
      </c>
      <c r="I971" s="7">
        <v>3.2</v>
      </c>
      <c r="J971" s="7">
        <f t="shared" si="66"/>
        <v>19.200000000000003</v>
      </c>
      <c r="P971" s="7"/>
    </row>
    <row r="972" spans="1:16" ht="12.75" customHeight="1">
      <c r="A972" s="10"/>
      <c r="B972" s="10"/>
      <c r="F972" s="9">
        <v>2</v>
      </c>
      <c r="G972" s="7" t="s">
        <v>2210</v>
      </c>
      <c r="H972" s="7">
        <v>6</v>
      </c>
      <c r="I972" s="7">
        <v>1.5</v>
      </c>
      <c r="J972" s="7">
        <f t="shared" si="66"/>
        <v>9</v>
      </c>
      <c r="P972" s="7"/>
    </row>
    <row r="973" spans="1:16" ht="12.75" customHeight="1">
      <c r="A973" s="10"/>
      <c r="B973" s="10"/>
      <c r="F973" s="9">
        <v>2</v>
      </c>
      <c r="G973" s="7" t="s">
        <v>2186</v>
      </c>
      <c r="H973" s="7">
        <v>6</v>
      </c>
      <c r="I973" s="7">
        <v>2</v>
      </c>
      <c r="J973" s="7">
        <f t="shared" si="66"/>
        <v>12</v>
      </c>
      <c r="P973" s="7"/>
    </row>
    <row r="974" spans="1:16" ht="12.75" customHeight="1">
      <c r="A974" s="10"/>
      <c r="B974" s="10"/>
      <c r="F974" s="9">
        <v>2</v>
      </c>
      <c r="G974" s="7" t="s">
        <v>2187</v>
      </c>
      <c r="H974" s="7">
        <v>6</v>
      </c>
      <c r="I974" s="7">
        <v>0.18</v>
      </c>
      <c r="J974" s="7">
        <f t="shared" si="66"/>
        <v>1.08</v>
      </c>
      <c r="P974" s="7"/>
    </row>
    <row r="975" spans="1:16" ht="12.75" customHeight="1">
      <c r="A975" s="10"/>
      <c r="B975" s="10"/>
      <c r="F975" s="9">
        <v>2</v>
      </c>
      <c r="G975" s="7" t="s">
        <v>2211</v>
      </c>
      <c r="H975" s="7">
        <v>6</v>
      </c>
      <c r="I975" s="7">
        <v>0.45</v>
      </c>
      <c r="J975" s="7">
        <f t="shared" si="66"/>
        <v>2.7</v>
      </c>
      <c r="P975" s="7"/>
    </row>
    <row r="976" spans="1:16" ht="12.75" customHeight="1">
      <c r="A976" s="10"/>
      <c r="B976" s="10"/>
      <c r="F976" s="9">
        <v>2</v>
      </c>
      <c r="G976" s="7" t="s">
        <v>2212</v>
      </c>
      <c r="H976" s="7">
        <v>6</v>
      </c>
      <c r="I976" s="7">
        <v>1.4</v>
      </c>
      <c r="J976" s="7">
        <f t="shared" si="66"/>
        <v>8.3999999999999986</v>
      </c>
      <c r="P976" s="7"/>
    </row>
    <row r="977" spans="1:16" ht="12.75" customHeight="1">
      <c r="A977" s="10"/>
      <c r="B977" s="10"/>
      <c r="F977" s="9">
        <v>2</v>
      </c>
      <c r="G977" s="7" t="s">
        <v>2213</v>
      </c>
      <c r="H977" s="7">
        <v>10</v>
      </c>
      <c r="I977" s="7">
        <v>0.1</v>
      </c>
      <c r="J977" s="7">
        <f t="shared" si="66"/>
        <v>1</v>
      </c>
      <c r="P977" s="7"/>
    </row>
    <row r="978" spans="1:16" ht="12.75" customHeight="1">
      <c r="A978" s="10"/>
      <c r="B978" s="10"/>
      <c r="F978" s="9">
        <v>2</v>
      </c>
      <c r="G978" s="7" t="s">
        <v>2214</v>
      </c>
      <c r="H978" s="7">
        <v>10</v>
      </c>
      <c r="I978" s="7">
        <v>0.08</v>
      </c>
      <c r="J978" s="7">
        <f t="shared" si="66"/>
        <v>0.8</v>
      </c>
      <c r="P978" s="7"/>
    </row>
    <row r="979" spans="1:16" ht="12.75" customHeight="1">
      <c r="A979" s="10"/>
      <c r="B979" s="10"/>
      <c r="F979" s="9">
        <v>2</v>
      </c>
      <c r="G979" s="7" t="s">
        <v>2215</v>
      </c>
      <c r="H979" s="7">
        <v>10</v>
      </c>
      <c r="I979" s="7">
        <v>0.13</v>
      </c>
      <c r="J979" s="7">
        <f t="shared" si="66"/>
        <v>1.3</v>
      </c>
      <c r="P979" s="7"/>
    </row>
    <row r="980" spans="1:16" ht="12.75" customHeight="1">
      <c r="A980" s="10"/>
      <c r="B980" s="10"/>
      <c r="F980" s="9">
        <v>2</v>
      </c>
      <c r="G980" s="7" t="s">
        <v>2216</v>
      </c>
      <c r="H980" s="7">
        <v>3</v>
      </c>
      <c r="I980" s="7">
        <v>0.9</v>
      </c>
      <c r="J980" s="7">
        <f t="shared" si="66"/>
        <v>2.7</v>
      </c>
      <c r="P980" s="7"/>
    </row>
    <row r="981" spans="1:16" ht="12.75" customHeight="1">
      <c r="A981" s="10"/>
      <c r="B981" s="10"/>
      <c r="F981" s="9">
        <v>2</v>
      </c>
      <c r="G981" s="7" t="s">
        <v>2217</v>
      </c>
      <c r="H981" s="7">
        <v>3</v>
      </c>
      <c r="I981" s="7">
        <v>1.3</v>
      </c>
      <c r="J981" s="7">
        <f t="shared" si="66"/>
        <v>3.9000000000000004</v>
      </c>
      <c r="P981" s="7"/>
    </row>
    <row r="982" spans="1:16" ht="12.75" customHeight="1">
      <c r="A982" s="10"/>
      <c r="B982" s="10"/>
      <c r="F982" s="9">
        <v>3</v>
      </c>
      <c r="G982" s="7" t="s">
        <v>2259</v>
      </c>
      <c r="H982" s="7">
        <v>5</v>
      </c>
      <c r="I982" s="7">
        <v>0.75</v>
      </c>
      <c r="J982" s="7">
        <f t="shared" si="66"/>
        <v>3.75</v>
      </c>
      <c r="P982" s="7"/>
    </row>
    <row r="983" spans="1:16" ht="12.75" customHeight="1">
      <c r="A983" s="10"/>
      <c r="B983" s="10"/>
      <c r="F983" s="9">
        <v>3</v>
      </c>
      <c r="G983" s="7" t="s">
        <v>2260</v>
      </c>
      <c r="H983" s="7">
        <v>5</v>
      </c>
      <c r="I983" s="7">
        <v>0.45</v>
      </c>
      <c r="J983" s="7">
        <f t="shared" si="66"/>
        <v>2.25</v>
      </c>
      <c r="P983" s="7"/>
    </row>
    <row r="984" spans="1:16" ht="12.75" customHeight="1">
      <c r="A984" s="10"/>
      <c r="B984" s="10"/>
      <c r="F984" s="9">
        <v>3</v>
      </c>
      <c r="G984" s="7" t="s">
        <v>2218</v>
      </c>
      <c r="H984" s="7">
        <v>5</v>
      </c>
      <c r="I984" s="7">
        <v>0.5</v>
      </c>
      <c r="J984" s="7">
        <f t="shared" si="66"/>
        <v>2.5</v>
      </c>
      <c r="P984" s="7"/>
    </row>
    <row r="985" spans="1:16" ht="12.75" customHeight="1">
      <c r="A985" s="10"/>
      <c r="B985" s="10"/>
      <c r="F985" s="9">
        <v>3</v>
      </c>
      <c r="G985" s="7" t="s">
        <v>2261</v>
      </c>
      <c r="H985" s="7">
        <v>5</v>
      </c>
      <c r="I985" s="7">
        <v>0.75</v>
      </c>
      <c r="J985" s="7">
        <f t="shared" si="66"/>
        <v>3.75</v>
      </c>
      <c r="P985" s="7"/>
    </row>
    <row r="986" spans="1:16" ht="12.75" customHeight="1">
      <c r="A986" s="10"/>
      <c r="B986" s="10"/>
      <c r="F986" s="9">
        <v>3</v>
      </c>
      <c r="G986" s="7" t="s">
        <v>2219</v>
      </c>
      <c r="H986" s="7">
        <v>5</v>
      </c>
      <c r="I986" s="7">
        <v>0.5</v>
      </c>
      <c r="J986" s="7">
        <f t="shared" si="66"/>
        <v>2.5</v>
      </c>
      <c r="P986" s="7"/>
    </row>
    <row r="987" spans="1:16" ht="12.75" customHeight="1">
      <c r="A987" s="10"/>
      <c r="B987" s="10"/>
      <c r="F987" s="9">
        <v>3</v>
      </c>
      <c r="G987" s="7" t="s">
        <v>2220</v>
      </c>
      <c r="H987" s="7">
        <v>5</v>
      </c>
      <c r="I987" s="7">
        <v>0.8</v>
      </c>
      <c r="J987" s="7">
        <f t="shared" si="66"/>
        <v>4</v>
      </c>
      <c r="P987" s="7"/>
    </row>
    <row r="988" spans="1:16" ht="12.75" customHeight="1">
      <c r="A988" s="10"/>
      <c r="B988" s="10"/>
      <c r="F988" s="9">
        <v>3</v>
      </c>
      <c r="G988" s="7" t="s">
        <v>2221</v>
      </c>
      <c r="H988" s="7">
        <v>5</v>
      </c>
      <c r="I988" s="7">
        <v>0.68</v>
      </c>
      <c r="J988" s="7">
        <f t="shared" si="66"/>
        <v>3.4000000000000004</v>
      </c>
      <c r="P988" s="7"/>
    </row>
    <row r="989" spans="1:16" ht="12.75" customHeight="1">
      <c r="A989" s="10"/>
      <c r="B989" s="10"/>
      <c r="F989" s="9">
        <v>3</v>
      </c>
      <c r="G989" s="7" t="s">
        <v>2262</v>
      </c>
      <c r="H989" s="7">
        <v>3</v>
      </c>
      <c r="I989" s="7">
        <v>2.2000000000000002</v>
      </c>
      <c r="J989" s="7">
        <f t="shared" si="66"/>
        <v>6.6000000000000005</v>
      </c>
      <c r="P989" s="7"/>
    </row>
    <row r="990" spans="1:16" ht="12.75" customHeight="1">
      <c r="A990" s="10"/>
      <c r="B990" s="10"/>
      <c r="F990" s="9">
        <v>3</v>
      </c>
      <c r="G990" s="7" t="s">
        <v>2222</v>
      </c>
      <c r="H990" s="7">
        <v>5</v>
      </c>
      <c r="I990" s="7">
        <v>0.95</v>
      </c>
      <c r="J990" s="7">
        <f t="shared" si="66"/>
        <v>4.75</v>
      </c>
      <c r="P990" s="7"/>
    </row>
    <row r="991" spans="1:16" ht="12.75" customHeight="1">
      <c r="A991" s="10"/>
      <c r="B991" s="10"/>
      <c r="F991" s="9">
        <v>3</v>
      </c>
      <c r="G991" s="7" t="s">
        <v>2263</v>
      </c>
      <c r="H991" s="7">
        <v>5</v>
      </c>
      <c r="I991" s="7">
        <v>3</v>
      </c>
      <c r="J991" s="7">
        <f t="shared" si="66"/>
        <v>15</v>
      </c>
      <c r="P991" s="7"/>
    </row>
    <row r="992" spans="1:16" ht="12.75" customHeight="1">
      <c r="A992" s="10"/>
      <c r="B992" s="10"/>
      <c r="F992" s="9">
        <v>3</v>
      </c>
      <c r="G992" s="7" t="s">
        <v>2264</v>
      </c>
      <c r="H992" s="7">
        <v>5</v>
      </c>
      <c r="I992" s="7">
        <v>2.04</v>
      </c>
      <c r="J992" s="7">
        <f t="shared" si="66"/>
        <v>10.199999999999999</v>
      </c>
      <c r="P992" s="7"/>
    </row>
    <row r="993" spans="1:16" ht="12.75" customHeight="1">
      <c r="A993" s="10"/>
      <c r="B993" s="10"/>
      <c r="F993" s="9">
        <v>3</v>
      </c>
      <c r="G993" s="7" t="s">
        <v>2265</v>
      </c>
      <c r="H993" s="7">
        <v>5</v>
      </c>
      <c r="I993" s="7">
        <v>1.85</v>
      </c>
      <c r="J993" s="7">
        <f t="shared" ref="J993:J1024" si="67">H993*I993</f>
        <v>9.25</v>
      </c>
      <c r="P993" s="7"/>
    </row>
    <row r="994" spans="1:16" ht="12.75" customHeight="1">
      <c r="A994" s="10"/>
      <c r="B994" s="10"/>
      <c r="F994" s="9">
        <v>3</v>
      </c>
      <c r="G994" s="7" t="s">
        <v>2266</v>
      </c>
      <c r="H994" s="7">
        <v>5</v>
      </c>
      <c r="I994" s="7">
        <v>1.65</v>
      </c>
      <c r="J994" s="7">
        <f t="shared" si="67"/>
        <v>8.25</v>
      </c>
      <c r="P994" s="7"/>
    </row>
    <row r="995" spans="1:16" ht="12.75" customHeight="1">
      <c r="A995" s="10"/>
      <c r="B995" s="10"/>
      <c r="F995" s="9">
        <v>3</v>
      </c>
      <c r="G995" s="7" t="s">
        <v>2267</v>
      </c>
      <c r="H995" s="7">
        <v>5</v>
      </c>
      <c r="I995" s="7">
        <v>1.6</v>
      </c>
      <c r="J995" s="7">
        <f t="shared" si="67"/>
        <v>8</v>
      </c>
      <c r="P995" s="7"/>
    </row>
    <row r="996" spans="1:16" ht="12.75" customHeight="1">
      <c r="A996" s="10"/>
      <c r="B996" s="10"/>
      <c r="F996" s="9">
        <v>3</v>
      </c>
      <c r="G996" s="7" t="s">
        <v>2268</v>
      </c>
      <c r="H996" s="7">
        <v>5</v>
      </c>
      <c r="I996" s="7">
        <v>1.76</v>
      </c>
      <c r="J996" s="7">
        <f t="shared" si="67"/>
        <v>8.8000000000000007</v>
      </c>
      <c r="P996" s="7"/>
    </row>
    <row r="997" spans="1:16" ht="12.75" customHeight="1">
      <c r="A997" s="10"/>
      <c r="B997" s="10"/>
      <c r="F997" s="9">
        <v>3</v>
      </c>
      <c r="G997" s="7" t="s">
        <v>2269</v>
      </c>
      <c r="H997" s="7">
        <v>3</v>
      </c>
      <c r="I997" s="7">
        <v>0.4</v>
      </c>
      <c r="J997" s="7">
        <f t="shared" si="67"/>
        <v>1.2000000000000002</v>
      </c>
      <c r="P997" s="7"/>
    </row>
    <row r="998" spans="1:16" ht="12.75" customHeight="1">
      <c r="A998" s="10"/>
      <c r="B998" s="10"/>
      <c r="F998" s="9">
        <v>3</v>
      </c>
      <c r="G998" s="7" t="s">
        <v>2223</v>
      </c>
      <c r="H998" s="7">
        <v>5</v>
      </c>
      <c r="I998" s="7">
        <v>0.23</v>
      </c>
      <c r="J998" s="7">
        <f t="shared" si="67"/>
        <v>1.1500000000000001</v>
      </c>
      <c r="P998" s="7"/>
    </row>
    <row r="999" spans="1:16" ht="12.75" customHeight="1">
      <c r="A999" s="10"/>
      <c r="B999" s="10"/>
      <c r="F999" s="9">
        <v>3</v>
      </c>
      <c r="G999" s="7" t="s">
        <v>2224</v>
      </c>
      <c r="H999" s="7">
        <v>5</v>
      </c>
      <c r="I999" s="7">
        <v>0.38</v>
      </c>
      <c r="J999" s="7">
        <f t="shared" si="67"/>
        <v>1.9</v>
      </c>
      <c r="P999" s="7"/>
    </row>
    <row r="1000" spans="1:16" ht="12.75" customHeight="1">
      <c r="A1000" s="10"/>
      <c r="B1000" s="10"/>
      <c r="F1000" s="9">
        <v>3</v>
      </c>
      <c r="G1000" s="7" t="s">
        <v>2225</v>
      </c>
      <c r="H1000" s="7">
        <v>5</v>
      </c>
      <c r="I1000" s="7">
        <v>0.85</v>
      </c>
      <c r="J1000" s="7">
        <f t="shared" si="67"/>
        <v>4.25</v>
      </c>
      <c r="P1000" s="7"/>
    </row>
    <row r="1001" spans="1:16" ht="12.75" customHeight="1">
      <c r="A1001" s="10"/>
      <c r="B1001" s="10"/>
      <c r="F1001" s="9">
        <v>3</v>
      </c>
      <c r="G1001" s="7" t="s">
        <v>2226</v>
      </c>
      <c r="H1001" s="7">
        <v>5</v>
      </c>
      <c r="I1001" s="7">
        <v>0.6</v>
      </c>
      <c r="J1001" s="7">
        <f t="shared" si="67"/>
        <v>3</v>
      </c>
      <c r="P1001" s="7"/>
    </row>
    <row r="1002" spans="1:16" ht="12.75" customHeight="1">
      <c r="A1002" s="10"/>
      <c r="B1002" s="10"/>
      <c r="F1002" s="9">
        <v>3</v>
      </c>
      <c r="G1002" s="7" t="s">
        <v>2270</v>
      </c>
      <c r="H1002" s="7">
        <v>5</v>
      </c>
      <c r="I1002" s="7">
        <v>0.16</v>
      </c>
      <c r="J1002" s="7">
        <f t="shared" si="67"/>
        <v>0.8</v>
      </c>
      <c r="P1002" s="7"/>
    </row>
    <row r="1003" spans="1:16" ht="12.75" customHeight="1">
      <c r="A1003" s="10"/>
      <c r="B1003" s="10"/>
      <c r="F1003" s="9">
        <v>3</v>
      </c>
      <c r="G1003" s="7" t="s">
        <v>2271</v>
      </c>
      <c r="H1003" s="7">
        <v>5</v>
      </c>
      <c r="I1003" s="7">
        <v>0.17</v>
      </c>
      <c r="J1003" s="7">
        <f t="shared" si="67"/>
        <v>0.85000000000000009</v>
      </c>
      <c r="P1003" s="7"/>
    </row>
    <row r="1004" spans="1:16" ht="12.75" customHeight="1">
      <c r="A1004" s="10"/>
      <c r="B1004" s="10"/>
      <c r="F1004" s="9">
        <v>3</v>
      </c>
      <c r="G1004" s="7" t="s">
        <v>2272</v>
      </c>
      <c r="H1004" s="7">
        <v>5</v>
      </c>
      <c r="I1004" s="7">
        <v>0.86</v>
      </c>
      <c r="J1004" s="7">
        <f t="shared" si="67"/>
        <v>4.3</v>
      </c>
      <c r="P1004" s="7"/>
    </row>
    <row r="1005" spans="1:16" ht="12.75" customHeight="1">
      <c r="A1005" s="10"/>
      <c r="B1005" s="10"/>
      <c r="F1005" s="9">
        <v>3</v>
      </c>
      <c r="G1005" s="7" t="s">
        <v>2227</v>
      </c>
      <c r="H1005" s="7">
        <v>5</v>
      </c>
      <c r="I1005" s="7">
        <v>3</v>
      </c>
      <c r="J1005" s="7">
        <f t="shared" si="67"/>
        <v>15</v>
      </c>
      <c r="P1005" s="7"/>
    </row>
    <row r="1006" spans="1:16" ht="12.75" customHeight="1">
      <c r="A1006" s="10"/>
      <c r="B1006" s="10"/>
      <c r="F1006" s="9">
        <v>3</v>
      </c>
      <c r="G1006" s="7" t="s">
        <v>2273</v>
      </c>
      <c r="H1006" s="7">
        <v>5</v>
      </c>
      <c r="I1006" s="7">
        <v>3.3</v>
      </c>
      <c r="J1006" s="7">
        <f t="shared" si="67"/>
        <v>16.5</v>
      </c>
      <c r="P1006" s="7"/>
    </row>
    <row r="1007" spans="1:16" ht="12.75" customHeight="1">
      <c r="A1007" s="10"/>
      <c r="B1007" s="10"/>
      <c r="F1007" s="9">
        <v>3</v>
      </c>
      <c r="G1007" s="7" t="s">
        <v>2228</v>
      </c>
      <c r="H1007" s="7">
        <v>5</v>
      </c>
      <c r="I1007" s="7">
        <v>2.75</v>
      </c>
      <c r="J1007" s="7">
        <f t="shared" si="67"/>
        <v>13.75</v>
      </c>
      <c r="P1007" s="7"/>
    </row>
    <row r="1008" spans="1:16" ht="12.75" customHeight="1">
      <c r="A1008" s="10"/>
      <c r="B1008" s="10"/>
      <c r="F1008" s="9">
        <v>3</v>
      </c>
      <c r="G1008" s="7" t="s">
        <v>2229</v>
      </c>
      <c r="H1008" s="7">
        <v>3</v>
      </c>
      <c r="I1008" s="7">
        <v>0.5</v>
      </c>
      <c r="J1008" s="7">
        <f t="shared" si="67"/>
        <v>1.5</v>
      </c>
      <c r="P1008" s="7"/>
    </row>
    <row r="1009" spans="1:16" ht="12.75" customHeight="1">
      <c r="A1009" s="10"/>
      <c r="B1009" s="10"/>
      <c r="F1009" s="9">
        <v>3</v>
      </c>
      <c r="G1009" s="7" t="s">
        <v>2274</v>
      </c>
      <c r="H1009" s="7">
        <v>5</v>
      </c>
      <c r="I1009" s="7">
        <v>0.8</v>
      </c>
      <c r="J1009" s="7">
        <f t="shared" si="67"/>
        <v>4</v>
      </c>
      <c r="P1009" s="7"/>
    </row>
    <row r="1010" spans="1:16" ht="12.75" customHeight="1">
      <c r="A1010" s="10"/>
      <c r="B1010" s="10"/>
      <c r="F1010" s="9">
        <v>3</v>
      </c>
      <c r="G1010" s="7" t="s">
        <v>2275</v>
      </c>
      <c r="H1010" s="7">
        <v>5</v>
      </c>
      <c r="I1010" s="7">
        <v>1.5</v>
      </c>
      <c r="J1010" s="7">
        <f t="shared" si="67"/>
        <v>7.5</v>
      </c>
      <c r="P1010" s="7"/>
    </row>
    <row r="1011" spans="1:16" ht="12.75" customHeight="1">
      <c r="A1011" s="10"/>
      <c r="B1011" s="10"/>
      <c r="F1011" s="9">
        <v>3</v>
      </c>
      <c r="G1011" s="7" t="s">
        <v>2276</v>
      </c>
      <c r="H1011" s="7">
        <v>5</v>
      </c>
      <c r="I1011" s="7">
        <v>1</v>
      </c>
      <c r="J1011" s="7">
        <f t="shared" si="67"/>
        <v>5</v>
      </c>
      <c r="P1011" s="7"/>
    </row>
    <row r="1012" spans="1:16" ht="12.75" customHeight="1">
      <c r="A1012" s="10"/>
      <c r="B1012" s="10"/>
      <c r="F1012" s="9">
        <v>3</v>
      </c>
      <c r="G1012" s="7" t="s">
        <v>2277</v>
      </c>
      <c r="H1012" s="7">
        <v>5</v>
      </c>
      <c r="I1012" s="7">
        <v>0.33</v>
      </c>
      <c r="J1012" s="7">
        <f t="shared" si="67"/>
        <v>1.6500000000000001</v>
      </c>
      <c r="P1012" s="7"/>
    </row>
    <row r="1013" spans="1:16" ht="12.75" customHeight="1">
      <c r="A1013" s="10"/>
      <c r="B1013" s="10"/>
      <c r="F1013" s="9">
        <v>3</v>
      </c>
      <c r="G1013" s="7" t="s">
        <v>2278</v>
      </c>
      <c r="H1013" s="7">
        <v>5</v>
      </c>
      <c r="I1013" s="7">
        <v>1.4</v>
      </c>
      <c r="J1013" s="7">
        <f t="shared" si="67"/>
        <v>7</v>
      </c>
      <c r="P1013" s="7"/>
    </row>
    <row r="1014" spans="1:16" ht="12.75" customHeight="1">
      <c r="A1014" s="10"/>
      <c r="B1014" s="10"/>
      <c r="F1014" s="9">
        <v>3</v>
      </c>
      <c r="G1014" s="7" t="s">
        <v>2279</v>
      </c>
      <c r="H1014" s="7">
        <v>5</v>
      </c>
      <c r="I1014" s="7">
        <v>1.5</v>
      </c>
      <c r="J1014" s="7">
        <f t="shared" si="67"/>
        <v>7.5</v>
      </c>
      <c r="P1014" s="7"/>
    </row>
    <row r="1015" spans="1:16" ht="12.75" customHeight="1">
      <c r="A1015" s="10"/>
      <c r="B1015" s="10"/>
      <c r="F1015" s="9">
        <v>3</v>
      </c>
      <c r="G1015" s="7" t="s">
        <v>2280</v>
      </c>
      <c r="H1015" s="7">
        <v>5</v>
      </c>
      <c r="I1015" s="7">
        <v>0.75</v>
      </c>
      <c r="J1015" s="7">
        <f t="shared" si="67"/>
        <v>3.75</v>
      </c>
      <c r="P1015" s="7"/>
    </row>
    <row r="1016" spans="1:16" ht="12.75" customHeight="1">
      <c r="A1016" s="10"/>
      <c r="B1016" s="10"/>
      <c r="F1016" s="9">
        <v>3</v>
      </c>
      <c r="G1016" s="7" t="s">
        <v>2281</v>
      </c>
      <c r="H1016" s="7">
        <v>5</v>
      </c>
      <c r="I1016" s="7">
        <v>3</v>
      </c>
      <c r="J1016" s="7">
        <f t="shared" si="67"/>
        <v>15</v>
      </c>
      <c r="P1016" s="7"/>
    </row>
    <row r="1017" spans="1:16" ht="12.75" customHeight="1">
      <c r="A1017" s="10"/>
      <c r="B1017" s="10"/>
      <c r="F1017" s="9">
        <v>4</v>
      </c>
      <c r="G1017" s="7" t="s">
        <v>2230</v>
      </c>
      <c r="H1017" s="7">
        <v>5</v>
      </c>
      <c r="I1017" s="7">
        <v>0.53</v>
      </c>
      <c r="J1017" s="7">
        <f t="shared" si="67"/>
        <v>2.6500000000000004</v>
      </c>
      <c r="P1017" s="7"/>
    </row>
    <row r="1018" spans="1:16" ht="12.75" customHeight="1">
      <c r="A1018" s="10"/>
      <c r="B1018" s="10"/>
      <c r="F1018" s="9">
        <v>4</v>
      </c>
      <c r="G1018" s="7" t="s">
        <v>2231</v>
      </c>
      <c r="H1018" s="7">
        <v>3</v>
      </c>
      <c r="I1018" s="7">
        <v>4.2</v>
      </c>
      <c r="J1018" s="7">
        <f t="shared" si="67"/>
        <v>12.600000000000001</v>
      </c>
      <c r="P1018" s="7"/>
    </row>
    <row r="1019" spans="1:16" ht="12.75" customHeight="1">
      <c r="A1019" s="10"/>
      <c r="B1019" s="10"/>
      <c r="F1019" s="9">
        <v>4</v>
      </c>
      <c r="G1019" s="7" t="s">
        <v>2282</v>
      </c>
      <c r="H1019" s="7">
        <v>3</v>
      </c>
      <c r="I1019" s="7">
        <v>1.45</v>
      </c>
      <c r="J1019" s="7">
        <f t="shared" si="67"/>
        <v>4.3499999999999996</v>
      </c>
      <c r="P1019" s="7"/>
    </row>
    <row r="1020" spans="1:16" ht="12.75" customHeight="1">
      <c r="A1020" s="10"/>
      <c r="B1020" s="10"/>
      <c r="F1020" s="9">
        <v>4</v>
      </c>
      <c r="G1020" s="7" t="s">
        <v>2283</v>
      </c>
      <c r="H1020" s="7">
        <v>3</v>
      </c>
      <c r="I1020" s="7">
        <v>1.6</v>
      </c>
      <c r="J1020" s="7">
        <f t="shared" si="67"/>
        <v>4.8000000000000007</v>
      </c>
      <c r="P1020" s="7"/>
    </row>
    <row r="1021" spans="1:16" ht="12.75" customHeight="1">
      <c r="A1021" s="10"/>
      <c r="B1021" s="10"/>
      <c r="F1021" s="9">
        <v>4</v>
      </c>
      <c r="G1021" s="7" t="s">
        <v>2284</v>
      </c>
      <c r="H1021" s="7">
        <v>3</v>
      </c>
      <c r="I1021" s="7">
        <v>1.45</v>
      </c>
      <c r="J1021" s="7">
        <f t="shared" si="67"/>
        <v>4.3499999999999996</v>
      </c>
      <c r="P1021" s="7"/>
    </row>
    <row r="1022" spans="1:16" ht="12.75" customHeight="1">
      <c r="A1022" s="10"/>
      <c r="B1022" s="10"/>
      <c r="F1022" s="9">
        <v>4</v>
      </c>
      <c r="G1022" s="7" t="s">
        <v>2285</v>
      </c>
      <c r="H1022" s="7">
        <v>3</v>
      </c>
      <c r="I1022" s="7">
        <v>1.5</v>
      </c>
      <c r="J1022" s="7">
        <f t="shared" si="67"/>
        <v>4.5</v>
      </c>
      <c r="P1022" s="7"/>
    </row>
    <row r="1023" spans="1:16" ht="12.75" customHeight="1">
      <c r="A1023" s="10"/>
      <c r="B1023" s="10"/>
      <c r="F1023" s="9">
        <v>4</v>
      </c>
      <c r="G1023" s="7" t="s">
        <v>2286</v>
      </c>
      <c r="H1023" s="7">
        <v>3</v>
      </c>
      <c r="I1023" s="7">
        <v>1.6</v>
      </c>
      <c r="J1023" s="7">
        <f t="shared" si="67"/>
        <v>4.8000000000000007</v>
      </c>
      <c r="P1023" s="7"/>
    </row>
    <row r="1024" spans="1:16" ht="12.75" customHeight="1">
      <c r="A1024" s="10"/>
      <c r="B1024" s="10"/>
      <c r="F1024" s="9">
        <v>4</v>
      </c>
      <c r="G1024" s="7" t="s">
        <v>2287</v>
      </c>
      <c r="H1024" s="7">
        <v>3</v>
      </c>
      <c r="I1024" s="7">
        <v>1.45</v>
      </c>
      <c r="J1024" s="7">
        <f t="shared" si="67"/>
        <v>4.3499999999999996</v>
      </c>
      <c r="P1024" s="7"/>
    </row>
    <row r="1025" spans="1:16" ht="12.75" customHeight="1">
      <c r="A1025" s="10"/>
      <c r="B1025" s="10"/>
      <c r="F1025" s="9">
        <v>4</v>
      </c>
      <c r="G1025" s="7" t="s">
        <v>2232</v>
      </c>
      <c r="H1025" s="7">
        <v>3</v>
      </c>
      <c r="I1025" s="7">
        <v>1.38</v>
      </c>
      <c r="J1025" s="7">
        <f t="shared" ref="J1025:J1056" si="68">H1025*I1025</f>
        <v>4.1399999999999997</v>
      </c>
      <c r="P1025" s="7"/>
    </row>
    <row r="1026" spans="1:16" ht="12.75" customHeight="1">
      <c r="A1026" s="10"/>
      <c r="B1026" s="10"/>
      <c r="F1026" s="9">
        <v>4</v>
      </c>
      <c r="G1026" s="7" t="s">
        <v>2288</v>
      </c>
      <c r="H1026" s="7">
        <v>5</v>
      </c>
      <c r="I1026" s="7">
        <v>1.5</v>
      </c>
      <c r="J1026" s="7">
        <f t="shared" si="68"/>
        <v>7.5</v>
      </c>
      <c r="P1026" s="7"/>
    </row>
    <row r="1027" spans="1:16" ht="12.75" customHeight="1">
      <c r="A1027" s="10"/>
      <c r="B1027" s="10"/>
      <c r="F1027" s="9">
        <v>4</v>
      </c>
      <c r="G1027" s="7" t="s">
        <v>2233</v>
      </c>
      <c r="H1027" s="7">
        <v>3</v>
      </c>
      <c r="I1027" s="7">
        <v>1.4</v>
      </c>
      <c r="J1027" s="7">
        <f t="shared" si="68"/>
        <v>4.1999999999999993</v>
      </c>
      <c r="P1027" s="7"/>
    </row>
    <row r="1028" spans="1:16" ht="12.75" customHeight="1">
      <c r="A1028" s="10"/>
      <c r="B1028" s="10"/>
      <c r="F1028" s="9">
        <v>4</v>
      </c>
      <c r="G1028" s="7" t="s">
        <v>2234</v>
      </c>
      <c r="H1028" s="7">
        <v>5</v>
      </c>
      <c r="I1028" s="7">
        <v>1.1000000000000001</v>
      </c>
      <c r="J1028" s="7">
        <f t="shared" si="68"/>
        <v>5.5</v>
      </c>
      <c r="P1028" s="7"/>
    </row>
    <row r="1029" spans="1:16" ht="12.75" customHeight="1">
      <c r="A1029" s="10"/>
      <c r="B1029" s="10"/>
      <c r="F1029" s="9">
        <v>4</v>
      </c>
      <c r="G1029" s="7" t="s">
        <v>2235</v>
      </c>
      <c r="H1029" s="7">
        <v>5</v>
      </c>
      <c r="I1029" s="7">
        <v>2.7</v>
      </c>
      <c r="J1029" s="7">
        <f t="shared" si="68"/>
        <v>13.5</v>
      </c>
      <c r="P1029" s="7"/>
    </row>
    <row r="1030" spans="1:16" ht="12.75" customHeight="1">
      <c r="A1030" s="10"/>
      <c r="B1030" s="10"/>
      <c r="F1030" s="9">
        <v>4</v>
      </c>
      <c r="G1030" s="7" t="s">
        <v>2236</v>
      </c>
      <c r="H1030" s="7">
        <v>5</v>
      </c>
      <c r="I1030" s="7">
        <v>0.55000000000000004</v>
      </c>
      <c r="J1030" s="7">
        <f t="shared" si="68"/>
        <v>2.75</v>
      </c>
      <c r="P1030" s="7"/>
    </row>
    <row r="1031" spans="1:16" ht="12.75" customHeight="1">
      <c r="A1031" s="10"/>
      <c r="B1031" s="10"/>
      <c r="F1031" s="9">
        <v>4</v>
      </c>
      <c r="G1031" s="7" t="s">
        <v>2237</v>
      </c>
      <c r="H1031" s="7">
        <v>5</v>
      </c>
      <c r="I1031" s="7">
        <v>0.6</v>
      </c>
      <c r="J1031" s="7">
        <f t="shared" si="68"/>
        <v>3</v>
      </c>
      <c r="P1031" s="7"/>
    </row>
    <row r="1032" spans="1:16" ht="12.75" customHeight="1">
      <c r="A1032" s="10"/>
      <c r="B1032" s="10"/>
      <c r="F1032" s="9">
        <v>4</v>
      </c>
      <c r="G1032" s="7" t="s">
        <v>2238</v>
      </c>
      <c r="H1032" s="7">
        <v>5</v>
      </c>
      <c r="I1032" s="7">
        <v>0.36</v>
      </c>
      <c r="J1032" s="7">
        <f t="shared" si="68"/>
        <v>1.7999999999999998</v>
      </c>
      <c r="P1032" s="7"/>
    </row>
    <row r="1033" spans="1:16" ht="12.75" customHeight="1">
      <c r="A1033" s="10"/>
      <c r="B1033" s="10"/>
      <c r="F1033" s="9">
        <v>4</v>
      </c>
      <c r="G1033" s="7" t="s">
        <v>2289</v>
      </c>
      <c r="H1033" s="7">
        <v>5</v>
      </c>
      <c r="I1033" s="7">
        <v>0.5</v>
      </c>
      <c r="J1033" s="7">
        <f t="shared" si="68"/>
        <v>2.5</v>
      </c>
      <c r="P1033" s="7"/>
    </row>
    <row r="1034" spans="1:16" ht="12.75" customHeight="1">
      <c r="A1034" s="10"/>
      <c r="B1034" s="10"/>
      <c r="F1034" s="9">
        <v>4</v>
      </c>
      <c r="G1034" s="7" t="s">
        <v>2290</v>
      </c>
      <c r="H1034" s="7">
        <v>3</v>
      </c>
      <c r="I1034" s="7">
        <v>0.4</v>
      </c>
      <c r="J1034" s="7">
        <f t="shared" si="68"/>
        <v>1.2000000000000002</v>
      </c>
      <c r="P1034" s="7"/>
    </row>
    <row r="1035" spans="1:16" ht="12.75" customHeight="1">
      <c r="A1035" s="10"/>
      <c r="B1035" s="10"/>
      <c r="F1035" s="9">
        <v>4</v>
      </c>
      <c r="G1035" s="7" t="s">
        <v>2239</v>
      </c>
      <c r="H1035" s="7">
        <v>5</v>
      </c>
      <c r="I1035" s="7">
        <v>0.34</v>
      </c>
      <c r="J1035" s="7">
        <f t="shared" si="68"/>
        <v>1.7000000000000002</v>
      </c>
      <c r="P1035" s="7"/>
    </row>
    <row r="1036" spans="1:16" ht="12.75" customHeight="1">
      <c r="A1036" s="10"/>
      <c r="B1036" s="10"/>
      <c r="F1036" s="9">
        <v>4</v>
      </c>
      <c r="G1036" s="7" t="s">
        <v>2291</v>
      </c>
      <c r="H1036" s="7">
        <v>5</v>
      </c>
      <c r="I1036" s="7">
        <v>4.8</v>
      </c>
      <c r="J1036" s="7">
        <f t="shared" si="68"/>
        <v>24</v>
      </c>
      <c r="P1036" s="7"/>
    </row>
    <row r="1037" spans="1:16" ht="12.75" customHeight="1">
      <c r="A1037" s="10"/>
      <c r="B1037" s="10"/>
      <c r="F1037" s="9">
        <v>4</v>
      </c>
      <c r="G1037" s="7" t="s">
        <v>2240</v>
      </c>
      <c r="H1037" s="7">
        <v>5</v>
      </c>
      <c r="I1037" s="7">
        <v>0.46</v>
      </c>
      <c r="J1037" s="7">
        <f t="shared" si="68"/>
        <v>2.3000000000000003</v>
      </c>
      <c r="P1037" s="7"/>
    </row>
    <row r="1038" spans="1:16" ht="12.75" customHeight="1">
      <c r="A1038" s="10"/>
      <c r="B1038" s="10"/>
      <c r="F1038" s="9">
        <v>4</v>
      </c>
      <c r="G1038" s="7" t="s">
        <v>2241</v>
      </c>
      <c r="H1038" s="7">
        <v>5</v>
      </c>
      <c r="I1038" s="7">
        <v>0.3</v>
      </c>
      <c r="J1038" s="7">
        <f t="shared" si="68"/>
        <v>1.5</v>
      </c>
      <c r="P1038" s="7"/>
    </row>
    <row r="1039" spans="1:16" ht="12.75" customHeight="1">
      <c r="A1039" s="10"/>
      <c r="B1039" s="10"/>
      <c r="F1039" s="9">
        <v>4</v>
      </c>
      <c r="G1039" s="7" t="s">
        <v>2242</v>
      </c>
      <c r="H1039" s="7">
        <v>5</v>
      </c>
      <c r="I1039" s="7">
        <v>0.35</v>
      </c>
      <c r="J1039" s="7">
        <f t="shared" si="68"/>
        <v>1.75</v>
      </c>
      <c r="P1039" s="7"/>
    </row>
    <row r="1040" spans="1:16" ht="12.75" customHeight="1">
      <c r="A1040" s="10"/>
      <c r="B1040" s="10"/>
      <c r="F1040" s="9">
        <v>4</v>
      </c>
      <c r="G1040" s="7" t="s">
        <v>2243</v>
      </c>
      <c r="H1040" s="7">
        <v>5</v>
      </c>
      <c r="I1040" s="7">
        <v>0.36</v>
      </c>
      <c r="J1040" s="7">
        <f t="shared" si="68"/>
        <v>1.7999999999999998</v>
      </c>
      <c r="P1040" s="7"/>
    </row>
    <row r="1041" spans="1:16" ht="12.75" customHeight="1">
      <c r="A1041" s="10"/>
      <c r="B1041" s="10"/>
      <c r="F1041" s="9">
        <v>4</v>
      </c>
      <c r="G1041" s="7" t="s">
        <v>2292</v>
      </c>
      <c r="H1041" s="7">
        <v>5</v>
      </c>
      <c r="I1041" s="7">
        <v>0.2</v>
      </c>
      <c r="J1041" s="7">
        <f t="shared" si="68"/>
        <v>1</v>
      </c>
      <c r="P1041" s="7"/>
    </row>
    <row r="1042" spans="1:16" ht="12.75" customHeight="1">
      <c r="A1042" s="10"/>
      <c r="B1042" s="10"/>
      <c r="F1042" s="9">
        <v>4</v>
      </c>
      <c r="G1042" s="7" t="s">
        <v>2293</v>
      </c>
      <c r="H1042" s="7">
        <v>5</v>
      </c>
      <c r="I1042" s="7">
        <v>3.5</v>
      </c>
      <c r="J1042" s="7">
        <f t="shared" si="68"/>
        <v>17.5</v>
      </c>
      <c r="P1042" s="7"/>
    </row>
    <row r="1043" spans="1:16" ht="12.75" customHeight="1">
      <c r="A1043" s="10"/>
      <c r="B1043" s="10"/>
      <c r="F1043" s="9">
        <v>4</v>
      </c>
      <c r="G1043" s="7" t="s">
        <v>2244</v>
      </c>
      <c r="H1043" s="7">
        <v>5</v>
      </c>
      <c r="I1043" s="7">
        <v>0.76</v>
      </c>
      <c r="J1043" s="7">
        <f t="shared" si="68"/>
        <v>3.8</v>
      </c>
      <c r="P1043" s="7"/>
    </row>
    <row r="1044" spans="1:16" ht="12.75" customHeight="1">
      <c r="A1044" s="10"/>
      <c r="B1044" s="10"/>
      <c r="F1044" s="9">
        <v>4</v>
      </c>
      <c r="G1044" s="7" t="s">
        <v>2245</v>
      </c>
      <c r="H1044" s="7">
        <v>5</v>
      </c>
      <c r="I1044" s="7">
        <v>0.73</v>
      </c>
      <c r="J1044" s="7">
        <f t="shared" si="68"/>
        <v>3.65</v>
      </c>
      <c r="P1044" s="7"/>
    </row>
    <row r="1045" spans="1:16" ht="12.75" customHeight="1">
      <c r="A1045" s="10"/>
      <c r="B1045" s="10"/>
      <c r="F1045" s="9">
        <v>4</v>
      </c>
      <c r="G1045" s="7" t="s">
        <v>2246</v>
      </c>
      <c r="H1045" s="7">
        <v>5</v>
      </c>
      <c r="I1045" s="7">
        <v>0.85</v>
      </c>
      <c r="J1045" s="7">
        <f t="shared" si="68"/>
        <v>4.25</v>
      </c>
      <c r="P1045" s="7"/>
    </row>
    <row r="1046" spans="1:16" ht="12.75" customHeight="1">
      <c r="A1046" s="10"/>
      <c r="B1046" s="10"/>
      <c r="F1046" s="9">
        <v>4</v>
      </c>
      <c r="G1046" s="7" t="s">
        <v>2228</v>
      </c>
      <c r="H1046" s="7">
        <v>5</v>
      </c>
      <c r="I1046" s="7">
        <v>0.7</v>
      </c>
      <c r="J1046" s="7">
        <f t="shared" si="68"/>
        <v>3.5</v>
      </c>
      <c r="P1046" s="7"/>
    </row>
    <row r="1047" spans="1:16" ht="12.75" customHeight="1">
      <c r="A1047" s="10"/>
      <c r="B1047" s="10"/>
      <c r="F1047" s="9">
        <v>4</v>
      </c>
      <c r="G1047" s="7" t="s">
        <v>2247</v>
      </c>
      <c r="H1047" s="7">
        <v>5</v>
      </c>
      <c r="I1047" s="7">
        <v>0.6</v>
      </c>
      <c r="J1047" s="7">
        <f t="shared" si="68"/>
        <v>3</v>
      </c>
      <c r="P1047" s="7"/>
    </row>
    <row r="1048" spans="1:16" ht="12.75" customHeight="1">
      <c r="A1048" s="10"/>
      <c r="B1048" s="10"/>
      <c r="F1048" s="9">
        <v>4</v>
      </c>
      <c r="G1048" s="7" t="s">
        <v>2248</v>
      </c>
      <c r="H1048" s="7">
        <v>5</v>
      </c>
      <c r="I1048" s="7">
        <v>0.72</v>
      </c>
      <c r="J1048" s="7">
        <f t="shared" si="68"/>
        <v>3.5999999999999996</v>
      </c>
      <c r="P1048" s="7"/>
    </row>
    <row r="1049" spans="1:16" ht="12.75" customHeight="1">
      <c r="A1049" s="10"/>
      <c r="B1049" s="10"/>
      <c r="F1049" s="9">
        <v>4</v>
      </c>
      <c r="G1049" s="7" t="s">
        <v>2294</v>
      </c>
      <c r="H1049" s="7">
        <v>5</v>
      </c>
      <c r="I1049" s="7">
        <v>1.18</v>
      </c>
      <c r="J1049" s="7">
        <f t="shared" si="68"/>
        <v>5.8999999999999995</v>
      </c>
      <c r="P1049" s="7"/>
    </row>
    <row r="1050" spans="1:16" ht="12.75" customHeight="1">
      <c r="A1050" s="10"/>
      <c r="B1050" s="10"/>
      <c r="F1050" s="9">
        <v>4</v>
      </c>
      <c r="G1050" s="7" t="s">
        <v>2295</v>
      </c>
      <c r="H1050" s="7">
        <v>5</v>
      </c>
      <c r="I1050" s="7">
        <v>1.18</v>
      </c>
      <c r="J1050" s="7">
        <f t="shared" si="68"/>
        <v>5.8999999999999995</v>
      </c>
      <c r="P1050" s="7"/>
    </row>
    <row r="1051" spans="1:16" ht="12.75" customHeight="1">
      <c r="A1051" s="10"/>
      <c r="B1051" s="10"/>
      <c r="F1051" s="9">
        <v>4</v>
      </c>
      <c r="G1051" s="7" t="s">
        <v>2296</v>
      </c>
      <c r="H1051" s="7">
        <v>3</v>
      </c>
      <c r="I1051" s="7">
        <v>0.4</v>
      </c>
      <c r="J1051" s="7">
        <f t="shared" si="68"/>
        <v>1.2000000000000002</v>
      </c>
      <c r="P1051" s="7"/>
    </row>
    <row r="1052" spans="1:16" ht="12.75" customHeight="1">
      <c r="A1052" s="10"/>
      <c r="B1052" s="10"/>
      <c r="F1052" s="9">
        <v>4</v>
      </c>
      <c r="G1052" s="7" t="s">
        <v>2297</v>
      </c>
      <c r="H1052" s="7">
        <v>5</v>
      </c>
      <c r="I1052" s="7">
        <v>0.63</v>
      </c>
      <c r="J1052" s="7">
        <f t="shared" si="68"/>
        <v>3.15</v>
      </c>
      <c r="P1052" s="7"/>
    </row>
    <row r="1053" spans="1:16" ht="12.75" customHeight="1">
      <c r="A1053" s="10"/>
      <c r="B1053" s="10"/>
      <c r="F1053" s="9">
        <v>4</v>
      </c>
      <c r="G1053" s="7" t="s">
        <v>2249</v>
      </c>
      <c r="H1053" s="7">
        <v>5</v>
      </c>
      <c r="I1053" s="7">
        <v>2.2000000000000002</v>
      </c>
      <c r="J1053" s="7">
        <f t="shared" si="68"/>
        <v>11</v>
      </c>
      <c r="P1053" s="7"/>
    </row>
    <row r="1054" spans="1:16" ht="12.75" customHeight="1">
      <c r="A1054" s="10"/>
      <c r="B1054" s="10"/>
      <c r="F1054" s="9">
        <v>4</v>
      </c>
      <c r="G1054" s="7" t="s">
        <v>2298</v>
      </c>
      <c r="H1054" s="7">
        <v>5</v>
      </c>
      <c r="I1054" s="7">
        <v>1.1499999999999999</v>
      </c>
      <c r="J1054" s="7">
        <f t="shared" si="68"/>
        <v>5.75</v>
      </c>
      <c r="P1054" s="7"/>
    </row>
    <row r="1055" spans="1:16" ht="12.75" customHeight="1">
      <c r="A1055" s="10"/>
      <c r="B1055" s="10"/>
      <c r="F1055" s="9">
        <v>4</v>
      </c>
      <c r="G1055" s="7" t="s">
        <v>2299</v>
      </c>
      <c r="H1055" s="7">
        <v>5</v>
      </c>
      <c r="I1055" s="7">
        <v>1.1499999999999999</v>
      </c>
      <c r="J1055" s="7">
        <f t="shared" si="68"/>
        <v>5.75</v>
      </c>
      <c r="P1055" s="7"/>
    </row>
    <row r="1056" spans="1:16" ht="12.75" customHeight="1">
      <c r="A1056" s="10"/>
      <c r="B1056" s="10"/>
      <c r="F1056" s="9">
        <v>4</v>
      </c>
      <c r="G1056" s="7" t="s">
        <v>2250</v>
      </c>
      <c r="H1056" s="7">
        <v>5</v>
      </c>
      <c r="I1056" s="7">
        <v>1.25</v>
      </c>
      <c r="J1056" s="7">
        <f t="shared" si="68"/>
        <v>6.25</v>
      </c>
      <c r="P1056" s="7"/>
    </row>
    <row r="1057" spans="1:16" ht="12.75" customHeight="1">
      <c r="A1057" s="10"/>
      <c r="B1057" s="10"/>
      <c r="F1057" s="9">
        <v>4</v>
      </c>
      <c r="G1057" s="7" t="s">
        <v>2251</v>
      </c>
      <c r="H1057" s="7">
        <v>5</v>
      </c>
      <c r="I1057" s="7">
        <v>2.5</v>
      </c>
      <c r="J1057" s="7">
        <f t="shared" ref="J1057:J1066" si="69">H1057*I1057</f>
        <v>12.5</v>
      </c>
    </row>
    <row r="1058" spans="1:16" ht="12.75" customHeight="1">
      <c r="A1058" s="10"/>
      <c r="B1058" s="10"/>
      <c r="F1058" s="9">
        <v>4</v>
      </c>
      <c r="G1058" s="7" t="s">
        <v>2252</v>
      </c>
      <c r="H1058" s="7">
        <v>5</v>
      </c>
      <c r="I1058" s="7">
        <v>1.8</v>
      </c>
      <c r="J1058" s="7">
        <f t="shared" si="69"/>
        <v>9</v>
      </c>
    </row>
    <row r="1059" spans="1:16" ht="12.75" customHeight="1">
      <c r="A1059" s="10"/>
      <c r="B1059" s="10"/>
      <c r="F1059" s="9">
        <v>4</v>
      </c>
      <c r="G1059" s="7" t="s">
        <v>2253</v>
      </c>
      <c r="H1059" s="7">
        <v>5</v>
      </c>
      <c r="I1059" s="7">
        <v>2.1</v>
      </c>
      <c r="J1059" s="7">
        <f t="shared" si="69"/>
        <v>10.5</v>
      </c>
    </row>
    <row r="1060" spans="1:16" ht="12.75" customHeight="1">
      <c r="A1060" s="10"/>
      <c r="B1060" s="10"/>
      <c r="F1060" s="9">
        <v>4</v>
      </c>
      <c r="G1060" s="7" t="s">
        <v>2300</v>
      </c>
      <c r="H1060" s="7">
        <v>5</v>
      </c>
      <c r="I1060" s="7">
        <v>0.5</v>
      </c>
      <c r="J1060" s="7">
        <f t="shared" si="69"/>
        <v>2.5</v>
      </c>
    </row>
    <row r="1061" spans="1:16" ht="12.75" customHeight="1">
      <c r="A1061" s="10"/>
      <c r="B1061" s="10"/>
      <c r="F1061" s="9">
        <v>4</v>
      </c>
      <c r="G1061" s="7" t="s">
        <v>2254</v>
      </c>
      <c r="H1061" s="7">
        <v>5</v>
      </c>
      <c r="I1061" s="7">
        <v>0.65</v>
      </c>
      <c r="J1061" s="7">
        <f t="shared" si="69"/>
        <v>3.25</v>
      </c>
    </row>
    <row r="1062" spans="1:16" ht="12.75" customHeight="1">
      <c r="A1062" s="10"/>
      <c r="B1062" s="10"/>
      <c r="F1062" s="9">
        <v>4</v>
      </c>
      <c r="G1062" s="7" t="s">
        <v>2255</v>
      </c>
      <c r="H1062" s="7">
        <v>5</v>
      </c>
      <c r="I1062" s="7">
        <v>2.5</v>
      </c>
      <c r="J1062" s="7">
        <f t="shared" si="69"/>
        <v>12.5</v>
      </c>
    </row>
    <row r="1063" spans="1:16" ht="12.75" customHeight="1">
      <c r="A1063" s="10"/>
      <c r="B1063" s="10"/>
      <c r="F1063" s="9">
        <v>4</v>
      </c>
      <c r="G1063" s="7" t="s">
        <v>2256</v>
      </c>
      <c r="H1063" s="7">
        <v>5</v>
      </c>
      <c r="I1063" s="7">
        <v>2</v>
      </c>
      <c r="J1063" s="7">
        <f t="shared" si="69"/>
        <v>10</v>
      </c>
    </row>
    <row r="1064" spans="1:16" ht="12.75" customHeight="1">
      <c r="A1064" s="10"/>
      <c r="B1064" s="10"/>
      <c r="F1064" s="9">
        <v>4</v>
      </c>
      <c r="G1064" s="7" t="s">
        <v>2257</v>
      </c>
      <c r="H1064" s="7">
        <v>3</v>
      </c>
      <c r="I1064" s="7">
        <v>0.55000000000000004</v>
      </c>
      <c r="J1064" s="7">
        <f t="shared" si="69"/>
        <v>1.6500000000000001</v>
      </c>
    </row>
    <row r="1065" spans="1:16" ht="12.75" customHeight="1">
      <c r="A1065" s="10"/>
      <c r="B1065" s="10"/>
      <c r="F1065" s="9">
        <v>4</v>
      </c>
      <c r="G1065" s="7" t="s">
        <v>2258</v>
      </c>
      <c r="H1065" s="7">
        <v>3</v>
      </c>
      <c r="I1065" s="7">
        <v>1.98</v>
      </c>
      <c r="J1065" s="7">
        <f t="shared" si="69"/>
        <v>5.9399999999999995</v>
      </c>
    </row>
    <row r="1066" spans="1:16" ht="12.75" customHeight="1">
      <c r="A1066" s="10"/>
      <c r="B1066" s="10"/>
      <c r="F1066" s="9">
        <v>4</v>
      </c>
      <c r="G1066" s="7" t="s">
        <v>2301</v>
      </c>
      <c r="H1066" s="7">
        <v>3</v>
      </c>
      <c r="I1066" s="7">
        <v>0.4</v>
      </c>
      <c r="J1066" s="7">
        <f t="shared" si="69"/>
        <v>1.2000000000000002</v>
      </c>
    </row>
    <row r="1067" spans="1:16" s="4" customFormat="1" ht="12.75" customHeight="1">
      <c r="A1067" s="12"/>
      <c r="B1067" s="12"/>
      <c r="D1067" s="5"/>
      <c r="E1067" s="114"/>
      <c r="F1067" s="5"/>
      <c r="J1067" s="4">
        <f>SUM(J929:J1066)</f>
        <v>783.53999999999985</v>
      </c>
      <c r="K1067" s="4">
        <f>0.62+12.38+7.58+10.42</f>
        <v>31</v>
      </c>
      <c r="L1067" s="4">
        <f>-11.42-300.74-216.18-286.2</f>
        <v>-814.54</v>
      </c>
      <c r="O1067" s="4">
        <f>SUM(J1067:N1067)</f>
        <v>0</v>
      </c>
      <c r="P1067" s="13" t="s">
        <v>3043</v>
      </c>
    </row>
    <row r="1068" spans="1:16" ht="12.75" customHeight="1">
      <c r="A1068" s="10">
        <v>43836</v>
      </c>
      <c r="B1068" s="10"/>
      <c r="C1068" s="7" t="s">
        <v>2145</v>
      </c>
      <c r="E1068" s="152" t="s">
        <v>3391</v>
      </c>
      <c r="F1068" s="9">
        <v>18.899999999999999</v>
      </c>
      <c r="G1068" s="7" t="s">
        <v>2147</v>
      </c>
      <c r="H1068" s="7">
        <v>5</v>
      </c>
      <c r="I1068" s="7">
        <v>1.1000000000000001</v>
      </c>
      <c r="J1068" s="7">
        <f t="shared" ref="J1068:J1097" si="70">H1068*I1068</f>
        <v>5.5</v>
      </c>
    </row>
    <row r="1069" spans="1:16" ht="12.75" customHeight="1">
      <c r="A1069" s="10"/>
      <c r="B1069" s="10"/>
      <c r="E1069" s="152" t="s">
        <v>3652</v>
      </c>
      <c r="F1069" s="9">
        <v>13.9</v>
      </c>
      <c r="G1069" s="7" t="s">
        <v>2161</v>
      </c>
      <c r="H1069" s="123">
        <v>10</v>
      </c>
      <c r="I1069" s="7">
        <v>0.39</v>
      </c>
      <c r="J1069" s="7">
        <f>H1069*I1069</f>
        <v>3.9000000000000004</v>
      </c>
    </row>
    <row r="1070" spans="1:16" ht="12.75" customHeight="1">
      <c r="A1070" s="10"/>
      <c r="B1070" s="10"/>
      <c r="E1070" s="152" t="s">
        <v>3382</v>
      </c>
      <c r="F1070" s="9">
        <v>75.5</v>
      </c>
      <c r="G1070" s="141" t="s">
        <v>3653</v>
      </c>
      <c r="H1070" s="7">
        <v>5</v>
      </c>
      <c r="I1070" s="7">
        <v>0.75</v>
      </c>
      <c r="J1070" s="7">
        <f t="shared" si="70"/>
        <v>3.75</v>
      </c>
    </row>
    <row r="1071" spans="1:16" ht="12.75" customHeight="1">
      <c r="A1071" s="10"/>
      <c r="B1071" s="10"/>
      <c r="E1071" s="152" t="s">
        <v>3381</v>
      </c>
      <c r="F1071" s="9">
        <v>18.600000000000001</v>
      </c>
      <c r="G1071" s="141" t="s">
        <v>3647</v>
      </c>
      <c r="H1071" s="7">
        <v>3</v>
      </c>
      <c r="I1071" s="7">
        <v>0.95</v>
      </c>
      <c r="J1071" s="7">
        <f t="shared" si="70"/>
        <v>2.8499999999999996</v>
      </c>
    </row>
    <row r="1072" spans="1:16" ht="12.75" customHeight="1">
      <c r="A1072" s="10"/>
      <c r="B1072" s="10"/>
      <c r="E1072" s="152" t="s">
        <v>3646</v>
      </c>
      <c r="F1072" s="9">
        <v>18.600000000000001</v>
      </c>
      <c r="G1072" s="141" t="s">
        <v>3648</v>
      </c>
      <c r="H1072" s="7">
        <v>3</v>
      </c>
      <c r="I1072" s="7">
        <v>0.95</v>
      </c>
      <c r="J1072" s="7">
        <f t="shared" si="70"/>
        <v>2.8499999999999996</v>
      </c>
    </row>
    <row r="1073" spans="1:16" ht="12.75" customHeight="1">
      <c r="A1073" s="10"/>
      <c r="B1073" s="10"/>
      <c r="E1073" s="152" t="s">
        <v>3136</v>
      </c>
      <c r="F1073" s="9">
        <v>17</v>
      </c>
      <c r="G1073" s="7" t="s">
        <v>2148</v>
      </c>
      <c r="H1073" s="7">
        <v>3</v>
      </c>
      <c r="I1073" s="7">
        <v>0.64</v>
      </c>
      <c r="J1073" s="7">
        <f t="shared" si="70"/>
        <v>1.92</v>
      </c>
      <c r="P1073" s="7"/>
    </row>
    <row r="1074" spans="1:16" ht="12.75" customHeight="1">
      <c r="A1074" s="10"/>
      <c r="B1074" s="10"/>
      <c r="E1074" s="152" t="s">
        <v>3137</v>
      </c>
      <c r="F1074" s="9">
        <v>17</v>
      </c>
      <c r="G1074" s="7" t="s">
        <v>2150</v>
      </c>
      <c r="H1074" s="7">
        <v>3</v>
      </c>
      <c r="I1074" s="7">
        <v>0.64</v>
      </c>
      <c r="J1074" s="7">
        <f t="shared" si="70"/>
        <v>1.92</v>
      </c>
      <c r="P1074" s="7"/>
    </row>
    <row r="1075" spans="1:16" ht="12.75" customHeight="1">
      <c r="A1075" s="10"/>
      <c r="B1075" s="10"/>
      <c r="E1075" s="152" t="s">
        <v>3138</v>
      </c>
      <c r="F1075" s="9">
        <v>17</v>
      </c>
      <c r="G1075" s="141" t="s">
        <v>3649</v>
      </c>
      <c r="H1075" s="7">
        <v>3</v>
      </c>
      <c r="I1075" s="7">
        <v>0.64</v>
      </c>
      <c r="J1075" s="7">
        <f t="shared" si="70"/>
        <v>1.92</v>
      </c>
      <c r="P1075" s="7"/>
    </row>
    <row r="1076" spans="1:16" ht="12.75" customHeight="1">
      <c r="A1076" s="10"/>
      <c r="B1076" s="10"/>
      <c r="E1076" s="152" t="s">
        <v>3139</v>
      </c>
      <c r="F1076" s="9">
        <v>17</v>
      </c>
      <c r="G1076" s="7" t="s">
        <v>2151</v>
      </c>
      <c r="H1076" s="7">
        <v>3</v>
      </c>
      <c r="I1076" s="7">
        <v>0.64</v>
      </c>
      <c r="J1076" s="7">
        <f t="shared" si="70"/>
        <v>1.92</v>
      </c>
      <c r="P1076" s="7"/>
    </row>
    <row r="1077" spans="1:16" ht="12.75" customHeight="1">
      <c r="A1077" s="10"/>
      <c r="B1077" s="10"/>
      <c r="E1077" s="152" t="s">
        <v>3140</v>
      </c>
      <c r="F1077" s="9">
        <v>17</v>
      </c>
      <c r="G1077" s="7" t="s">
        <v>2152</v>
      </c>
      <c r="H1077" s="7">
        <v>3</v>
      </c>
      <c r="I1077" s="7">
        <v>0.64</v>
      </c>
      <c r="J1077" s="7">
        <f t="shared" si="70"/>
        <v>1.92</v>
      </c>
      <c r="P1077" s="7"/>
    </row>
    <row r="1078" spans="1:16" ht="12.75" customHeight="1">
      <c r="A1078" s="10"/>
      <c r="B1078" s="10"/>
      <c r="E1078" s="152" t="s">
        <v>3141</v>
      </c>
      <c r="F1078" s="9">
        <v>17</v>
      </c>
      <c r="G1078" s="7" t="s">
        <v>2154</v>
      </c>
      <c r="H1078" s="7">
        <v>3</v>
      </c>
      <c r="I1078" s="7">
        <v>0.64</v>
      </c>
      <c r="J1078" s="7">
        <f t="shared" si="70"/>
        <v>1.92</v>
      </c>
      <c r="P1078" s="7"/>
    </row>
    <row r="1079" spans="1:16" ht="12.75" customHeight="1">
      <c r="A1079" s="10"/>
      <c r="B1079" s="10"/>
      <c r="E1079" s="152" t="s">
        <v>3142</v>
      </c>
      <c r="F1079" s="9">
        <v>17</v>
      </c>
      <c r="G1079" s="7" t="s">
        <v>2149</v>
      </c>
      <c r="H1079" s="123">
        <v>3</v>
      </c>
      <c r="I1079" s="7">
        <v>0.64</v>
      </c>
      <c r="J1079" s="7">
        <f>H1079*I1079</f>
        <v>1.92</v>
      </c>
      <c r="P1079" s="7"/>
    </row>
    <row r="1080" spans="1:16" ht="12.75" customHeight="1">
      <c r="A1080" s="10"/>
      <c r="B1080" s="10"/>
      <c r="E1080" s="149" t="s">
        <v>3644</v>
      </c>
      <c r="G1080" s="51" t="s">
        <v>2153</v>
      </c>
      <c r="H1080" s="51">
        <v>3</v>
      </c>
      <c r="I1080" s="7">
        <v>0.64</v>
      </c>
      <c r="J1080" s="7">
        <f>H1080*I1080</f>
        <v>1.92</v>
      </c>
      <c r="P1080" s="7"/>
    </row>
    <row r="1081" spans="1:16" ht="12.75" customHeight="1">
      <c r="A1081" s="10"/>
      <c r="B1081" s="10"/>
      <c r="E1081" s="152" t="s">
        <v>3383</v>
      </c>
      <c r="F1081" s="9">
        <v>16.5</v>
      </c>
      <c r="G1081" s="141" t="s">
        <v>3650</v>
      </c>
      <c r="H1081" s="7">
        <v>5</v>
      </c>
      <c r="I1081" s="7">
        <v>0.28000000000000003</v>
      </c>
      <c r="J1081" s="7">
        <f t="shared" si="70"/>
        <v>1.4000000000000001</v>
      </c>
      <c r="P1081" s="7"/>
    </row>
    <row r="1082" spans="1:16" ht="12.75" customHeight="1">
      <c r="A1082" s="10"/>
      <c r="B1082" s="10"/>
      <c r="E1082" s="152" t="s">
        <v>3384</v>
      </c>
      <c r="F1082" s="9">
        <v>9.1999999999999993</v>
      </c>
      <c r="G1082" s="141" t="s">
        <v>3645</v>
      </c>
      <c r="H1082" s="123">
        <v>5</v>
      </c>
      <c r="I1082" s="7">
        <v>0.32</v>
      </c>
      <c r="J1082" s="7">
        <f t="shared" si="70"/>
        <v>1.6</v>
      </c>
      <c r="P1082" s="7"/>
    </row>
    <row r="1083" spans="1:16" ht="12.75" customHeight="1">
      <c r="A1083" s="10"/>
      <c r="B1083" s="10"/>
      <c r="E1083" s="152" t="s">
        <v>3385</v>
      </c>
      <c r="F1083" s="9">
        <v>12.5</v>
      </c>
      <c r="G1083" s="7" t="s">
        <v>2155</v>
      </c>
      <c r="H1083" s="7">
        <v>5</v>
      </c>
      <c r="I1083" s="7">
        <v>0.45</v>
      </c>
      <c r="J1083" s="7">
        <f t="shared" si="70"/>
        <v>2.25</v>
      </c>
      <c r="P1083" s="7"/>
    </row>
    <row r="1084" spans="1:16" ht="12.75" customHeight="1">
      <c r="A1084" s="10"/>
      <c r="B1084" s="10"/>
      <c r="E1084" s="152" t="s">
        <v>3386</v>
      </c>
      <c r="F1084" s="9">
        <v>9.8000000000000007</v>
      </c>
      <c r="G1084" s="7" t="s">
        <v>2156</v>
      </c>
      <c r="H1084" s="7">
        <v>5</v>
      </c>
      <c r="I1084" s="7">
        <v>0.36</v>
      </c>
      <c r="J1084" s="7">
        <f t="shared" si="70"/>
        <v>1.7999999999999998</v>
      </c>
      <c r="P1084" s="7"/>
    </row>
    <row r="1085" spans="1:16" ht="12.75" customHeight="1">
      <c r="A1085" s="10"/>
      <c r="B1085" s="10"/>
      <c r="E1085" s="149" t="s">
        <v>3644</v>
      </c>
      <c r="G1085" s="51" t="s">
        <v>2157</v>
      </c>
      <c r="H1085" s="7">
        <v>100</v>
      </c>
      <c r="I1085" s="7">
        <v>0.04</v>
      </c>
      <c r="J1085" s="7">
        <f t="shared" si="70"/>
        <v>4</v>
      </c>
      <c r="P1085" s="7"/>
    </row>
    <row r="1086" spans="1:16" ht="12.75" customHeight="1">
      <c r="A1086" s="10"/>
      <c r="B1086" s="10"/>
      <c r="E1086" s="151" t="s">
        <v>3663</v>
      </c>
      <c r="F1086" s="9">
        <f>9.5/6</f>
        <v>1.5833333333333333</v>
      </c>
      <c r="G1086" s="7" t="s">
        <v>2158</v>
      </c>
      <c r="H1086" s="7">
        <v>100</v>
      </c>
      <c r="I1086" s="7">
        <v>0.04</v>
      </c>
      <c r="J1086" s="7">
        <f t="shared" si="70"/>
        <v>4</v>
      </c>
      <c r="P1086" s="7"/>
    </row>
    <row r="1087" spans="1:16" ht="12.75" customHeight="1">
      <c r="A1087" s="10"/>
      <c r="B1087" s="10"/>
      <c r="E1087" s="151" t="s">
        <v>3656</v>
      </c>
      <c r="F1087" s="9">
        <v>31.5</v>
      </c>
      <c r="G1087" s="141" t="s">
        <v>3657</v>
      </c>
      <c r="H1087" s="7">
        <v>5</v>
      </c>
      <c r="I1087" s="7">
        <v>1</v>
      </c>
      <c r="J1087" s="7">
        <f t="shared" si="70"/>
        <v>5</v>
      </c>
      <c r="P1087" s="7"/>
    </row>
    <row r="1088" spans="1:16" ht="12.75" customHeight="1">
      <c r="A1088" s="10"/>
      <c r="B1088" s="10"/>
      <c r="E1088" s="151" t="s">
        <v>3387</v>
      </c>
      <c r="F1088" s="9">
        <v>31.5</v>
      </c>
      <c r="G1088" s="141" t="s">
        <v>3658</v>
      </c>
      <c r="H1088" s="7">
        <v>3</v>
      </c>
      <c r="I1088" s="7">
        <v>1</v>
      </c>
      <c r="J1088" s="7">
        <f t="shared" si="70"/>
        <v>3</v>
      </c>
      <c r="P1088" s="7"/>
    </row>
    <row r="1089" spans="1:16" ht="12.75" customHeight="1">
      <c r="A1089" s="10"/>
      <c r="B1089" s="10"/>
      <c r="E1089" s="151" t="s">
        <v>3388</v>
      </c>
      <c r="F1089" s="9">
        <v>31.5</v>
      </c>
      <c r="G1089" s="141" t="s">
        <v>3659</v>
      </c>
      <c r="H1089" s="7">
        <v>3</v>
      </c>
      <c r="I1089" s="7">
        <v>1</v>
      </c>
      <c r="J1089" s="7">
        <f t="shared" si="70"/>
        <v>3</v>
      </c>
    </row>
    <row r="1090" spans="1:16" ht="12.75" customHeight="1">
      <c r="A1090" s="10"/>
      <c r="B1090" s="10"/>
      <c r="E1090" s="151" t="s">
        <v>3389</v>
      </c>
      <c r="F1090" s="9">
        <v>31.5</v>
      </c>
      <c r="G1090" s="141" t="s">
        <v>3655</v>
      </c>
      <c r="H1090" s="7">
        <v>2</v>
      </c>
      <c r="I1090" s="7">
        <v>1</v>
      </c>
      <c r="J1090" s="7">
        <f t="shared" si="70"/>
        <v>2</v>
      </c>
    </row>
    <row r="1091" spans="1:16" ht="12.75" customHeight="1">
      <c r="A1091" s="10"/>
      <c r="B1091" s="10"/>
      <c r="E1091" s="151" t="s">
        <v>3390</v>
      </c>
      <c r="F1091" s="9">
        <v>31.5</v>
      </c>
      <c r="G1091" s="141" t="s">
        <v>3660</v>
      </c>
      <c r="H1091" s="7">
        <v>1</v>
      </c>
      <c r="I1091" s="7">
        <v>1</v>
      </c>
      <c r="J1091" s="7">
        <f t="shared" si="70"/>
        <v>1</v>
      </c>
    </row>
    <row r="1092" spans="1:16" ht="12.75" customHeight="1">
      <c r="A1092" s="10"/>
      <c r="B1092" s="10"/>
      <c r="E1092" s="151" t="s">
        <v>3662</v>
      </c>
      <c r="F1092" s="9">
        <v>31.5</v>
      </c>
      <c r="G1092" s="141" t="s">
        <v>3661</v>
      </c>
      <c r="H1092" s="7">
        <v>1</v>
      </c>
      <c r="I1092" s="7">
        <v>1</v>
      </c>
      <c r="J1092" s="7">
        <f>H1092*I1092</f>
        <v>1</v>
      </c>
    </row>
    <row r="1093" spans="1:16" ht="12.75" customHeight="1">
      <c r="A1093" s="10"/>
      <c r="B1093" s="10"/>
      <c r="E1093" s="151" t="s">
        <v>3651</v>
      </c>
      <c r="F1093" s="9">
        <v>22.2</v>
      </c>
      <c r="G1093" s="7" t="s">
        <v>2159</v>
      </c>
      <c r="H1093" s="123">
        <v>5</v>
      </c>
      <c r="I1093" s="7">
        <v>0.9</v>
      </c>
      <c r="J1093" s="7">
        <f t="shared" si="70"/>
        <v>4.5</v>
      </c>
    </row>
    <row r="1094" spans="1:16" ht="12.75" customHeight="1">
      <c r="A1094" s="10"/>
      <c r="B1094" s="10"/>
      <c r="E1094" s="149" t="s">
        <v>3644</v>
      </c>
      <c r="G1094" s="51" t="s">
        <v>2160</v>
      </c>
      <c r="H1094" s="7">
        <v>5</v>
      </c>
      <c r="I1094" s="7">
        <v>0.28999999999999998</v>
      </c>
      <c r="J1094" s="7">
        <f t="shared" si="70"/>
        <v>1.45</v>
      </c>
    </row>
    <row r="1095" spans="1:16" ht="12.75" customHeight="1">
      <c r="A1095" s="10"/>
      <c r="B1095" s="10"/>
      <c r="E1095" s="149" t="s">
        <v>3644</v>
      </c>
      <c r="G1095" s="7" t="s">
        <v>2162</v>
      </c>
      <c r="H1095" s="7">
        <v>3</v>
      </c>
      <c r="I1095" s="7">
        <v>0.3</v>
      </c>
      <c r="J1095" s="7">
        <f t="shared" si="70"/>
        <v>0.89999999999999991</v>
      </c>
    </row>
    <row r="1096" spans="1:16" ht="12.75" customHeight="1">
      <c r="A1096" s="10"/>
      <c r="B1096" s="10"/>
      <c r="E1096" s="151" t="s">
        <v>3654</v>
      </c>
      <c r="F1096" s="9">
        <v>10</v>
      </c>
      <c r="G1096" s="7" t="s">
        <v>2163</v>
      </c>
      <c r="H1096" s="123">
        <v>3</v>
      </c>
      <c r="I1096" s="7">
        <v>0.3</v>
      </c>
      <c r="J1096" s="7">
        <f t="shared" si="70"/>
        <v>0.89999999999999991</v>
      </c>
    </row>
    <row r="1097" spans="1:16" ht="12.75" customHeight="1">
      <c r="D1097" s="7"/>
      <c r="E1097" s="106" t="s">
        <v>4075</v>
      </c>
      <c r="G1097" s="123" t="s">
        <v>2146</v>
      </c>
      <c r="H1097" s="7">
        <v>5</v>
      </c>
      <c r="I1097" s="7">
        <v>1.45</v>
      </c>
      <c r="J1097" s="7">
        <f t="shared" si="70"/>
        <v>7.25</v>
      </c>
    </row>
    <row r="1098" spans="1:16" s="4" customFormat="1" ht="12.75" customHeight="1">
      <c r="A1098" s="12"/>
      <c r="B1098" s="12"/>
      <c r="D1098" s="5"/>
      <c r="E1098" s="114"/>
      <c r="F1098" s="5"/>
      <c r="H1098" s="4">
        <f>SUM(H1068:H1097)</f>
        <v>306</v>
      </c>
      <c r="J1098" s="4">
        <f>SUM(J1068:J1097)</f>
        <v>79.260000000000034</v>
      </c>
      <c r="K1098" s="4">
        <v>13</v>
      </c>
      <c r="L1098" s="4">
        <v>-92.26</v>
      </c>
      <c r="O1098" s="4">
        <f>SUM(J1098:N1098)</f>
        <v>0</v>
      </c>
      <c r="P1098" s="13" t="s">
        <v>3044</v>
      </c>
    </row>
    <row r="1099" spans="1:16" ht="12.75" customHeight="1">
      <c r="A1099" s="10">
        <v>43836</v>
      </c>
      <c r="B1099" s="10"/>
      <c r="C1099" s="7" t="s">
        <v>2144</v>
      </c>
      <c r="E1099" s="128" t="s">
        <v>3286</v>
      </c>
      <c r="F1099" s="9">
        <f>27.8/5</f>
        <v>5.5600000000000005</v>
      </c>
      <c r="G1099" s="141" t="s">
        <v>3420</v>
      </c>
      <c r="H1099" s="7">
        <v>20</v>
      </c>
      <c r="I1099" s="7">
        <v>0.24</v>
      </c>
      <c r="J1099" s="7">
        <f t="shared" ref="J1099:J1107" si="71">H1099*I1099</f>
        <v>4.8</v>
      </c>
    </row>
    <row r="1100" spans="1:16" ht="12.75" customHeight="1">
      <c r="E1100" s="128" t="s">
        <v>3287</v>
      </c>
      <c r="F1100" s="9">
        <f>35.7/5</f>
        <v>7.1400000000000006</v>
      </c>
      <c r="G1100" s="141" t="s">
        <v>3421</v>
      </c>
      <c r="H1100" s="7">
        <v>20</v>
      </c>
      <c r="I1100" s="7">
        <v>0.28000000000000003</v>
      </c>
      <c r="J1100" s="7">
        <f t="shared" si="71"/>
        <v>5.6000000000000005</v>
      </c>
    </row>
    <row r="1101" spans="1:16" ht="12.75" customHeight="1">
      <c r="A1101" s="10"/>
      <c r="B1101" s="10"/>
      <c r="E1101" s="128" t="s">
        <v>3288</v>
      </c>
      <c r="F1101" s="9">
        <f>37.6/5</f>
        <v>7.5200000000000005</v>
      </c>
      <c r="G1101" s="141" t="s">
        <v>3422</v>
      </c>
      <c r="H1101" s="7">
        <v>20</v>
      </c>
      <c r="I1101" s="7">
        <v>1</v>
      </c>
      <c r="J1101" s="7">
        <f t="shared" si="71"/>
        <v>20</v>
      </c>
    </row>
    <row r="1102" spans="1:16" ht="12.75" customHeight="1">
      <c r="A1102" s="10"/>
      <c r="B1102" s="10"/>
      <c r="E1102" s="128" t="s">
        <v>3289</v>
      </c>
      <c r="F1102" s="9">
        <f>40.4/5</f>
        <v>8.08</v>
      </c>
      <c r="G1102" s="141" t="s">
        <v>3423</v>
      </c>
      <c r="H1102" s="7">
        <v>20</v>
      </c>
      <c r="I1102" s="7">
        <v>1.1000000000000001</v>
      </c>
      <c r="J1102" s="7">
        <f t="shared" si="71"/>
        <v>22</v>
      </c>
    </row>
    <row r="1103" spans="1:16" ht="12.75" customHeight="1">
      <c r="A1103" s="10"/>
      <c r="B1103" s="10"/>
      <c r="E1103" s="128" t="s">
        <v>3290</v>
      </c>
      <c r="F1103" s="9">
        <f>30/5</f>
        <v>6</v>
      </c>
      <c r="G1103" s="141" t="s">
        <v>3418</v>
      </c>
      <c r="H1103" s="7">
        <v>10</v>
      </c>
      <c r="I1103" s="7">
        <v>0.3</v>
      </c>
      <c r="J1103" s="7">
        <f t="shared" si="71"/>
        <v>3</v>
      </c>
    </row>
    <row r="1104" spans="1:16" ht="12.75" customHeight="1">
      <c r="A1104" s="10"/>
      <c r="B1104" s="10"/>
      <c r="E1104" s="128" t="s">
        <v>3291</v>
      </c>
      <c r="F1104" s="9">
        <f>39.5/5</f>
        <v>7.9</v>
      </c>
      <c r="G1104" s="141" t="s">
        <v>3419</v>
      </c>
      <c r="H1104" s="7">
        <v>10</v>
      </c>
      <c r="I1104" s="7">
        <v>0.24</v>
      </c>
      <c r="J1104" s="7">
        <f t="shared" si="71"/>
        <v>2.4</v>
      </c>
    </row>
    <row r="1105" spans="1:16" ht="12.75" customHeight="1">
      <c r="A1105" s="10"/>
      <c r="B1105" s="10"/>
      <c r="E1105" s="128" t="s">
        <v>3292</v>
      </c>
      <c r="F1105" s="9">
        <f>217/10</f>
        <v>21.7</v>
      </c>
      <c r="G1105" s="141" t="s">
        <v>3416</v>
      </c>
      <c r="H1105" s="7">
        <v>10</v>
      </c>
      <c r="I1105" s="7">
        <v>2</v>
      </c>
      <c r="J1105" s="7">
        <f t="shared" si="71"/>
        <v>20</v>
      </c>
    </row>
    <row r="1106" spans="1:16" ht="12.75" customHeight="1">
      <c r="A1106" s="10"/>
      <c r="B1106" s="10"/>
      <c r="E1106" s="128" t="s">
        <v>3293</v>
      </c>
      <c r="F1106" s="9">
        <f>37.8-4.2</f>
        <v>33.599999999999994</v>
      </c>
      <c r="G1106" s="141" t="s">
        <v>3417</v>
      </c>
      <c r="H1106" s="7">
        <v>5</v>
      </c>
      <c r="I1106" s="7">
        <v>3.8</v>
      </c>
      <c r="J1106" s="7">
        <f t="shared" si="71"/>
        <v>19</v>
      </c>
    </row>
    <row r="1107" spans="1:16" ht="12.75" customHeight="1">
      <c r="A1107" s="10"/>
      <c r="B1107" s="10"/>
      <c r="E1107" s="128" t="s">
        <v>3295</v>
      </c>
      <c r="F1107" s="9">
        <v>47.6</v>
      </c>
      <c r="G1107" s="141" t="s">
        <v>3635</v>
      </c>
      <c r="H1107" s="7">
        <v>3</v>
      </c>
      <c r="I1107" s="7">
        <v>4.4000000000000004</v>
      </c>
      <c r="J1107" s="7">
        <f t="shared" si="71"/>
        <v>13.200000000000001</v>
      </c>
    </row>
    <row r="1108" spans="1:16" s="4" customFormat="1" ht="12.75" customHeight="1">
      <c r="A1108" s="12"/>
      <c r="B1108" s="12"/>
      <c r="D1108" s="5"/>
      <c r="E1108" s="114"/>
      <c r="F1108" s="5"/>
      <c r="H1108" s="4">
        <f>SUM(H1099:H1107)</f>
        <v>118</v>
      </c>
      <c r="J1108" s="4">
        <f>SUM(J1099:J1107)</f>
        <v>110</v>
      </c>
      <c r="K1108" s="4">
        <v>12</v>
      </c>
      <c r="L1108" s="4">
        <v>-122</v>
      </c>
      <c r="O1108" s="4">
        <f>SUM(J1108:N1108)</f>
        <v>0</v>
      </c>
      <c r="P1108" s="13" t="s">
        <v>3045</v>
      </c>
    </row>
    <row r="1109" spans="1:16" ht="12.75" customHeight="1">
      <c r="A1109" s="10">
        <v>43836</v>
      </c>
      <c r="B1109" s="10"/>
      <c r="C1109" s="7" t="s">
        <v>2063</v>
      </c>
      <c r="E1109" s="152" t="s">
        <v>3297</v>
      </c>
      <c r="F1109" s="9">
        <v>58.3</v>
      </c>
      <c r="G1109" s="7" t="s">
        <v>2142</v>
      </c>
      <c r="H1109" s="7">
        <v>10</v>
      </c>
      <c r="I1109" s="7">
        <v>2.2000000000000002</v>
      </c>
      <c r="J1109" s="7">
        <f>H1109*I1109</f>
        <v>22</v>
      </c>
    </row>
    <row r="1110" spans="1:16" ht="12.75" customHeight="1">
      <c r="E1110" s="152" t="s">
        <v>3298</v>
      </c>
      <c r="F1110" s="9">
        <v>98.2</v>
      </c>
      <c r="G1110" s="7" t="s">
        <v>2141</v>
      </c>
      <c r="H1110" s="7">
        <v>10</v>
      </c>
      <c r="I1110" s="7">
        <v>3.3</v>
      </c>
      <c r="J1110" s="7">
        <f>H1110*I1110</f>
        <v>33</v>
      </c>
    </row>
    <row r="1111" spans="1:16" ht="12.75" customHeight="1">
      <c r="A1111" s="10"/>
      <c r="B1111" s="10"/>
      <c r="E1111" s="152" t="s">
        <v>3299</v>
      </c>
      <c r="F1111" s="9">
        <v>50</v>
      </c>
      <c r="G1111" s="7" t="s">
        <v>2143</v>
      </c>
      <c r="H1111" s="7">
        <v>10</v>
      </c>
      <c r="I1111" s="7">
        <v>2.5</v>
      </c>
      <c r="J1111" s="7">
        <f>H1111*I1111</f>
        <v>25</v>
      </c>
    </row>
    <row r="1112" spans="1:16" s="4" customFormat="1" ht="12.75" customHeight="1">
      <c r="A1112" s="12"/>
      <c r="B1112" s="12"/>
      <c r="D1112" s="5"/>
      <c r="E1112" s="114"/>
      <c r="F1112" s="5"/>
      <c r="H1112" s="4">
        <f>SUM(H1109:H1111)</f>
        <v>30</v>
      </c>
      <c r="J1112" s="4">
        <f>SUM(J1109:J1111)</f>
        <v>80</v>
      </c>
      <c r="K1112" s="4">
        <v>8.6999999999999993</v>
      </c>
      <c r="L1112" s="4">
        <v>-88.7</v>
      </c>
      <c r="O1112" s="4">
        <f>SUM(J1112:N1112)</f>
        <v>0</v>
      </c>
      <c r="P1112" s="13" t="s">
        <v>3046</v>
      </c>
    </row>
    <row r="1113" spans="1:16" ht="12.75" customHeight="1">
      <c r="A1113" s="10">
        <v>43836</v>
      </c>
      <c r="B1113" s="10"/>
      <c r="C1113" s="7" t="s">
        <v>2064</v>
      </c>
      <c r="G1113" s="7" t="s">
        <v>2065</v>
      </c>
      <c r="H1113" s="7">
        <v>5</v>
      </c>
      <c r="I1113" s="7">
        <v>0.5</v>
      </c>
      <c r="J1113" s="7">
        <f t="shared" ref="J1113:J1144" si="72">H1113*I1113</f>
        <v>2.5</v>
      </c>
    </row>
    <row r="1114" spans="1:16" ht="12.75" customHeight="1">
      <c r="A1114" s="10"/>
      <c r="B1114" s="10"/>
      <c r="G1114" s="7" t="s">
        <v>2066</v>
      </c>
      <c r="H1114" s="7">
        <v>6</v>
      </c>
      <c r="I1114" s="7">
        <v>0.2</v>
      </c>
      <c r="J1114" s="7">
        <f t="shared" si="72"/>
        <v>1.2000000000000002</v>
      </c>
    </row>
    <row r="1115" spans="1:16" ht="12.75" customHeight="1">
      <c r="A1115" s="10"/>
      <c r="B1115" s="10"/>
      <c r="G1115" s="7" t="s">
        <v>2067</v>
      </c>
      <c r="H1115" s="7">
        <v>50</v>
      </c>
      <c r="I1115" s="7">
        <v>0.22</v>
      </c>
      <c r="J1115" s="7">
        <f t="shared" si="72"/>
        <v>11</v>
      </c>
    </row>
    <row r="1116" spans="1:16" ht="12.75" customHeight="1">
      <c r="A1116" s="10"/>
      <c r="B1116" s="10"/>
      <c r="G1116" s="7" t="s">
        <v>2068</v>
      </c>
      <c r="H1116" s="7">
        <v>3</v>
      </c>
      <c r="I1116" s="7">
        <v>0.8</v>
      </c>
      <c r="J1116" s="7">
        <f t="shared" si="72"/>
        <v>2.4000000000000004</v>
      </c>
    </row>
    <row r="1117" spans="1:16" ht="12.75" customHeight="1">
      <c r="A1117" s="10"/>
      <c r="B1117" s="10"/>
      <c r="G1117" s="7" t="s">
        <v>2069</v>
      </c>
      <c r="H1117" s="7">
        <v>3</v>
      </c>
      <c r="I1117" s="7">
        <v>0.9</v>
      </c>
      <c r="J1117" s="7">
        <f t="shared" si="72"/>
        <v>2.7</v>
      </c>
    </row>
    <row r="1118" spans="1:16" ht="12.75" customHeight="1">
      <c r="A1118" s="10"/>
      <c r="B1118" s="10"/>
      <c r="G1118" s="7" t="s">
        <v>2070</v>
      </c>
      <c r="H1118" s="7">
        <v>5</v>
      </c>
      <c r="I1118" s="7">
        <v>0.7</v>
      </c>
      <c r="J1118" s="7">
        <f t="shared" si="72"/>
        <v>3.5</v>
      </c>
    </row>
    <row r="1119" spans="1:16" ht="12.75" customHeight="1">
      <c r="A1119" s="10"/>
      <c r="B1119" s="10"/>
      <c r="G1119" s="7" t="s">
        <v>2071</v>
      </c>
      <c r="H1119" s="7">
        <v>3</v>
      </c>
      <c r="I1119" s="7">
        <v>1.3</v>
      </c>
      <c r="J1119" s="7">
        <f t="shared" si="72"/>
        <v>3.9000000000000004</v>
      </c>
    </row>
    <row r="1120" spans="1:16" ht="12.75" customHeight="1">
      <c r="A1120" s="10"/>
      <c r="B1120" s="10"/>
      <c r="G1120" s="7" t="s">
        <v>2072</v>
      </c>
      <c r="H1120" s="7">
        <v>10</v>
      </c>
      <c r="I1120" s="7">
        <v>0.45</v>
      </c>
      <c r="J1120" s="7">
        <f t="shared" si="72"/>
        <v>4.5</v>
      </c>
    </row>
    <row r="1121" spans="1:16" ht="12.75" customHeight="1">
      <c r="A1121" s="10"/>
      <c r="B1121" s="10"/>
      <c r="G1121" s="7" t="s">
        <v>2073</v>
      </c>
      <c r="H1121" s="7">
        <v>5</v>
      </c>
      <c r="I1121" s="7">
        <v>0.9</v>
      </c>
      <c r="J1121" s="7">
        <f t="shared" si="72"/>
        <v>4.5</v>
      </c>
      <c r="P1121" s="7"/>
    </row>
    <row r="1122" spans="1:16" ht="12.75" customHeight="1">
      <c r="A1122" s="10"/>
      <c r="B1122" s="10"/>
      <c r="G1122" s="7" t="s">
        <v>2074</v>
      </c>
      <c r="H1122" s="7">
        <v>5</v>
      </c>
      <c r="I1122" s="7">
        <v>0.8</v>
      </c>
      <c r="J1122" s="7">
        <f t="shared" si="72"/>
        <v>4</v>
      </c>
      <c r="P1122" s="7"/>
    </row>
    <row r="1123" spans="1:16" ht="12.75" customHeight="1">
      <c r="A1123" s="10"/>
      <c r="B1123" s="10"/>
      <c r="G1123" s="7" t="s">
        <v>2075</v>
      </c>
      <c r="H1123" s="7">
        <v>3</v>
      </c>
      <c r="I1123" s="7">
        <v>1.1000000000000001</v>
      </c>
      <c r="J1123" s="7">
        <f t="shared" si="72"/>
        <v>3.3000000000000003</v>
      </c>
      <c r="P1123" s="7"/>
    </row>
    <row r="1124" spans="1:16" ht="12.75" customHeight="1">
      <c r="A1124" s="10"/>
      <c r="B1124" s="10"/>
      <c r="G1124" s="7" t="s">
        <v>2076</v>
      </c>
      <c r="H1124" s="7">
        <v>5</v>
      </c>
      <c r="I1124" s="7">
        <v>1.2</v>
      </c>
      <c r="J1124" s="7">
        <f t="shared" si="72"/>
        <v>6</v>
      </c>
      <c r="P1124" s="7"/>
    </row>
    <row r="1125" spans="1:16" ht="12.75" customHeight="1">
      <c r="A1125" s="10"/>
      <c r="B1125" s="10"/>
      <c r="G1125" s="7" t="s">
        <v>2077</v>
      </c>
      <c r="H1125" s="7">
        <v>3</v>
      </c>
      <c r="I1125" s="7">
        <v>1.6</v>
      </c>
      <c r="J1125" s="7">
        <f t="shared" si="72"/>
        <v>4.8000000000000007</v>
      </c>
      <c r="P1125" s="7"/>
    </row>
    <row r="1126" spans="1:16" ht="12.75" customHeight="1">
      <c r="A1126" s="10"/>
      <c r="B1126" s="10"/>
      <c r="G1126" s="7" t="s">
        <v>2078</v>
      </c>
      <c r="H1126" s="7">
        <v>3</v>
      </c>
      <c r="I1126" s="7">
        <v>1.3</v>
      </c>
      <c r="J1126" s="7">
        <f t="shared" si="72"/>
        <v>3.9000000000000004</v>
      </c>
      <c r="P1126" s="7"/>
    </row>
    <row r="1127" spans="1:16" ht="12.75" customHeight="1">
      <c r="A1127" s="10"/>
      <c r="B1127" s="10"/>
      <c r="G1127" s="7" t="s">
        <v>2079</v>
      </c>
      <c r="H1127" s="7">
        <v>5</v>
      </c>
      <c r="I1127" s="7">
        <v>1.1000000000000001</v>
      </c>
      <c r="J1127" s="7">
        <f t="shared" si="72"/>
        <v>5.5</v>
      </c>
      <c r="P1127" s="7"/>
    </row>
    <row r="1128" spans="1:16" ht="12.75" customHeight="1">
      <c r="A1128" s="10"/>
      <c r="B1128" s="10"/>
      <c r="G1128" s="7" t="s">
        <v>2080</v>
      </c>
      <c r="H1128" s="7">
        <v>3</v>
      </c>
      <c r="I1128" s="7">
        <v>1.8</v>
      </c>
      <c r="J1128" s="7">
        <f t="shared" si="72"/>
        <v>5.4</v>
      </c>
      <c r="P1128" s="7"/>
    </row>
    <row r="1129" spans="1:16" ht="12.75" customHeight="1">
      <c r="A1129" s="10"/>
      <c r="B1129" s="10"/>
      <c r="G1129" s="7" t="s">
        <v>2081</v>
      </c>
      <c r="H1129" s="7">
        <v>10</v>
      </c>
      <c r="I1129" s="7">
        <v>0.76</v>
      </c>
      <c r="J1129" s="7">
        <f t="shared" si="72"/>
        <v>7.6</v>
      </c>
      <c r="P1129" s="7"/>
    </row>
    <row r="1130" spans="1:16" ht="12.75" customHeight="1">
      <c r="A1130" s="10"/>
      <c r="B1130" s="10"/>
      <c r="G1130" s="7" t="s">
        <v>2082</v>
      </c>
      <c r="H1130" s="7">
        <v>50</v>
      </c>
      <c r="I1130" s="7">
        <v>0.28999999999999998</v>
      </c>
      <c r="J1130" s="7">
        <f t="shared" si="72"/>
        <v>14.499999999999998</v>
      </c>
      <c r="P1130" s="7"/>
    </row>
    <row r="1131" spans="1:16" ht="12.75" customHeight="1">
      <c r="A1131" s="10"/>
      <c r="B1131" s="10"/>
      <c r="G1131" s="7" t="s">
        <v>2083</v>
      </c>
      <c r="H1131" s="7">
        <v>10</v>
      </c>
      <c r="I1131" s="7">
        <v>0.94</v>
      </c>
      <c r="J1131" s="7">
        <f t="shared" si="72"/>
        <v>9.3999999999999986</v>
      </c>
      <c r="P1131" s="7"/>
    </row>
    <row r="1132" spans="1:16" ht="12.75" customHeight="1">
      <c r="A1132" s="10"/>
      <c r="B1132" s="10"/>
      <c r="G1132" s="7" t="s">
        <v>2084</v>
      </c>
      <c r="H1132" s="7">
        <v>3</v>
      </c>
      <c r="I1132" s="7">
        <v>0.8</v>
      </c>
      <c r="J1132" s="7">
        <f t="shared" si="72"/>
        <v>2.4000000000000004</v>
      </c>
      <c r="P1132" s="7"/>
    </row>
    <row r="1133" spans="1:16" ht="12.75" customHeight="1">
      <c r="A1133" s="10"/>
      <c r="B1133" s="10"/>
      <c r="G1133" s="7" t="s">
        <v>2085</v>
      </c>
      <c r="H1133" s="7">
        <v>10</v>
      </c>
      <c r="I1133" s="7">
        <v>0.22</v>
      </c>
      <c r="J1133" s="7">
        <f t="shared" si="72"/>
        <v>2.2000000000000002</v>
      </c>
      <c r="P1133" s="7"/>
    </row>
    <row r="1134" spans="1:16" ht="12.75" customHeight="1">
      <c r="A1134" s="10"/>
      <c r="B1134" s="10"/>
      <c r="G1134" s="7" t="s">
        <v>2086</v>
      </c>
      <c r="H1134" s="7">
        <v>5</v>
      </c>
      <c r="I1134" s="7">
        <v>0.65</v>
      </c>
      <c r="J1134" s="7">
        <f t="shared" si="72"/>
        <v>3.25</v>
      </c>
      <c r="P1134" s="7"/>
    </row>
    <row r="1135" spans="1:16" ht="12.75" customHeight="1">
      <c r="A1135" s="10"/>
      <c r="B1135" s="10"/>
      <c r="G1135" s="7" t="s">
        <v>2087</v>
      </c>
      <c r="H1135" s="7">
        <v>3</v>
      </c>
      <c r="I1135" s="7">
        <v>1</v>
      </c>
      <c r="J1135" s="7">
        <f t="shared" si="72"/>
        <v>3</v>
      </c>
      <c r="P1135" s="7"/>
    </row>
    <row r="1136" spans="1:16" ht="12.75" customHeight="1">
      <c r="A1136" s="10"/>
      <c r="B1136" s="10"/>
      <c r="G1136" s="7" t="s">
        <v>2088</v>
      </c>
      <c r="H1136" s="7">
        <v>3</v>
      </c>
      <c r="I1136" s="7">
        <v>1.8</v>
      </c>
      <c r="J1136" s="7">
        <f t="shared" si="72"/>
        <v>5.4</v>
      </c>
      <c r="P1136" s="7"/>
    </row>
    <row r="1137" spans="1:16" ht="12.75" customHeight="1">
      <c r="A1137" s="10"/>
      <c r="B1137" s="10"/>
      <c r="G1137" s="7" t="s">
        <v>2089</v>
      </c>
      <c r="H1137" s="7">
        <v>3</v>
      </c>
      <c r="I1137" s="7">
        <v>0.65</v>
      </c>
      <c r="J1137" s="7">
        <f t="shared" si="72"/>
        <v>1.9500000000000002</v>
      </c>
      <c r="P1137" s="7"/>
    </row>
    <row r="1138" spans="1:16" ht="12.75" customHeight="1">
      <c r="A1138" s="10"/>
      <c r="B1138" s="10"/>
      <c r="G1138" s="7" t="s">
        <v>2090</v>
      </c>
      <c r="H1138" s="7">
        <v>5</v>
      </c>
      <c r="I1138" s="7">
        <v>0.7</v>
      </c>
      <c r="J1138" s="7">
        <f t="shared" si="72"/>
        <v>3.5</v>
      </c>
      <c r="P1138" s="7"/>
    </row>
    <row r="1139" spans="1:16" ht="12.75" customHeight="1">
      <c r="A1139" s="10"/>
      <c r="B1139" s="10"/>
      <c r="G1139" s="7" t="s">
        <v>2091</v>
      </c>
      <c r="H1139" s="7">
        <v>3</v>
      </c>
      <c r="I1139" s="7">
        <v>0.8</v>
      </c>
      <c r="J1139" s="7">
        <f t="shared" si="72"/>
        <v>2.4000000000000004</v>
      </c>
      <c r="P1139" s="7"/>
    </row>
    <row r="1140" spans="1:16" ht="12.75" customHeight="1">
      <c r="A1140" s="10"/>
      <c r="B1140" s="10"/>
      <c r="G1140" s="7" t="s">
        <v>2092</v>
      </c>
      <c r="H1140" s="7">
        <v>10</v>
      </c>
      <c r="I1140" s="7">
        <v>0.89</v>
      </c>
      <c r="J1140" s="7">
        <f t="shared" si="72"/>
        <v>8.9</v>
      </c>
      <c r="P1140" s="7"/>
    </row>
    <row r="1141" spans="1:16" ht="12.75" customHeight="1">
      <c r="A1141" s="10"/>
      <c r="B1141" s="10"/>
      <c r="G1141" s="7" t="s">
        <v>2093</v>
      </c>
      <c r="H1141" s="7">
        <v>5</v>
      </c>
      <c r="I1141" s="7">
        <v>0.32</v>
      </c>
      <c r="J1141" s="7">
        <f t="shared" si="72"/>
        <v>1.6</v>
      </c>
      <c r="P1141" s="7"/>
    </row>
    <row r="1142" spans="1:16" ht="12.75" customHeight="1">
      <c r="A1142" s="10"/>
      <c r="B1142" s="10"/>
      <c r="G1142" s="7" t="s">
        <v>2094</v>
      </c>
      <c r="H1142" s="7">
        <v>3</v>
      </c>
      <c r="I1142" s="7">
        <v>0.59</v>
      </c>
      <c r="J1142" s="7">
        <f t="shared" si="72"/>
        <v>1.77</v>
      </c>
      <c r="P1142" s="7"/>
    </row>
    <row r="1143" spans="1:16" ht="12.75" customHeight="1">
      <c r="A1143" s="10"/>
      <c r="B1143" s="10"/>
      <c r="G1143" s="7" t="s">
        <v>2095</v>
      </c>
      <c r="H1143" s="7">
        <v>3</v>
      </c>
      <c r="I1143" s="7">
        <v>1.6</v>
      </c>
      <c r="J1143" s="7">
        <f t="shared" si="72"/>
        <v>4.8000000000000007</v>
      </c>
      <c r="P1143" s="7"/>
    </row>
    <row r="1144" spans="1:16" ht="12.75" customHeight="1">
      <c r="A1144" s="10"/>
      <c r="B1144" s="10"/>
      <c r="G1144" s="7" t="s">
        <v>2096</v>
      </c>
      <c r="H1144" s="7">
        <v>3</v>
      </c>
      <c r="I1144" s="7">
        <v>1.5</v>
      </c>
      <c r="J1144" s="7">
        <f t="shared" si="72"/>
        <v>4.5</v>
      </c>
      <c r="P1144" s="7"/>
    </row>
    <row r="1145" spans="1:16" ht="12.75" customHeight="1">
      <c r="A1145" s="10"/>
      <c r="B1145" s="10"/>
      <c r="G1145" s="7" t="s">
        <v>2097</v>
      </c>
      <c r="H1145" s="7">
        <v>3</v>
      </c>
      <c r="I1145" s="7">
        <v>1.2</v>
      </c>
      <c r="J1145" s="7">
        <f t="shared" ref="J1145:J1176" si="73">H1145*I1145</f>
        <v>3.5999999999999996</v>
      </c>
      <c r="P1145" s="7"/>
    </row>
    <row r="1146" spans="1:16" ht="12.75" customHeight="1">
      <c r="A1146" s="10"/>
      <c r="B1146" s="10"/>
      <c r="G1146" s="7" t="s">
        <v>2098</v>
      </c>
      <c r="H1146" s="7">
        <v>5</v>
      </c>
      <c r="I1146" s="7">
        <v>0.8</v>
      </c>
      <c r="J1146" s="7">
        <f t="shared" si="73"/>
        <v>4</v>
      </c>
      <c r="P1146" s="7"/>
    </row>
    <row r="1147" spans="1:16" ht="12.75" customHeight="1">
      <c r="A1147" s="10"/>
      <c r="B1147" s="10"/>
      <c r="G1147" s="7" t="s">
        <v>2099</v>
      </c>
      <c r="H1147" s="7">
        <v>10</v>
      </c>
      <c r="I1147" s="7">
        <v>0.5</v>
      </c>
      <c r="J1147" s="7">
        <f t="shared" si="73"/>
        <v>5</v>
      </c>
      <c r="P1147" s="7"/>
    </row>
    <row r="1148" spans="1:16" ht="12.75" customHeight="1">
      <c r="A1148" s="10"/>
      <c r="B1148" s="10"/>
      <c r="G1148" s="7" t="s">
        <v>2100</v>
      </c>
      <c r="H1148" s="7">
        <v>3</v>
      </c>
      <c r="I1148" s="7">
        <v>1.9</v>
      </c>
      <c r="J1148" s="7">
        <f t="shared" si="73"/>
        <v>5.6999999999999993</v>
      </c>
      <c r="P1148" s="7"/>
    </row>
    <row r="1149" spans="1:16" ht="12.75" customHeight="1">
      <c r="A1149" s="10"/>
      <c r="B1149" s="10"/>
      <c r="G1149" s="7" t="s">
        <v>2101</v>
      </c>
      <c r="H1149" s="7">
        <v>3</v>
      </c>
      <c r="I1149" s="7">
        <v>1.5</v>
      </c>
      <c r="J1149" s="7">
        <f t="shared" si="73"/>
        <v>4.5</v>
      </c>
      <c r="P1149" s="7"/>
    </row>
    <row r="1150" spans="1:16" ht="12.75" customHeight="1">
      <c r="A1150" s="10"/>
      <c r="B1150" s="10"/>
      <c r="G1150" s="7" t="s">
        <v>2102</v>
      </c>
      <c r="H1150" s="7">
        <v>5</v>
      </c>
      <c r="I1150" s="7">
        <v>0.79</v>
      </c>
      <c r="J1150" s="7">
        <f t="shared" si="73"/>
        <v>3.95</v>
      </c>
      <c r="P1150" s="7"/>
    </row>
    <row r="1151" spans="1:16" ht="12.75" customHeight="1">
      <c r="A1151" s="10"/>
      <c r="B1151" s="10"/>
      <c r="G1151" s="7" t="s">
        <v>2103</v>
      </c>
      <c r="H1151" s="7">
        <v>5</v>
      </c>
      <c r="I1151" s="7">
        <v>0.98</v>
      </c>
      <c r="J1151" s="7">
        <f t="shared" si="73"/>
        <v>4.9000000000000004</v>
      </c>
      <c r="P1151" s="7"/>
    </row>
    <row r="1152" spans="1:16" ht="12.75" customHeight="1">
      <c r="A1152" s="10"/>
      <c r="B1152" s="10"/>
      <c r="G1152" s="7" t="s">
        <v>2104</v>
      </c>
      <c r="H1152" s="7">
        <v>10</v>
      </c>
      <c r="I1152" s="7">
        <v>0.5</v>
      </c>
      <c r="J1152" s="7">
        <f t="shared" si="73"/>
        <v>5</v>
      </c>
      <c r="P1152" s="7"/>
    </row>
    <row r="1153" spans="1:16" ht="12.75" customHeight="1">
      <c r="A1153" s="10"/>
      <c r="B1153" s="10"/>
      <c r="G1153" s="7" t="s">
        <v>2105</v>
      </c>
      <c r="H1153" s="7">
        <v>10</v>
      </c>
      <c r="I1153" s="7">
        <v>0.5</v>
      </c>
      <c r="J1153" s="7">
        <f t="shared" si="73"/>
        <v>5</v>
      </c>
      <c r="P1153" s="7"/>
    </row>
    <row r="1154" spans="1:16" ht="12.75" customHeight="1">
      <c r="A1154" s="10"/>
      <c r="B1154" s="10"/>
      <c r="G1154" s="7" t="s">
        <v>2106</v>
      </c>
      <c r="H1154" s="7">
        <v>3</v>
      </c>
      <c r="I1154" s="7">
        <v>0.55000000000000004</v>
      </c>
      <c r="J1154" s="7">
        <f t="shared" si="73"/>
        <v>1.6500000000000001</v>
      </c>
      <c r="P1154" s="7"/>
    </row>
    <row r="1155" spans="1:16" ht="12.75" customHeight="1">
      <c r="A1155" s="10"/>
      <c r="B1155" s="10"/>
      <c r="G1155" s="7" t="s">
        <v>2107</v>
      </c>
      <c r="H1155" s="7">
        <v>5</v>
      </c>
      <c r="I1155" s="7">
        <v>1.3</v>
      </c>
      <c r="J1155" s="7">
        <f t="shared" si="73"/>
        <v>6.5</v>
      </c>
      <c r="P1155" s="7"/>
    </row>
    <row r="1156" spans="1:16" ht="12.75" customHeight="1">
      <c r="A1156" s="10"/>
      <c r="B1156" s="10"/>
      <c r="G1156" s="7" t="s">
        <v>2108</v>
      </c>
      <c r="H1156" s="7">
        <v>5</v>
      </c>
      <c r="I1156" s="7">
        <v>0.98</v>
      </c>
      <c r="J1156" s="7">
        <f t="shared" si="73"/>
        <v>4.9000000000000004</v>
      </c>
      <c r="P1156" s="7"/>
    </row>
    <row r="1157" spans="1:16" ht="12.75" customHeight="1">
      <c r="A1157" s="10"/>
      <c r="B1157" s="10"/>
      <c r="G1157" s="7" t="s">
        <v>2109</v>
      </c>
      <c r="H1157" s="7">
        <v>10</v>
      </c>
      <c r="I1157" s="7">
        <v>0.5</v>
      </c>
      <c r="J1157" s="7">
        <f t="shared" si="73"/>
        <v>5</v>
      </c>
      <c r="P1157" s="7"/>
    </row>
    <row r="1158" spans="1:16" ht="12.75" customHeight="1">
      <c r="A1158" s="10"/>
      <c r="B1158" s="10"/>
      <c r="G1158" s="7" t="s">
        <v>2110</v>
      </c>
      <c r="H1158" s="7">
        <v>3</v>
      </c>
      <c r="I1158" s="7">
        <v>0.98</v>
      </c>
      <c r="J1158" s="7">
        <f t="shared" si="73"/>
        <v>2.94</v>
      </c>
      <c r="P1158" s="7"/>
    </row>
    <row r="1159" spans="1:16" ht="12.75" customHeight="1">
      <c r="A1159" s="10"/>
      <c r="B1159" s="10"/>
      <c r="G1159" s="7" t="s">
        <v>2111</v>
      </c>
      <c r="H1159" s="7">
        <v>3</v>
      </c>
      <c r="I1159" s="7">
        <v>1.3</v>
      </c>
      <c r="J1159" s="7">
        <f t="shared" si="73"/>
        <v>3.9000000000000004</v>
      </c>
      <c r="P1159" s="7"/>
    </row>
    <row r="1160" spans="1:16" ht="12.75" customHeight="1">
      <c r="A1160" s="10"/>
      <c r="B1160" s="10"/>
      <c r="G1160" s="7" t="s">
        <v>2112</v>
      </c>
      <c r="H1160" s="7">
        <v>3</v>
      </c>
      <c r="I1160" s="7">
        <v>0.99</v>
      </c>
      <c r="J1160" s="7">
        <f t="shared" si="73"/>
        <v>2.9699999999999998</v>
      </c>
      <c r="P1160" s="7"/>
    </row>
    <row r="1161" spans="1:16" ht="12.75" customHeight="1">
      <c r="A1161" s="10"/>
      <c r="B1161" s="10"/>
      <c r="G1161" s="7" t="s">
        <v>2113</v>
      </c>
      <c r="H1161" s="7">
        <v>3</v>
      </c>
      <c r="I1161" s="7">
        <v>1.8</v>
      </c>
      <c r="J1161" s="7">
        <f t="shared" si="73"/>
        <v>5.4</v>
      </c>
      <c r="P1161" s="7"/>
    </row>
    <row r="1162" spans="1:16" ht="12.75" customHeight="1">
      <c r="A1162" s="10"/>
      <c r="B1162" s="10"/>
      <c r="G1162" s="7" t="s">
        <v>2114</v>
      </c>
      <c r="H1162" s="7">
        <v>3</v>
      </c>
      <c r="I1162" s="7">
        <v>1.5</v>
      </c>
      <c r="J1162" s="7">
        <f t="shared" si="73"/>
        <v>4.5</v>
      </c>
      <c r="P1162" s="7"/>
    </row>
    <row r="1163" spans="1:16" ht="12.75" customHeight="1">
      <c r="A1163" s="10"/>
      <c r="B1163" s="10"/>
      <c r="G1163" s="7" t="s">
        <v>2115</v>
      </c>
      <c r="H1163" s="7">
        <v>3</v>
      </c>
      <c r="I1163" s="7">
        <v>1.2</v>
      </c>
      <c r="J1163" s="7">
        <f t="shared" si="73"/>
        <v>3.5999999999999996</v>
      </c>
      <c r="P1163" s="7"/>
    </row>
    <row r="1164" spans="1:16" ht="12.75" customHeight="1">
      <c r="A1164" s="10"/>
      <c r="B1164" s="10"/>
      <c r="G1164" s="7" t="s">
        <v>2116</v>
      </c>
      <c r="H1164" s="7">
        <v>3</v>
      </c>
      <c r="I1164" s="7">
        <v>1.3</v>
      </c>
      <c r="J1164" s="7">
        <f t="shared" si="73"/>
        <v>3.9000000000000004</v>
      </c>
      <c r="P1164" s="7"/>
    </row>
    <row r="1165" spans="1:16" ht="12.75" customHeight="1">
      <c r="A1165" s="10"/>
      <c r="B1165" s="10"/>
      <c r="G1165" s="7" t="s">
        <v>2117</v>
      </c>
      <c r="H1165" s="7">
        <v>3</v>
      </c>
      <c r="I1165" s="7">
        <v>1.3</v>
      </c>
      <c r="J1165" s="7">
        <f t="shared" si="73"/>
        <v>3.9000000000000004</v>
      </c>
      <c r="P1165" s="7"/>
    </row>
    <row r="1166" spans="1:16" ht="12.75" customHeight="1">
      <c r="A1166" s="10"/>
      <c r="B1166" s="10"/>
      <c r="G1166" s="7" t="s">
        <v>2118</v>
      </c>
      <c r="H1166" s="7">
        <v>3</v>
      </c>
      <c r="I1166" s="7">
        <v>0.99</v>
      </c>
      <c r="J1166" s="7">
        <f t="shared" si="73"/>
        <v>2.9699999999999998</v>
      </c>
      <c r="P1166" s="7"/>
    </row>
    <row r="1167" spans="1:16" ht="12.75" customHeight="1">
      <c r="A1167" s="10"/>
      <c r="B1167" s="10"/>
      <c r="G1167" s="7" t="s">
        <v>2119</v>
      </c>
      <c r="H1167" s="7">
        <v>3</v>
      </c>
      <c r="I1167" s="7">
        <v>1.3</v>
      </c>
      <c r="J1167" s="7">
        <f t="shared" si="73"/>
        <v>3.9000000000000004</v>
      </c>
      <c r="P1167" s="7"/>
    </row>
    <row r="1168" spans="1:16" ht="12.75" customHeight="1">
      <c r="A1168" s="10"/>
      <c r="B1168" s="10"/>
      <c r="G1168" s="53" t="s">
        <v>2120</v>
      </c>
      <c r="H1168" s="7">
        <v>3</v>
      </c>
      <c r="I1168" s="7">
        <v>2.69</v>
      </c>
      <c r="J1168" s="7">
        <f t="shared" si="73"/>
        <v>8.07</v>
      </c>
      <c r="P1168" s="7"/>
    </row>
    <row r="1169" spans="1:16" ht="12.75" customHeight="1">
      <c r="A1169" s="10"/>
      <c r="B1169" s="10"/>
      <c r="G1169" s="7" t="s">
        <v>2121</v>
      </c>
      <c r="H1169" s="7">
        <v>5</v>
      </c>
      <c r="I1169" s="7">
        <v>1.9</v>
      </c>
      <c r="J1169" s="7">
        <f t="shared" si="73"/>
        <v>9.5</v>
      </c>
      <c r="P1169" s="7"/>
    </row>
    <row r="1170" spans="1:16" ht="12.75" customHeight="1">
      <c r="A1170" s="10"/>
      <c r="B1170" s="10"/>
      <c r="G1170" s="7" t="s">
        <v>2122</v>
      </c>
      <c r="H1170" s="7">
        <v>3</v>
      </c>
      <c r="I1170" s="7">
        <v>2.8</v>
      </c>
      <c r="J1170" s="7">
        <f t="shared" si="73"/>
        <v>8.3999999999999986</v>
      </c>
      <c r="P1170" s="7"/>
    </row>
    <row r="1171" spans="1:16" ht="12.75" customHeight="1">
      <c r="A1171" s="10"/>
      <c r="B1171" s="10"/>
      <c r="G1171" s="7" t="s">
        <v>2123</v>
      </c>
      <c r="H1171" s="7">
        <v>3</v>
      </c>
      <c r="I1171" s="7">
        <v>1.6</v>
      </c>
      <c r="J1171" s="7">
        <f t="shared" si="73"/>
        <v>4.8000000000000007</v>
      </c>
      <c r="P1171" s="7"/>
    </row>
    <row r="1172" spans="1:16" ht="12.75" customHeight="1">
      <c r="A1172" s="10"/>
      <c r="B1172" s="10"/>
      <c r="G1172" s="7" t="s">
        <v>2124</v>
      </c>
      <c r="H1172" s="7">
        <v>3</v>
      </c>
      <c r="I1172" s="7">
        <v>2.8</v>
      </c>
      <c r="J1172" s="7">
        <f t="shared" si="73"/>
        <v>8.3999999999999986</v>
      </c>
      <c r="P1172" s="7"/>
    </row>
    <row r="1173" spans="1:16" ht="12.75" customHeight="1">
      <c r="A1173" s="10"/>
      <c r="B1173" s="10"/>
      <c r="G1173" s="7" t="s">
        <v>2125</v>
      </c>
      <c r="H1173" s="7">
        <v>3</v>
      </c>
      <c r="I1173" s="7">
        <v>3.9</v>
      </c>
      <c r="J1173" s="7">
        <f t="shared" si="73"/>
        <v>11.7</v>
      </c>
      <c r="P1173" s="7"/>
    </row>
    <row r="1174" spans="1:16" ht="12.75" customHeight="1">
      <c r="A1174" s="10"/>
      <c r="B1174" s="10"/>
      <c r="G1174" s="7" t="s">
        <v>2126</v>
      </c>
      <c r="H1174" s="7">
        <v>3</v>
      </c>
      <c r="I1174" s="7">
        <v>3.3</v>
      </c>
      <c r="J1174" s="7">
        <f t="shared" si="73"/>
        <v>9.8999999999999986</v>
      </c>
      <c r="P1174" s="7"/>
    </row>
    <row r="1175" spans="1:16" ht="12.75" customHeight="1">
      <c r="A1175" s="10"/>
      <c r="B1175" s="10"/>
      <c r="G1175" s="7" t="s">
        <v>2127</v>
      </c>
      <c r="H1175" s="7">
        <v>3</v>
      </c>
      <c r="I1175" s="7">
        <v>3.3</v>
      </c>
      <c r="J1175" s="7">
        <f t="shared" si="73"/>
        <v>9.8999999999999986</v>
      </c>
      <c r="P1175" s="7"/>
    </row>
    <row r="1176" spans="1:16" ht="12.75" customHeight="1">
      <c r="A1176" s="10"/>
      <c r="B1176" s="10"/>
      <c r="G1176" s="7" t="s">
        <v>2128</v>
      </c>
      <c r="H1176" s="7">
        <v>3</v>
      </c>
      <c r="I1176" s="7">
        <v>3.9</v>
      </c>
      <c r="J1176" s="7">
        <f t="shared" si="73"/>
        <v>11.7</v>
      </c>
      <c r="P1176" s="7"/>
    </row>
    <row r="1177" spans="1:16" ht="12.75" customHeight="1">
      <c r="A1177" s="10"/>
      <c r="B1177" s="10"/>
      <c r="G1177" s="7" t="s">
        <v>2129</v>
      </c>
      <c r="H1177" s="7">
        <v>3</v>
      </c>
      <c r="I1177" s="7">
        <v>2.6</v>
      </c>
      <c r="J1177" s="7">
        <f t="shared" ref="J1177:J1188" si="74">H1177*I1177</f>
        <v>7.8000000000000007</v>
      </c>
      <c r="P1177" s="7"/>
    </row>
    <row r="1178" spans="1:16" ht="12.75" customHeight="1">
      <c r="A1178" s="10"/>
      <c r="B1178" s="10"/>
      <c r="G1178" s="7" t="s">
        <v>2130</v>
      </c>
      <c r="H1178" s="7">
        <v>3</v>
      </c>
      <c r="I1178" s="7">
        <v>2.8</v>
      </c>
      <c r="J1178" s="7">
        <f t="shared" si="74"/>
        <v>8.3999999999999986</v>
      </c>
      <c r="P1178" s="7"/>
    </row>
    <row r="1179" spans="1:16" ht="12.75" customHeight="1">
      <c r="A1179" s="10"/>
      <c r="B1179" s="10"/>
      <c r="G1179" s="7" t="s">
        <v>2131</v>
      </c>
      <c r="H1179" s="7">
        <v>3</v>
      </c>
      <c r="I1179" s="7">
        <v>2.5</v>
      </c>
      <c r="J1179" s="7">
        <f t="shared" si="74"/>
        <v>7.5</v>
      </c>
      <c r="P1179" s="7"/>
    </row>
    <row r="1180" spans="1:16" ht="12.75" customHeight="1">
      <c r="A1180" s="10"/>
      <c r="B1180" s="10"/>
      <c r="G1180" s="7" t="s">
        <v>2132</v>
      </c>
      <c r="H1180" s="7">
        <v>3</v>
      </c>
      <c r="I1180" s="7">
        <v>1.19</v>
      </c>
      <c r="J1180" s="7">
        <f t="shared" si="74"/>
        <v>3.57</v>
      </c>
      <c r="P1180" s="7"/>
    </row>
    <row r="1181" spans="1:16" ht="12.75" customHeight="1">
      <c r="A1181" s="10"/>
      <c r="B1181" s="10"/>
      <c r="G1181" s="7" t="s">
        <v>2133</v>
      </c>
      <c r="H1181" s="7">
        <v>5</v>
      </c>
      <c r="I1181" s="7">
        <v>0.45</v>
      </c>
      <c r="J1181" s="7">
        <f t="shared" si="74"/>
        <v>2.25</v>
      </c>
      <c r="P1181" s="7"/>
    </row>
    <row r="1182" spans="1:16" ht="12.75" customHeight="1">
      <c r="A1182" s="10"/>
      <c r="B1182" s="10"/>
      <c r="G1182" s="7" t="s">
        <v>2134</v>
      </c>
      <c r="H1182" s="7">
        <v>5</v>
      </c>
      <c r="I1182" s="7">
        <v>0.33</v>
      </c>
      <c r="J1182" s="7">
        <f t="shared" si="74"/>
        <v>1.6500000000000001</v>
      </c>
      <c r="P1182" s="7"/>
    </row>
    <row r="1183" spans="1:16" ht="12.75" customHeight="1">
      <c r="A1183" s="10"/>
      <c r="B1183" s="10"/>
      <c r="G1183" s="7" t="s">
        <v>2135</v>
      </c>
      <c r="H1183" s="7">
        <v>3</v>
      </c>
      <c r="I1183" s="7">
        <v>1.88</v>
      </c>
      <c r="J1183" s="7">
        <f t="shared" si="74"/>
        <v>5.64</v>
      </c>
      <c r="P1183" s="7"/>
    </row>
    <row r="1184" spans="1:16" ht="12.75" customHeight="1">
      <c r="A1184" s="10"/>
      <c r="B1184" s="10"/>
      <c r="G1184" s="7" t="s">
        <v>2136</v>
      </c>
      <c r="H1184" s="7">
        <v>3</v>
      </c>
      <c r="I1184" s="7">
        <v>2.9</v>
      </c>
      <c r="J1184" s="7">
        <f t="shared" si="74"/>
        <v>8.6999999999999993</v>
      </c>
      <c r="P1184" s="7"/>
    </row>
    <row r="1185" spans="1:16" ht="12.75" customHeight="1">
      <c r="A1185" s="10"/>
      <c r="B1185" s="10"/>
      <c r="G1185" s="7" t="s">
        <v>2137</v>
      </c>
      <c r="H1185" s="7">
        <v>3</v>
      </c>
      <c r="I1185" s="7">
        <v>2.8</v>
      </c>
      <c r="J1185" s="7">
        <f t="shared" si="74"/>
        <v>8.3999999999999986</v>
      </c>
    </row>
    <row r="1186" spans="1:16" ht="12.75" customHeight="1">
      <c r="A1186" s="10"/>
      <c r="B1186" s="10"/>
      <c r="G1186" s="7" t="s">
        <v>2138</v>
      </c>
      <c r="H1186" s="7">
        <v>3</v>
      </c>
      <c r="I1186" s="7">
        <v>3.2</v>
      </c>
      <c r="J1186" s="7">
        <f t="shared" si="74"/>
        <v>9.6000000000000014</v>
      </c>
    </row>
    <row r="1187" spans="1:16" ht="12.75" customHeight="1">
      <c r="A1187" s="10"/>
      <c r="B1187" s="10"/>
      <c r="G1187" s="7" t="s">
        <v>2139</v>
      </c>
      <c r="H1187" s="7">
        <v>3</v>
      </c>
      <c r="I1187" s="7">
        <v>3.2</v>
      </c>
      <c r="J1187" s="7">
        <f t="shared" si="74"/>
        <v>9.6000000000000014</v>
      </c>
    </row>
    <row r="1188" spans="1:16" ht="12.75" customHeight="1">
      <c r="A1188" s="10"/>
      <c r="B1188" s="10"/>
      <c r="G1188" s="7" t="s">
        <v>2140</v>
      </c>
      <c r="H1188" s="7">
        <v>3</v>
      </c>
      <c r="I1188" s="7">
        <v>2.8</v>
      </c>
      <c r="J1188" s="7">
        <f t="shared" si="74"/>
        <v>8.3999999999999986</v>
      </c>
    </row>
    <row r="1189" spans="1:16" s="4" customFormat="1" ht="12.75" customHeight="1">
      <c r="A1189" s="12"/>
      <c r="B1189" s="12"/>
      <c r="D1189" s="5"/>
      <c r="E1189" s="114"/>
      <c r="F1189" s="5"/>
      <c r="H1189" s="4">
        <f>SUM(H1113:H1188)</f>
        <v>422</v>
      </c>
      <c r="J1189" s="4">
        <f>SUM(J1113:J1188)</f>
        <v>407.82999999999987</v>
      </c>
      <c r="K1189" s="4">
        <f>10+6</f>
        <v>16</v>
      </c>
      <c r="L1189" s="4">
        <f>-248.76-175.07</f>
        <v>-423.83</v>
      </c>
      <c r="O1189" s="4">
        <f>SUM(J1189:N1189)</f>
        <v>0</v>
      </c>
      <c r="P1189" s="13" t="s">
        <v>3047</v>
      </c>
    </row>
    <row r="1190" spans="1:16" ht="12.75" customHeight="1">
      <c r="A1190" s="10">
        <v>43837</v>
      </c>
      <c r="B1190" s="10">
        <v>43838</v>
      </c>
      <c r="C1190" s="7" t="s">
        <v>2323</v>
      </c>
      <c r="D1190" s="19">
        <f t="shared" ref="D1190:D1198" si="75">(F1190-1)/0.45-H1190</f>
        <v>7.1111111111111072</v>
      </c>
      <c r="E1190" s="119" t="s">
        <v>3048</v>
      </c>
      <c r="F1190" s="9">
        <f>26.7</f>
        <v>26.7</v>
      </c>
      <c r="G1190" s="1" t="s">
        <v>3187</v>
      </c>
      <c r="H1190" s="1">
        <v>50</v>
      </c>
      <c r="I1190" s="6">
        <v>0.12</v>
      </c>
      <c r="J1190" s="1">
        <f t="shared" ref="J1190:J1221" si="76">H1190*I1190</f>
        <v>6</v>
      </c>
    </row>
    <row r="1191" spans="1:16" ht="12.75" customHeight="1">
      <c r="A1191" s="10"/>
      <c r="D1191" s="19">
        <f t="shared" si="75"/>
        <v>2.6666666666666643</v>
      </c>
      <c r="E1191" s="119" t="s">
        <v>3163</v>
      </c>
      <c r="F1191" s="9">
        <v>24.7</v>
      </c>
      <c r="G1191" s="1" t="s">
        <v>3188</v>
      </c>
      <c r="H1191" s="1">
        <v>50</v>
      </c>
      <c r="I1191" s="6">
        <v>0.12</v>
      </c>
      <c r="J1191" s="1">
        <f t="shared" si="76"/>
        <v>6</v>
      </c>
    </row>
    <row r="1192" spans="1:16" ht="12.75" customHeight="1">
      <c r="A1192" s="10"/>
      <c r="B1192" s="10"/>
      <c r="D1192" s="19">
        <f t="shared" si="75"/>
        <v>33.777777777777771</v>
      </c>
      <c r="E1192" s="119" t="s">
        <v>3164</v>
      </c>
      <c r="F1192" s="9">
        <v>25.2</v>
      </c>
      <c r="G1192" s="1" t="s">
        <v>3189</v>
      </c>
      <c r="H1192" s="1">
        <v>20</v>
      </c>
      <c r="I1192" s="6">
        <v>0.12</v>
      </c>
      <c r="J1192" s="1">
        <f t="shared" si="76"/>
        <v>2.4</v>
      </c>
    </row>
    <row r="1193" spans="1:16" ht="12.75" customHeight="1">
      <c r="A1193" s="10"/>
      <c r="B1193" s="10"/>
      <c r="D1193" s="19">
        <f t="shared" si="75"/>
        <v>0.22222222222222143</v>
      </c>
      <c r="E1193" s="119" t="s">
        <v>3165</v>
      </c>
      <c r="F1193" s="9">
        <v>23.6</v>
      </c>
      <c r="G1193" s="1" t="s">
        <v>3190</v>
      </c>
      <c r="H1193" s="1">
        <v>50</v>
      </c>
      <c r="I1193" s="6">
        <v>0.12</v>
      </c>
      <c r="J1193" s="1">
        <f t="shared" si="76"/>
        <v>6</v>
      </c>
    </row>
    <row r="1194" spans="1:16" ht="12.75" customHeight="1">
      <c r="A1194" s="10"/>
      <c r="B1194" s="10"/>
      <c r="D1194" s="19">
        <f t="shared" si="75"/>
        <v>3.5555555555555571</v>
      </c>
      <c r="E1194" s="119" t="s">
        <v>3166</v>
      </c>
      <c r="F1194" s="9">
        <v>25.1</v>
      </c>
      <c r="G1194" s="1" t="s">
        <v>3191</v>
      </c>
      <c r="H1194" s="1">
        <v>50</v>
      </c>
      <c r="I1194" s="6">
        <v>0.12</v>
      </c>
      <c r="J1194" s="1">
        <f t="shared" si="76"/>
        <v>6</v>
      </c>
    </row>
    <row r="1195" spans="1:16" ht="12.75" customHeight="1">
      <c r="A1195" s="10"/>
      <c r="B1195" s="10"/>
      <c r="D1195" s="19">
        <f t="shared" si="75"/>
        <v>31.999999999999993</v>
      </c>
      <c r="E1195" s="119" t="s">
        <v>3167</v>
      </c>
      <c r="F1195" s="9">
        <v>24.4</v>
      </c>
      <c r="G1195" s="1" t="s">
        <v>3192</v>
      </c>
      <c r="H1195" s="1">
        <v>20</v>
      </c>
      <c r="I1195" s="6">
        <v>0.12</v>
      </c>
      <c r="J1195" s="1">
        <f t="shared" si="76"/>
        <v>2.4</v>
      </c>
    </row>
    <row r="1196" spans="1:16" ht="12.75" customHeight="1">
      <c r="A1196" s="10"/>
      <c r="B1196" s="10"/>
      <c r="D1196" s="19">
        <f t="shared" si="75"/>
        <v>-0.44444444444444287</v>
      </c>
      <c r="E1196" s="119" t="s">
        <v>3168</v>
      </c>
      <c r="F1196" s="9">
        <v>23.3</v>
      </c>
      <c r="G1196" s="1" t="s">
        <v>3193</v>
      </c>
      <c r="H1196" s="1">
        <v>50</v>
      </c>
      <c r="I1196" s="6">
        <v>0.12</v>
      </c>
      <c r="J1196" s="1">
        <f t="shared" si="76"/>
        <v>6</v>
      </c>
    </row>
    <row r="1197" spans="1:16" ht="12.75" customHeight="1">
      <c r="A1197" s="10"/>
      <c r="B1197" s="10"/>
      <c r="D1197" s="131">
        <f t="shared" si="75"/>
        <v>-28</v>
      </c>
      <c r="E1197" s="119" t="s">
        <v>3169</v>
      </c>
      <c r="F1197" s="9">
        <v>10.9</v>
      </c>
      <c r="G1197" s="1" t="s">
        <v>3194</v>
      </c>
      <c r="H1197" s="1">
        <v>50</v>
      </c>
      <c r="I1197" s="6">
        <v>0.12</v>
      </c>
      <c r="J1197" s="1">
        <f t="shared" si="76"/>
        <v>6</v>
      </c>
    </row>
    <row r="1198" spans="1:16" ht="12.75" customHeight="1">
      <c r="A1198" s="10"/>
      <c r="B1198" s="10"/>
      <c r="C1198" s="130">
        <f>SUM(D1190:D1198)</f>
        <v>21.999999999999982</v>
      </c>
      <c r="D1198" s="19">
        <f t="shared" si="75"/>
        <v>-28.888888888888889</v>
      </c>
      <c r="E1198" s="119" t="s">
        <v>3170</v>
      </c>
      <c r="F1198" s="9">
        <v>10.5</v>
      </c>
      <c r="G1198" s="1" t="s">
        <v>3195</v>
      </c>
      <c r="H1198" s="1">
        <v>50</v>
      </c>
      <c r="I1198" s="6">
        <v>0.12</v>
      </c>
      <c r="J1198" s="1">
        <f t="shared" si="76"/>
        <v>6</v>
      </c>
    </row>
    <row r="1199" spans="1:16" ht="12.75" customHeight="1">
      <c r="A1199" s="10"/>
      <c r="B1199" s="10"/>
      <c r="D1199" s="19">
        <f t="shared" ref="D1199:D1209" si="77">(F1199-1)/0.64-H1199</f>
        <v>-0.9375</v>
      </c>
      <c r="E1199" s="119" t="s">
        <v>3049</v>
      </c>
      <c r="F1199" s="9">
        <v>13.2</v>
      </c>
      <c r="G1199" s="1" t="s">
        <v>3196</v>
      </c>
      <c r="H1199" s="1">
        <v>20</v>
      </c>
      <c r="I1199" s="6">
        <v>0.13</v>
      </c>
      <c r="J1199" s="1">
        <f t="shared" si="76"/>
        <v>2.6</v>
      </c>
    </row>
    <row r="1200" spans="1:16" ht="12.75" customHeight="1">
      <c r="A1200" s="10"/>
      <c r="B1200" s="10"/>
      <c r="D1200" s="19">
        <f t="shared" si="77"/>
        <v>-0.15625</v>
      </c>
      <c r="E1200" s="119" t="s">
        <v>3050</v>
      </c>
      <c r="F1200" s="9">
        <v>13.7</v>
      </c>
      <c r="G1200" s="1" t="s">
        <v>3197</v>
      </c>
      <c r="H1200" s="1">
        <v>20</v>
      </c>
      <c r="I1200" s="6">
        <v>0.1</v>
      </c>
      <c r="J1200" s="1">
        <f t="shared" si="76"/>
        <v>2</v>
      </c>
    </row>
    <row r="1201" spans="1:16" ht="12.75" customHeight="1">
      <c r="A1201" s="10"/>
      <c r="B1201" s="10"/>
      <c r="D1201" s="19">
        <f t="shared" si="77"/>
        <v>-0.15625</v>
      </c>
      <c r="E1201" s="119" t="s">
        <v>3051</v>
      </c>
      <c r="F1201" s="9">
        <v>32.9</v>
      </c>
      <c r="G1201" s="1" t="s">
        <v>3198</v>
      </c>
      <c r="H1201" s="1">
        <v>50</v>
      </c>
      <c r="I1201" s="6">
        <v>0.1</v>
      </c>
      <c r="J1201" s="1">
        <f t="shared" si="76"/>
        <v>5</v>
      </c>
      <c r="P1201" s="7"/>
    </row>
    <row r="1202" spans="1:16" ht="12.75" customHeight="1">
      <c r="A1202" s="10"/>
      <c r="B1202" s="10"/>
      <c r="D1202" s="19">
        <f t="shared" si="77"/>
        <v>-7.96875</v>
      </c>
      <c r="E1202" s="119" t="s">
        <v>3052</v>
      </c>
      <c r="F1202" s="9">
        <v>27.9</v>
      </c>
      <c r="G1202" s="1" t="s">
        <v>3199</v>
      </c>
      <c r="H1202" s="1">
        <v>50</v>
      </c>
      <c r="I1202" s="6">
        <v>0.1</v>
      </c>
      <c r="J1202" s="1">
        <f t="shared" si="76"/>
        <v>5</v>
      </c>
      <c r="P1202" s="7"/>
    </row>
    <row r="1203" spans="1:16" ht="12.75" customHeight="1">
      <c r="A1203" s="10"/>
      <c r="B1203" s="10"/>
      <c r="D1203" s="19">
        <f t="shared" si="77"/>
        <v>4.84375</v>
      </c>
      <c r="E1203" s="119" t="s">
        <v>3053</v>
      </c>
      <c r="F1203" s="9">
        <v>36.1</v>
      </c>
      <c r="G1203" s="1" t="s">
        <v>3200</v>
      </c>
      <c r="H1203" s="1">
        <v>50</v>
      </c>
      <c r="I1203" s="6">
        <v>0.1</v>
      </c>
      <c r="J1203" s="1">
        <f t="shared" si="76"/>
        <v>5</v>
      </c>
      <c r="P1203" s="7"/>
    </row>
    <row r="1204" spans="1:16" ht="12.75" customHeight="1">
      <c r="A1204" s="10"/>
      <c r="B1204" s="10"/>
      <c r="D1204" s="19">
        <f t="shared" si="77"/>
        <v>1.40625</v>
      </c>
      <c r="E1204" s="119" t="s">
        <v>3054</v>
      </c>
      <c r="F1204" s="9">
        <v>33.9</v>
      </c>
      <c r="G1204" s="1" t="s">
        <v>3201</v>
      </c>
      <c r="H1204" s="1">
        <v>50</v>
      </c>
      <c r="I1204" s="6">
        <v>0.1</v>
      </c>
      <c r="J1204" s="1">
        <f t="shared" si="76"/>
        <v>5</v>
      </c>
      <c r="P1204" s="7"/>
    </row>
    <row r="1205" spans="1:16" ht="12.75" customHeight="1">
      <c r="A1205" s="10"/>
      <c r="B1205" s="10"/>
      <c r="D1205" s="19">
        <f t="shared" si="77"/>
        <v>-3.59375</v>
      </c>
      <c r="E1205" s="119" t="s">
        <v>3055</v>
      </c>
      <c r="F1205" s="9">
        <v>30.7</v>
      </c>
      <c r="G1205" s="1" t="s">
        <v>3202</v>
      </c>
      <c r="H1205" s="1">
        <v>50</v>
      </c>
      <c r="I1205" s="6">
        <v>0.1</v>
      </c>
      <c r="J1205" s="1">
        <f t="shared" si="76"/>
        <v>5</v>
      </c>
      <c r="P1205" s="7"/>
    </row>
    <row r="1206" spans="1:16" ht="12.75" customHeight="1">
      <c r="A1206" s="10"/>
      <c r="B1206" s="10"/>
      <c r="D1206" s="19">
        <f t="shared" si="77"/>
        <v>24.375</v>
      </c>
      <c r="E1206" s="119" t="s">
        <v>3056</v>
      </c>
      <c r="F1206" s="9">
        <v>29.4</v>
      </c>
      <c r="G1206" s="1" t="s">
        <v>3203</v>
      </c>
      <c r="H1206" s="1">
        <v>20</v>
      </c>
      <c r="I1206" s="6">
        <v>0.1</v>
      </c>
      <c r="J1206" s="1">
        <f t="shared" si="76"/>
        <v>2</v>
      </c>
      <c r="P1206" s="7"/>
    </row>
    <row r="1207" spans="1:16" ht="12.75" customHeight="1">
      <c r="A1207" s="10"/>
      <c r="B1207" s="10"/>
      <c r="D1207" s="19">
        <f t="shared" si="77"/>
        <v>1.71875</v>
      </c>
      <c r="E1207" s="119" t="s">
        <v>3057</v>
      </c>
      <c r="F1207" s="9">
        <v>34.1</v>
      </c>
      <c r="G1207" s="1" t="s">
        <v>3204</v>
      </c>
      <c r="H1207" s="1">
        <v>50</v>
      </c>
      <c r="I1207" s="6">
        <v>0.1</v>
      </c>
      <c r="J1207" s="1">
        <f t="shared" si="76"/>
        <v>5</v>
      </c>
      <c r="P1207" s="7"/>
    </row>
    <row r="1208" spans="1:16" ht="12.75" customHeight="1">
      <c r="A1208" s="10"/>
      <c r="B1208" s="10"/>
      <c r="D1208" s="131">
        <f t="shared" si="77"/>
        <v>-26.71875</v>
      </c>
      <c r="E1208" s="119" t="s">
        <v>3171</v>
      </c>
      <c r="F1208" s="9">
        <v>15.9</v>
      </c>
      <c r="G1208" s="1" t="s">
        <v>3205</v>
      </c>
      <c r="H1208" s="1">
        <v>50</v>
      </c>
      <c r="I1208" s="6">
        <v>0.1</v>
      </c>
      <c r="J1208" s="1">
        <f t="shared" si="76"/>
        <v>5</v>
      </c>
      <c r="P1208" s="7"/>
    </row>
    <row r="1209" spans="1:16" ht="12.75" customHeight="1">
      <c r="A1209" s="10"/>
      <c r="B1209" s="10"/>
      <c r="C1209" s="130">
        <f>SUM(D1199:D1209)</f>
        <v>-1.71875</v>
      </c>
      <c r="D1209" s="19">
        <f t="shared" si="77"/>
        <v>5.46875</v>
      </c>
      <c r="E1209" s="119" t="s">
        <v>2772</v>
      </c>
      <c r="F1209" s="9">
        <v>17.3</v>
      </c>
      <c r="G1209" s="1" t="s">
        <v>3206</v>
      </c>
      <c r="H1209" s="1">
        <v>20</v>
      </c>
      <c r="I1209" s="6">
        <v>0.1</v>
      </c>
      <c r="J1209" s="1">
        <f t="shared" si="76"/>
        <v>2</v>
      </c>
      <c r="P1209" s="7"/>
    </row>
    <row r="1210" spans="1:16" ht="12.75" customHeight="1">
      <c r="D1210" s="19">
        <f t="shared" ref="D1210:D1221" si="78">(F1210-1)/1.3-H1210</f>
        <v>-0.2307692307692335</v>
      </c>
      <c r="E1210" s="119" t="s">
        <v>3172</v>
      </c>
      <c r="F1210" s="9">
        <v>26.7</v>
      </c>
      <c r="G1210" s="1" t="s">
        <v>3207</v>
      </c>
      <c r="H1210" s="1">
        <v>20</v>
      </c>
      <c r="I1210" s="6">
        <v>0.13</v>
      </c>
      <c r="J1210" s="1">
        <f t="shared" si="76"/>
        <v>2.6</v>
      </c>
      <c r="P1210" s="7"/>
    </row>
    <row r="1211" spans="1:16" ht="12.75" customHeight="1">
      <c r="A1211" s="10"/>
      <c r="B1211" s="10"/>
      <c r="D1211" s="19">
        <f t="shared" si="78"/>
        <v>0.92307692307692335</v>
      </c>
      <c r="E1211" s="119" t="s">
        <v>3173</v>
      </c>
      <c r="F1211" s="9">
        <v>28.2</v>
      </c>
      <c r="G1211" s="1" t="s">
        <v>3208</v>
      </c>
      <c r="H1211" s="1">
        <v>20</v>
      </c>
      <c r="I1211" s="6">
        <v>0.1</v>
      </c>
      <c r="J1211" s="1">
        <f t="shared" si="76"/>
        <v>2</v>
      </c>
      <c r="P1211" s="7"/>
    </row>
    <row r="1212" spans="1:16" ht="12.75" customHeight="1">
      <c r="A1212" s="10"/>
      <c r="B1212" s="10"/>
      <c r="D1212" s="19">
        <f t="shared" si="78"/>
        <v>-1.5384615384615401</v>
      </c>
      <c r="E1212" s="119" t="s">
        <v>3174</v>
      </c>
      <c r="F1212" s="9">
        <v>64</v>
      </c>
      <c r="G1212" s="1" t="s">
        <v>3209</v>
      </c>
      <c r="H1212" s="1">
        <v>50</v>
      </c>
      <c r="I1212" s="6">
        <v>0.1</v>
      </c>
      <c r="J1212" s="1">
        <f t="shared" si="76"/>
        <v>5</v>
      </c>
      <c r="P1212" s="7"/>
    </row>
    <row r="1213" spans="1:16" ht="12.75" customHeight="1">
      <c r="A1213" s="10"/>
      <c r="B1213" s="10"/>
      <c r="D1213" s="19">
        <f t="shared" si="78"/>
        <v>2.2307692307692335</v>
      </c>
      <c r="E1213" s="119" t="s">
        <v>3175</v>
      </c>
      <c r="F1213" s="9">
        <v>68.900000000000006</v>
      </c>
      <c r="G1213" s="1" t="s">
        <v>3210</v>
      </c>
      <c r="H1213" s="1">
        <v>50</v>
      </c>
      <c r="I1213" s="6">
        <v>0.1</v>
      </c>
      <c r="J1213" s="1">
        <f t="shared" si="76"/>
        <v>5</v>
      </c>
      <c r="P1213" s="7"/>
    </row>
    <row r="1214" spans="1:16" ht="12.75" customHeight="1">
      <c r="A1214" s="10"/>
      <c r="B1214" s="10"/>
      <c r="D1214" s="19">
        <f t="shared" si="78"/>
        <v>4.5384615384615401</v>
      </c>
      <c r="E1214" s="119" t="s">
        <v>2773</v>
      </c>
      <c r="F1214" s="9">
        <v>71.900000000000006</v>
      </c>
      <c r="G1214" s="1" t="s">
        <v>3211</v>
      </c>
      <c r="H1214" s="1">
        <v>50</v>
      </c>
      <c r="I1214" s="6">
        <v>0.1</v>
      </c>
      <c r="J1214" s="1">
        <f t="shared" si="76"/>
        <v>5</v>
      </c>
      <c r="P1214" s="7"/>
    </row>
    <row r="1215" spans="1:16" ht="12.75" customHeight="1">
      <c r="A1215" s="10"/>
      <c r="B1215" s="10"/>
      <c r="D1215" s="19">
        <f t="shared" si="78"/>
        <v>3.8461538461538467</v>
      </c>
      <c r="E1215" s="119" t="s">
        <v>2774</v>
      </c>
      <c r="F1215" s="9">
        <v>71</v>
      </c>
      <c r="G1215" s="1" t="s">
        <v>3212</v>
      </c>
      <c r="H1215" s="1">
        <v>50</v>
      </c>
      <c r="I1215" s="6">
        <v>0.1</v>
      </c>
      <c r="J1215" s="1">
        <f t="shared" si="76"/>
        <v>5</v>
      </c>
      <c r="P1215" s="7"/>
    </row>
    <row r="1216" spans="1:16" ht="12.75" customHeight="1">
      <c r="A1216" s="10"/>
      <c r="B1216" s="10"/>
      <c r="D1216" s="19">
        <f t="shared" si="78"/>
        <v>5.6923076923076934</v>
      </c>
      <c r="E1216" s="119" t="s">
        <v>2775</v>
      </c>
      <c r="F1216" s="9">
        <v>73.400000000000006</v>
      </c>
      <c r="G1216" s="1" t="s">
        <v>3213</v>
      </c>
      <c r="H1216" s="1">
        <v>50</v>
      </c>
      <c r="I1216" s="6">
        <v>0.1</v>
      </c>
      <c r="J1216" s="1">
        <f t="shared" si="76"/>
        <v>5</v>
      </c>
      <c r="P1216" s="7"/>
    </row>
    <row r="1217" spans="1:16" ht="12.75" customHeight="1">
      <c r="A1217" s="10"/>
      <c r="B1217" s="10"/>
      <c r="D1217" s="19">
        <f t="shared" si="78"/>
        <v>3.3846153846153868</v>
      </c>
      <c r="E1217" s="119" t="s">
        <v>2776</v>
      </c>
      <c r="F1217" s="9">
        <v>70.400000000000006</v>
      </c>
      <c r="G1217" s="1" t="s">
        <v>3214</v>
      </c>
      <c r="H1217" s="1">
        <v>50</v>
      </c>
      <c r="I1217" s="6">
        <v>0.1</v>
      </c>
      <c r="J1217" s="1">
        <f t="shared" si="76"/>
        <v>5</v>
      </c>
      <c r="P1217" s="7"/>
    </row>
    <row r="1218" spans="1:16" ht="12.75" customHeight="1">
      <c r="A1218" s="10"/>
      <c r="B1218" s="10"/>
      <c r="D1218" s="19">
        <f t="shared" si="78"/>
        <v>2.538461538461533</v>
      </c>
      <c r="E1218" s="119" t="s">
        <v>2777</v>
      </c>
      <c r="F1218" s="9">
        <v>69.3</v>
      </c>
      <c r="G1218" s="1" t="s">
        <v>3215</v>
      </c>
      <c r="H1218" s="1">
        <v>50</v>
      </c>
      <c r="I1218" s="6">
        <v>0.1</v>
      </c>
      <c r="J1218" s="1">
        <f t="shared" si="76"/>
        <v>5</v>
      </c>
      <c r="P1218" s="7"/>
    </row>
    <row r="1219" spans="1:16" ht="12.75" customHeight="1">
      <c r="A1219" s="10"/>
      <c r="B1219" s="10"/>
      <c r="D1219" s="19">
        <f t="shared" si="78"/>
        <v>0.8461538461538467</v>
      </c>
      <c r="E1219" s="119" t="s">
        <v>2778</v>
      </c>
      <c r="F1219" s="9">
        <v>28.1</v>
      </c>
      <c r="G1219" s="1" t="s">
        <v>3216</v>
      </c>
      <c r="H1219" s="1">
        <v>20</v>
      </c>
      <c r="I1219" s="6">
        <v>0.1</v>
      </c>
      <c r="J1219" s="1">
        <f t="shared" si="76"/>
        <v>2</v>
      </c>
      <c r="P1219" s="7"/>
    </row>
    <row r="1220" spans="1:16" ht="12.75" customHeight="1">
      <c r="A1220" s="10"/>
      <c r="B1220" s="10"/>
      <c r="D1220" s="19">
        <f t="shared" si="78"/>
        <v>1.3076923076923066</v>
      </c>
      <c r="E1220" s="119" t="s">
        <v>2779</v>
      </c>
      <c r="F1220" s="9">
        <v>28.7</v>
      </c>
      <c r="G1220" s="1" t="s">
        <v>3217</v>
      </c>
      <c r="H1220" s="1">
        <v>20</v>
      </c>
      <c r="I1220" s="6">
        <v>0.1</v>
      </c>
      <c r="J1220" s="1">
        <f t="shared" si="76"/>
        <v>2</v>
      </c>
      <c r="P1220" s="7"/>
    </row>
    <row r="1221" spans="1:16" ht="12.75" customHeight="1">
      <c r="A1221" s="10"/>
      <c r="B1221" s="10"/>
      <c r="C1221" s="130">
        <f>SUM(D1211:D1221)</f>
        <v>23.384615384615383</v>
      </c>
      <c r="D1221" s="19">
        <f t="shared" si="78"/>
        <v>-0.3846153846153868</v>
      </c>
      <c r="E1221" s="119" t="s">
        <v>2780</v>
      </c>
      <c r="F1221" s="9">
        <v>26.5</v>
      </c>
      <c r="G1221" s="1" t="s">
        <v>3218</v>
      </c>
      <c r="H1221" s="1">
        <v>20</v>
      </c>
      <c r="I1221" s="6">
        <v>0.12</v>
      </c>
      <c r="J1221" s="1">
        <f t="shared" si="76"/>
        <v>2.4</v>
      </c>
      <c r="P1221" s="7"/>
    </row>
    <row r="1222" spans="1:16" ht="12.75" customHeight="1">
      <c r="A1222" s="10"/>
      <c r="B1222" s="10"/>
      <c r="D1222" s="3"/>
      <c r="E1222" s="119" t="s">
        <v>2794</v>
      </c>
      <c r="F1222" s="110">
        <f>16.9/3</f>
        <v>5.6333333333333329</v>
      </c>
      <c r="G1222" s="1" t="s">
        <v>3219</v>
      </c>
      <c r="H1222" s="1">
        <v>3</v>
      </c>
      <c r="I1222" s="6">
        <v>1</v>
      </c>
      <c r="J1222" s="1">
        <f t="shared" ref="J1222:J1253" si="79">H1222*I1222</f>
        <v>3</v>
      </c>
      <c r="P1222" s="7"/>
    </row>
    <row r="1223" spans="1:16" ht="12.75" customHeight="1">
      <c r="A1223" s="10"/>
      <c r="B1223" s="10"/>
      <c r="D1223" s="3"/>
      <c r="E1223" s="119" t="s">
        <v>2795</v>
      </c>
      <c r="F1223" s="110">
        <f>17.1/3</f>
        <v>5.7</v>
      </c>
      <c r="G1223" s="1" t="s">
        <v>3220</v>
      </c>
      <c r="H1223" s="1">
        <v>3</v>
      </c>
      <c r="I1223" s="6">
        <v>1</v>
      </c>
      <c r="J1223" s="1">
        <f t="shared" si="79"/>
        <v>3</v>
      </c>
      <c r="P1223" s="7"/>
    </row>
    <row r="1224" spans="1:16" ht="12.75" customHeight="1">
      <c r="A1224" s="10"/>
      <c r="B1224" s="10"/>
      <c r="D1224" s="3"/>
      <c r="E1224" s="119" t="s">
        <v>2796</v>
      </c>
      <c r="F1224" s="110">
        <f>20/3</f>
        <v>6.666666666666667</v>
      </c>
      <c r="G1224" s="1" t="s">
        <v>3221</v>
      </c>
      <c r="H1224" s="1">
        <v>3</v>
      </c>
      <c r="I1224" s="6">
        <v>1</v>
      </c>
      <c r="J1224" s="1">
        <f t="shared" si="79"/>
        <v>3</v>
      </c>
      <c r="P1224" s="7"/>
    </row>
    <row r="1225" spans="1:16" ht="12.75" customHeight="1">
      <c r="A1225" s="10"/>
      <c r="B1225" s="10"/>
      <c r="D1225" s="3"/>
      <c r="E1225" s="119" t="s">
        <v>2797</v>
      </c>
      <c r="F1225" s="110">
        <f>19.2/3</f>
        <v>6.3999999999999995</v>
      </c>
      <c r="G1225" s="1" t="s">
        <v>3222</v>
      </c>
      <c r="H1225" s="1">
        <v>3</v>
      </c>
      <c r="I1225" s="6">
        <v>1</v>
      </c>
      <c r="J1225" s="1">
        <f t="shared" si="79"/>
        <v>3</v>
      </c>
      <c r="P1225" s="7"/>
    </row>
    <row r="1226" spans="1:16" ht="12.75" customHeight="1">
      <c r="A1226" s="10"/>
      <c r="B1226" s="10"/>
      <c r="D1226" s="3"/>
      <c r="E1226" s="119" t="s">
        <v>2798</v>
      </c>
      <c r="F1226" s="110">
        <f>20.2/3</f>
        <v>6.7333333333333334</v>
      </c>
      <c r="G1226" s="1" t="s">
        <v>3223</v>
      </c>
      <c r="H1226" s="1">
        <v>3</v>
      </c>
      <c r="I1226" s="6">
        <v>1</v>
      </c>
      <c r="J1226" s="1">
        <f t="shared" si="79"/>
        <v>3</v>
      </c>
      <c r="P1226" s="7"/>
    </row>
    <row r="1227" spans="1:16" ht="12.75" customHeight="1">
      <c r="A1227" s="10"/>
      <c r="B1227" s="10"/>
      <c r="D1227" s="3"/>
      <c r="E1227" s="119" t="s">
        <v>2799</v>
      </c>
      <c r="F1227" s="110">
        <f>18.8/3</f>
        <v>6.2666666666666666</v>
      </c>
      <c r="G1227" s="1" t="s">
        <v>3224</v>
      </c>
      <c r="H1227" s="1">
        <v>3</v>
      </c>
      <c r="I1227" s="6">
        <v>1</v>
      </c>
      <c r="J1227" s="1">
        <f t="shared" si="79"/>
        <v>3</v>
      </c>
      <c r="P1227" s="7"/>
    </row>
    <row r="1228" spans="1:16" ht="12.75" customHeight="1">
      <c r="A1228" s="10"/>
      <c r="B1228" s="10"/>
      <c r="D1228" s="3"/>
      <c r="E1228" s="119" t="s">
        <v>2800</v>
      </c>
      <c r="F1228" s="110">
        <f>20/3</f>
        <v>6.666666666666667</v>
      </c>
      <c r="G1228" s="1" t="s">
        <v>3225</v>
      </c>
      <c r="H1228" s="1">
        <v>3</v>
      </c>
      <c r="I1228" s="6">
        <v>1</v>
      </c>
      <c r="J1228" s="1">
        <f t="shared" si="79"/>
        <v>3</v>
      </c>
      <c r="P1228" s="7"/>
    </row>
    <row r="1229" spans="1:16" ht="12.75" customHeight="1">
      <c r="A1229" s="10"/>
      <c r="B1229" s="10"/>
      <c r="D1229" s="3"/>
      <c r="E1229" s="119" t="s">
        <v>2783</v>
      </c>
      <c r="F1229" s="110">
        <f>358/500</f>
        <v>0.71599999999999997</v>
      </c>
      <c r="G1229" s="1" t="s">
        <v>3226</v>
      </c>
      <c r="H1229" s="1">
        <v>100</v>
      </c>
      <c r="I1229" s="6">
        <f t="shared" ref="I1229:I1238" si="80">6/100</f>
        <v>0.06</v>
      </c>
      <c r="J1229" s="1">
        <f t="shared" si="79"/>
        <v>6</v>
      </c>
      <c r="P1229" s="7"/>
    </row>
    <row r="1230" spans="1:16" ht="12.75" customHeight="1">
      <c r="A1230" s="10"/>
      <c r="B1230" s="10"/>
      <c r="D1230" s="3"/>
      <c r="E1230" s="119" t="s">
        <v>2784</v>
      </c>
      <c r="F1230" s="110">
        <f t="shared" ref="F1230:F1238" si="81">358/500</f>
        <v>0.71599999999999997</v>
      </c>
      <c r="G1230" s="1" t="s">
        <v>3227</v>
      </c>
      <c r="H1230" s="1">
        <v>100</v>
      </c>
      <c r="I1230" s="6">
        <f t="shared" si="80"/>
        <v>0.06</v>
      </c>
      <c r="J1230" s="1">
        <f t="shared" si="79"/>
        <v>6</v>
      </c>
      <c r="P1230" s="7"/>
    </row>
    <row r="1231" spans="1:16" ht="12.75" customHeight="1">
      <c r="A1231" s="10"/>
      <c r="B1231" s="10"/>
      <c r="D1231" s="3"/>
      <c r="E1231" s="119" t="s">
        <v>2785</v>
      </c>
      <c r="F1231" s="110">
        <f t="shared" si="81"/>
        <v>0.71599999999999997</v>
      </c>
      <c r="G1231" s="1" t="s">
        <v>3228</v>
      </c>
      <c r="H1231" s="1">
        <v>100</v>
      </c>
      <c r="I1231" s="6">
        <f t="shared" si="80"/>
        <v>0.06</v>
      </c>
      <c r="J1231" s="1">
        <f t="shared" si="79"/>
        <v>6</v>
      </c>
      <c r="P1231" s="7"/>
    </row>
    <row r="1232" spans="1:16" ht="12.75" customHeight="1">
      <c r="A1232" s="10"/>
      <c r="B1232" s="10"/>
      <c r="D1232" s="3"/>
      <c r="E1232" s="119" t="s">
        <v>2786</v>
      </c>
      <c r="F1232" s="110">
        <f t="shared" si="81"/>
        <v>0.71599999999999997</v>
      </c>
      <c r="G1232" s="1" t="s">
        <v>3229</v>
      </c>
      <c r="H1232" s="1">
        <v>100</v>
      </c>
      <c r="I1232" s="6">
        <f t="shared" si="80"/>
        <v>0.06</v>
      </c>
      <c r="J1232" s="1">
        <f t="shared" si="79"/>
        <v>6</v>
      </c>
      <c r="P1232" s="7"/>
    </row>
    <row r="1233" spans="1:16" ht="12.75" customHeight="1">
      <c r="A1233" s="10"/>
      <c r="B1233" s="10"/>
      <c r="D1233" s="3"/>
      <c r="E1233" s="119" t="s">
        <v>2787</v>
      </c>
      <c r="F1233" s="110">
        <f t="shared" si="81"/>
        <v>0.71599999999999997</v>
      </c>
      <c r="G1233" s="1" t="s">
        <v>3230</v>
      </c>
      <c r="H1233" s="1">
        <v>100</v>
      </c>
      <c r="I1233" s="6">
        <f t="shared" si="80"/>
        <v>0.06</v>
      </c>
      <c r="J1233" s="1">
        <f t="shared" si="79"/>
        <v>6</v>
      </c>
      <c r="P1233" s="7"/>
    </row>
    <row r="1234" spans="1:16" ht="12.75" customHeight="1">
      <c r="A1234" s="10"/>
      <c r="B1234" s="10"/>
      <c r="D1234" s="3"/>
      <c r="E1234" s="119" t="s">
        <v>2788</v>
      </c>
      <c r="F1234" s="110">
        <f t="shared" si="81"/>
        <v>0.71599999999999997</v>
      </c>
      <c r="G1234" s="1" t="s">
        <v>3231</v>
      </c>
      <c r="H1234" s="1">
        <v>100</v>
      </c>
      <c r="I1234" s="6">
        <f t="shared" si="80"/>
        <v>0.06</v>
      </c>
      <c r="J1234" s="1">
        <f t="shared" si="79"/>
        <v>6</v>
      </c>
      <c r="P1234" s="7"/>
    </row>
    <row r="1235" spans="1:16" ht="12.75" customHeight="1">
      <c r="A1235" s="10"/>
      <c r="B1235" s="10"/>
      <c r="D1235" s="3"/>
      <c r="E1235" s="119" t="s">
        <v>2789</v>
      </c>
      <c r="F1235" s="110">
        <f t="shared" si="81"/>
        <v>0.71599999999999997</v>
      </c>
      <c r="G1235" s="1" t="s">
        <v>3232</v>
      </c>
      <c r="H1235" s="1">
        <v>100</v>
      </c>
      <c r="I1235" s="6">
        <f t="shared" si="80"/>
        <v>0.06</v>
      </c>
      <c r="J1235" s="1">
        <f t="shared" si="79"/>
        <v>6</v>
      </c>
      <c r="P1235" s="7"/>
    </row>
    <row r="1236" spans="1:16" ht="12.75" customHeight="1">
      <c r="A1236" s="10"/>
      <c r="B1236" s="10"/>
      <c r="D1236" s="3"/>
      <c r="E1236" s="119" t="s">
        <v>2790</v>
      </c>
      <c r="F1236" s="110">
        <f t="shared" si="81"/>
        <v>0.71599999999999997</v>
      </c>
      <c r="G1236" s="1" t="s">
        <v>3233</v>
      </c>
      <c r="H1236" s="1">
        <v>100</v>
      </c>
      <c r="I1236" s="6">
        <f t="shared" si="80"/>
        <v>0.06</v>
      </c>
      <c r="J1236" s="1">
        <f t="shared" si="79"/>
        <v>6</v>
      </c>
      <c r="P1236" s="7"/>
    </row>
    <row r="1237" spans="1:16" ht="12.75" customHeight="1">
      <c r="A1237" s="10"/>
      <c r="B1237" s="10"/>
      <c r="D1237" s="3"/>
      <c r="E1237" s="119" t="s">
        <v>2791</v>
      </c>
      <c r="F1237" s="110">
        <f t="shared" si="81"/>
        <v>0.71599999999999997</v>
      </c>
      <c r="G1237" s="1" t="s">
        <v>3234</v>
      </c>
      <c r="H1237" s="1">
        <v>100</v>
      </c>
      <c r="I1237" s="6">
        <f t="shared" si="80"/>
        <v>0.06</v>
      </c>
      <c r="J1237" s="1">
        <f t="shared" si="79"/>
        <v>6</v>
      </c>
      <c r="P1237" s="7"/>
    </row>
    <row r="1238" spans="1:16" ht="12.75" customHeight="1">
      <c r="A1238" s="10"/>
      <c r="B1238" s="10"/>
      <c r="D1238" s="3"/>
      <c r="E1238" s="119" t="s">
        <v>2792</v>
      </c>
      <c r="F1238" s="110">
        <f t="shared" si="81"/>
        <v>0.71599999999999997</v>
      </c>
      <c r="G1238" s="1" t="s">
        <v>3235</v>
      </c>
      <c r="H1238" s="1">
        <v>100</v>
      </c>
      <c r="I1238" s="6">
        <f t="shared" si="80"/>
        <v>0.06</v>
      </c>
      <c r="J1238" s="1">
        <f t="shared" si="79"/>
        <v>6</v>
      </c>
      <c r="P1238" s="7"/>
    </row>
    <row r="1239" spans="1:16" ht="12.75" customHeight="1">
      <c r="A1239" s="10"/>
      <c r="B1239" s="10"/>
      <c r="D1239" s="3"/>
      <c r="E1239" s="119" t="s">
        <v>2801</v>
      </c>
      <c r="F1239" s="110">
        <f>497/400</f>
        <v>1.2424999999999999</v>
      </c>
      <c r="G1239" s="1" t="s">
        <v>3236</v>
      </c>
      <c r="H1239" s="1">
        <v>100</v>
      </c>
      <c r="I1239" s="6">
        <f t="shared" ref="I1239:I1247" si="82">7/100</f>
        <v>7.0000000000000007E-2</v>
      </c>
      <c r="J1239" s="1">
        <f t="shared" si="79"/>
        <v>7.0000000000000009</v>
      </c>
      <c r="P1239" s="7"/>
    </row>
    <row r="1240" spans="1:16" ht="12.75" customHeight="1">
      <c r="A1240" s="10"/>
      <c r="B1240" s="10"/>
      <c r="D1240" s="3"/>
      <c r="E1240" s="119" t="s">
        <v>2802</v>
      </c>
      <c r="F1240" s="110">
        <f t="shared" ref="F1240:F1247" si="83">497/400</f>
        <v>1.2424999999999999</v>
      </c>
      <c r="G1240" s="1" t="s">
        <v>3237</v>
      </c>
      <c r="H1240" s="1">
        <v>100</v>
      </c>
      <c r="I1240" s="6">
        <f t="shared" si="82"/>
        <v>7.0000000000000007E-2</v>
      </c>
      <c r="J1240" s="1">
        <f t="shared" si="79"/>
        <v>7.0000000000000009</v>
      </c>
      <c r="P1240" s="7"/>
    </row>
    <row r="1241" spans="1:16" ht="12.75" customHeight="1">
      <c r="A1241" s="10"/>
      <c r="B1241" s="10"/>
      <c r="D1241" s="3"/>
      <c r="E1241" s="119" t="s">
        <v>2803</v>
      </c>
      <c r="F1241" s="110">
        <f t="shared" si="83"/>
        <v>1.2424999999999999</v>
      </c>
      <c r="G1241" s="1" t="s">
        <v>3238</v>
      </c>
      <c r="H1241" s="1">
        <v>100</v>
      </c>
      <c r="I1241" s="6">
        <f t="shared" si="82"/>
        <v>7.0000000000000007E-2</v>
      </c>
      <c r="J1241" s="1">
        <f t="shared" si="79"/>
        <v>7.0000000000000009</v>
      </c>
      <c r="P1241" s="7"/>
    </row>
    <row r="1242" spans="1:16" ht="12.75" customHeight="1">
      <c r="A1242" s="10"/>
      <c r="B1242" s="10"/>
      <c r="D1242" s="3"/>
      <c r="E1242" s="119" t="s">
        <v>2804</v>
      </c>
      <c r="F1242" s="110">
        <f t="shared" si="83"/>
        <v>1.2424999999999999</v>
      </c>
      <c r="G1242" s="1" t="s">
        <v>3239</v>
      </c>
      <c r="H1242" s="1">
        <v>100</v>
      </c>
      <c r="I1242" s="6">
        <f t="shared" si="82"/>
        <v>7.0000000000000007E-2</v>
      </c>
      <c r="J1242" s="1">
        <f t="shared" si="79"/>
        <v>7.0000000000000009</v>
      </c>
      <c r="P1242" s="7"/>
    </row>
    <row r="1243" spans="1:16" ht="12.75" customHeight="1">
      <c r="A1243" s="10"/>
      <c r="B1243" s="10"/>
      <c r="D1243" s="3"/>
      <c r="E1243" s="119" t="s">
        <v>2805</v>
      </c>
      <c r="F1243" s="110">
        <f t="shared" si="83"/>
        <v>1.2424999999999999</v>
      </c>
      <c r="G1243" s="1" t="s">
        <v>3240</v>
      </c>
      <c r="H1243" s="1">
        <v>100</v>
      </c>
      <c r="I1243" s="6">
        <f t="shared" si="82"/>
        <v>7.0000000000000007E-2</v>
      </c>
      <c r="J1243" s="1">
        <f t="shared" si="79"/>
        <v>7.0000000000000009</v>
      </c>
      <c r="P1243" s="7"/>
    </row>
    <row r="1244" spans="1:16" ht="12.75" customHeight="1">
      <c r="A1244" s="10"/>
      <c r="B1244" s="10"/>
      <c r="D1244" s="3"/>
      <c r="E1244" s="119" t="s">
        <v>2806</v>
      </c>
      <c r="F1244" s="110">
        <f t="shared" si="83"/>
        <v>1.2424999999999999</v>
      </c>
      <c r="G1244" s="1" t="s">
        <v>3241</v>
      </c>
      <c r="H1244" s="1">
        <v>100</v>
      </c>
      <c r="I1244" s="6">
        <f t="shared" si="82"/>
        <v>7.0000000000000007E-2</v>
      </c>
      <c r="J1244" s="1">
        <f t="shared" si="79"/>
        <v>7.0000000000000009</v>
      </c>
      <c r="P1244" s="7"/>
    </row>
    <row r="1245" spans="1:16" ht="12.75" customHeight="1">
      <c r="A1245" s="10"/>
      <c r="B1245" s="10"/>
      <c r="D1245" s="3"/>
      <c r="E1245" s="119" t="s">
        <v>2807</v>
      </c>
      <c r="F1245" s="110">
        <f t="shared" si="83"/>
        <v>1.2424999999999999</v>
      </c>
      <c r="G1245" s="1" t="s">
        <v>3242</v>
      </c>
      <c r="H1245" s="1">
        <v>100</v>
      </c>
      <c r="I1245" s="6">
        <f t="shared" si="82"/>
        <v>7.0000000000000007E-2</v>
      </c>
      <c r="J1245" s="1">
        <f t="shared" si="79"/>
        <v>7.0000000000000009</v>
      </c>
      <c r="P1245" s="7"/>
    </row>
    <row r="1246" spans="1:16" ht="12.75" customHeight="1">
      <c r="A1246" s="10"/>
      <c r="B1246" s="10"/>
      <c r="D1246" s="3"/>
      <c r="E1246" s="119" t="s">
        <v>2808</v>
      </c>
      <c r="F1246" s="110">
        <f t="shared" si="83"/>
        <v>1.2424999999999999</v>
      </c>
      <c r="G1246" s="1" t="s">
        <v>3243</v>
      </c>
      <c r="H1246" s="1">
        <v>100</v>
      </c>
      <c r="I1246" s="6">
        <f t="shared" si="82"/>
        <v>7.0000000000000007E-2</v>
      </c>
      <c r="J1246" s="1">
        <f t="shared" si="79"/>
        <v>7.0000000000000009</v>
      </c>
      <c r="P1246" s="7"/>
    </row>
    <row r="1247" spans="1:16" ht="12.75" customHeight="1">
      <c r="A1247" s="10"/>
      <c r="B1247" s="10"/>
      <c r="D1247" s="3"/>
      <c r="E1247" s="119" t="s">
        <v>2809</v>
      </c>
      <c r="F1247" s="110">
        <f t="shared" si="83"/>
        <v>1.2424999999999999</v>
      </c>
      <c r="G1247" s="1" t="s">
        <v>3244</v>
      </c>
      <c r="H1247" s="1">
        <v>100</v>
      </c>
      <c r="I1247" s="6">
        <f t="shared" si="82"/>
        <v>7.0000000000000007E-2</v>
      </c>
      <c r="J1247" s="1">
        <f t="shared" si="79"/>
        <v>7.0000000000000009</v>
      </c>
      <c r="P1247" s="7"/>
    </row>
    <row r="1248" spans="1:16" ht="12.75" customHeight="1">
      <c r="A1248" s="10"/>
      <c r="B1248" s="10"/>
      <c r="D1248" s="3"/>
      <c r="E1248" s="119" t="s">
        <v>3162</v>
      </c>
      <c r="F1248" s="9">
        <f>36.1/5</f>
        <v>7.2200000000000006</v>
      </c>
      <c r="G1248" s="1" t="s">
        <v>3245</v>
      </c>
      <c r="H1248" s="1">
        <v>5</v>
      </c>
      <c r="I1248" s="6">
        <v>1.7</v>
      </c>
      <c r="J1248" s="1">
        <f t="shared" si="79"/>
        <v>8.5</v>
      </c>
      <c r="P1248" s="7"/>
    </row>
    <row r="1249" spans="1:16" ht="12.75" customHeight="1">
      <c r="A1249" s="10"/>
      <c r="B1249" s="10"/>
      <c r="D1249" s="3"/>
      <c r="E1249" s="119" t="s">
        <v>2768</v>
      </c>
      <c r="F1249" s="9">
        <f>39.8/5</f>
        <v>7.9599999999999991</v>
      </c>
      <c r="G1249" s="1" t="s">
        <v>3246</v>
      </c>
      <c r="H1249" s="1">
        <v>5</v>
      </c>
      <c r="I1249" s="6">
        <v>1.7</v>
      </c>
      <c r="J1249" s="1">
        <f t="shared" si="79"/>
        <v>8.5</v>
      </c>
    </row>
    <row r="1250" spans="1:16" ht="12.75" customHeight="1">
      <c r="A1250" s="10"/>
      <c r="B1250" s="10"/>
      <c r="D1250" s="3"/>
      <c r="E1250" s="119" t="s">
        <v>2769</v>
      </c>
      <c r="F1250" s="9">
        <f>35.3/5</f>
        <v>7.06</v>
      </c>
      <c r="G1250" s="1" t="s">
        <v>3247</v>
      </c>
      <c r="H1250" s="1">
        <v>5</v>
      </c>
      <c r="I1250" s="6">
        <v>1.7</v>
      </c>
      <c r="J1250" s="1">
        <f t="shared" si="79"/>
        <v>8.5</v>
      </c>
    </row>
    <row r="1251" spans="1:16" ht="12.75" customHeight="1">
      <c r="A1251" s="10"/>
      <c r="B1251" s="10"/>
      <c r="D1251" s="3"/>
      <c r="E1251" s="113" t="s">
        <v>3310</v>
      </c>
      <c r="G1251" s="51" t="s">
        <v>3248</v>
      </c>
      <c r="H1251" s="51">
        <v>5</v>
      </c>
      <c r="I1251" s="6">
        <v>1.7</v>
      </c>
      <c r="J1251" s="1">
        <f t="shared" si="79"/>
        <v>8.5</v>
      </c>
    </row>
    <row r="1252" spans="1:16" ht="12.75" customHeight="1">
      <c r="A1252" s="10"/>
      <c r="B1252" s="10"/>
      <c r="D1252" s="3"/>
      <c r="E1252" s="119" t="s">
        <v>2770</v>
      </c>
      <c r="F1252" s="9">
        <f>48.6/5</f>
        <v>9.7200000000000006</v>
      </c>
      <c r="G1252" s="1" t="s">
        <v>3249</v>
      </c>
      <c r="H1252" s="1">
        <v>5</v>
      </c>
      <c r="I1252" s="6">
        <v>1.7</v>
      </c>
      <c r="J1252" s="1">
        <f t="shared" si="79"/>
        <v>8.5</v>
      </c>
    </row>
    <row r="1253" spans="1:16" ht="12.75" customHeight="1">
      <c r="A1253" s="10"/>
      <c r="B1253" s="10"/>
      <c r="D1253" s="3"/>
      <c r="E1253" s="119" t="s">
        <v>2771</v>
      </c>
      <c r="F1253" s="9">
        <f>53.5/5</f>
        <v>10.7</v>
      </c>
      <c r="G1253" s="1" t="s">
        <v>3250</v>
      </c>
      <c r="H1253" s="1">
        <v>5</v>
      </c>
      <c r="I1253" s="6">
        <v>1.7</v>
      </c>
      <c r="J1253" s="1">
        <f t="shared" si="79"/>
        <v>8.5</v>
      </c>
    </row>
    <row r="1254" spans="1:16" ht="12.75" customHeight="1">
      <c r="A1254" s="10"/>
      <c r="B1254" s="10"/>
      <c r="D1254" s="3"/>
      <c r="E1254" s="119" t="s">
        <v>2781</v>
      </c>
      <c r="F1254" s="9">
        <f>11.3/10</f>
        <v>1.1300000000000001</v>
      </c>
      <c r="G1254" s="1" t="s">
        <v>3251</v>
      </c>
      <c r="H1254" s="1">
        <v>10</v>
      </c>
      <c r="I1254" s="6">
        <v>0.9</v>
      </c>
      <c r="J1254" s="1">
        <f>H1254*I1254</f>
        <v>9</v>
      </c>
    </row>
    <row r="1255" spans="1:16" ht="12.75" customHeight="1">
      <c r="A1255" s="10"/>
      <c r="B1255" s="10"/>
      <c r="D1255" s="3"/>
      <c r="E1255" s="119" t="s">
        <v>2782</v>
      </c>
      <c r="F1255" s="9">
        <f>90.2/5</f>
        <v>18.04</v>
      </c>
      <c r="G1255" s="138" t="s">
        <v>3325</v>
      </c>
      <c r="H1255" s="1">
        <v>5</v>
      </c>
      <c r="I1255" s="6">
        <v>1.5</v>
      </c>
      <c r="J1255" s="1">
        <f>H1255*I1255</f>
        <v>7.5</v>
      </c>
    </row>
    <row r="1256" spans="1:16" ht="12.75" customHeight="1">
      <c r="A1256" s="10"/>
      <c r="B1256" s="10"/>
      <c r="D1256" s="3"/>
      <c r="E1256" s="119" t="s">
        <v>2793</v>
      </c>
      <c r="F1256" s="110">
        <f>26.9/50</f>
        <v>0.53799999999999992</v>
      </c>
      <c r="G1256" s="1" t="s">
        <v>2322</v>
      </c>
      <c r="H1256" s="1">
        <v>50</v>
      </c>
      <c r="I1256" s="6">
        <v>0.05</v>
      </c>
      <c r="J1256" s="1">
        <f>H1256*I1256</f>
        <v>2.5</v>
      </c>
    </row>
    <row r="1257" spans="1:16" s="4" customFormat="1" ht="12.75" customHeight="1">
      <c r="A1257" s="12"/>
      <c r="B1257" s="12"/>
      <c r="D1257" s="5"/>
      <c r="E1257" s="114"/>
      <c r="F1257" s="5"/>
      <c r="H1257" s="4">
        <f>SUM(H1190:H1256)</f>
        <v>3286</v>
      </c>
      <c r="J1257" s="4">
        <f>SUM(J1190:J1256)</f>
        <v>350.40000000000003</v>
      </c>
      <c r="K1257" s="4">
        <v>15</v>
      </c>
      <c r="L1257" s="4">
        <v>-365.4</v>
      </c>
      <c r="O1257" s="4">
        <f>SUM(J1257:N1257)</f>
        <v>0</v>
      </c>
      <c r="P1257" s="13" t="s">
        <v>3058</v>
      </c>
    </row>
    <row r="1258" spans="1:16" ht="12.75" customHeight="1">
      <c r="A1258" s="10">
        <v>43837</v>
      </c>
      <c r="B1258" s="10"/>
      <c r="C1258" s="7" t="s">
        <v>2324</v>
      </c>
      <c r="E1258" s="128" t="s">
        <v>3160</v>
      </c>
      <c r="F1258" s="9">
        <f>24.7/5</f>
        <v>4.9399999999999995</v>
      </c>
      <c r="G1258" s="7" t="s">
        <v>3252</v>
      </c>
      <c r="H1258" s="7">
        <v>10</v>
      </c>
      <c r="I1258" s="7">
        <f>5.92/10</f>
        <v>0.59199999999999997</v>
      </c>
      <c r="J1258" s="7">
        <f>H1258*I1258</f>
        <v>5.92</v>
      </c>
    </row>
    <row r="1259" spans="1:16" ht="12.75" customHeight="1">
      <c r="A1259" s="10"/>
      <c r="B1259" s="10"/>
      <c r="E1259" s="128" t="s">
        <v>3161</v>
      </c>
      <c r="F1259" s="9">
        <f>45.7/5</f>
        <v>9.14</v>
      </c>
      <c r="G1259" s="7" t="s">
        <v>3253</v>
      </c>
      <c r="H1259" s="7">
        <v>10</v>
      </c>
      <c r="I1259" s="7">
        <f>6.91/10</f>
        <v>0.69100000000000006</v>
      </c>
      <c r="J1259" s="7">
        <f>H1259*I1259</f>
        <v>6.91</v>
      </c>
    </row>
    <row r="1260" spans="1:16" s="4" customFormat="1" ht="12.75" customHeight="1">
      <c r="A1260" s="12"/>
      <c r="B1260" s="12"/>
      <c r="D1260" s="5"/>
      <c r="E1260" s="114"/>
      <c r="F1260" s="5"/>
      <c r="H1260" s="4">
        <f>SUM(H1258:H1259)</f>
        <v>20</v>
      </c>
      <c r="J1260" s="4">
        <f>SUM(J1258:J1259)</f>
        <v>12.83</v>
      </c>
      <c r="K1260" s="4">
        <v>0</v>
      </c>
      <c r="M1260" s="4">
        <f>-5.92-1.91</f>
        <v>-7.83</v>
      </c>
      <c r="N1260" s="4">
        <v>-5</v>
      </c>
      <c r="O1260" s="4">
        <f>SUM(J1260:N1260)</f>
        <v>0</v>
      </c>
      <c r="P1260" s="13" t="s">
        <v>3059</v>
      </c>
    </row>
    <row r="1261" spans="1:16" ht="12.75" customHeight="1">
      <c r="A1261" s="10">
        <v>43837</v>
      </c>
      <c r="B1261" s="10"/>
      <c r="C1261" s="7" t="s">
        <v>1762</v>
      </c>
      <c r="D1261" s="3"/>
      <c r="E1261" s="119" t="s">
        <v>2810</v>
      </c>
      <c r="F1261" s="110">
        <f>27.8/100</f>
        <v>0.27800000000000002</v>
      </c>
      <c r="G1261" s="1" t="s">
        <v>1770</v>
      </c>
      <c r="H1261" s="123">
        <f>50*100</f>
        <v>5000</v>
      </c>
      <c r="I1261" s="25">
        <f>0.65/100</f>
        <v>6.5000000000000006E-3</v>
      </c>
      <c r="J1261" s="1">
        <f t="shared" ref="J1261:J1274" si="84">H1261*I1261</f>
        <v>32.5</v>
      </c>
    </row>
    <row r="1262" spans="1:16" ht="12.75" customHeight="1">
      <c r="A1262" s="10"/>
      <c r="B1262" s="10"/>
      <c r="D1262" s="3"/>
      <c r="E1262" s="119" t="s">
        <v>2811</v>
      </c>
      <c r="F1262" s="110">
        <f>36.5/100</f>
        <v>0.36499999999999999</v>
      </c>
      <c r="G1262" s="1" t="s">
        <v>1769</v>
      </c>
      <c r="H1262" s="123">
        <f>100*100</f>
        <v>10000</v>
      </c>
      <c r="I1262" s="25">
        <f>1/100</f>
        <v>0.01</v>
      </c>
      <c r="J1262" s="1">
        <f t="shared" si="84"/>
        <v>100</v>
      </c>
    </row>
    <row r="1263" spans="1:16" ht="12.75" customHeight="1">
      <c r="A1263" s="10"/>
      <c r="B1263" s="10"/>
      <c r="D1263" s="3"/>
      <c r="E1263" s="119" t="s">
        <v>2812</v>
      </c>
      <c r="F1263" s="110">
        <f>98.6/100</f>
        <v>0.98599999999999999</v>
      </c>
      <c r="G1263" s="1" t="s">
        <v>1768</v>
      </c>
      <c r="H1263" s="123">
        <f>100*100</f>
        <v>10000</v>
      </c>
      <c r="I1263" s="25">
        <f>2.2/100</f>
        <v>2.2000000000000002E-2</v>
      </c>
      <c r="J1263" s="1">
        <f t="shared" si="84"/>
        <v>220.00000000000003</v>
      </c>
    </row>
    <row r="1264" spans="1:16" ht="12.75" customHeight="1">
      <c r="A1264" s="10"/>
      <c r="B1264" s="10"/>
      <c r="D1264" s="3"/>
      <c r="E1264" s="119" t="s">
        <v>2813</v>
      </c>
      <c r="F1264" s="110">
        <f>172.7/100</f>
        <v>1.7269999999999999</v>
      </c>
      <c r="G1264" s="1" t="s">
        <v>1763</v>
      </c>
      <c r="H1264" s="123">
        <f>5*100</f>
        <v>500</v>
      </c>
      <c r="I1264" s="25">
        <f>4.62/100</f>
        <v>4.6199999999999998E-2</v>
      </c>
      <c r="J1264" s="1">
        <f t="shared" si="84"/>
        <v>23.099999999999998</v>
      </c>
    </row>
    <row r="1265" spans="1:16" ht="12.75" customHeight="1">
      <c r="A1265" s="10"/>
      <c r="B1265" s="10"/>
      <c r="D1265" s="3"/>
      <c r="E1265" s="128" t="s">
        <v>2814</v>
      </c>
      <c r="F1265" s="110"/>
      <c r="G1265" s="51" t="s">
        <v>1767</v>
      </c>
      <c r="H1265" s="123">
        <f>50*100</f>
        <v>5000</v>
      </c>
      <c r="I1265" s="25">
        <f>3/100</f>
        <v>0.03</v>
      </c>
      <c r="J1265" s="1">
        <f t="shared" si="84"/>
        <v>150</v>
      </c>
    </row>
    <row r="1266" spans="1:16" ht="12.75" customHeight="1">
      <c r="A1266" s="10"/>
      <c r="B1266" s="10"/>
      <c r="D1266" s="3"/>
      <c r="E1266" s="119" t="s">
        <v>2815</v>
      </c>
      <c r="F1266" s="110">
        <f>227/100</f>
        <v>2.27</v>
      </c>
      <c r="G1266" s="1" t="s">
        <v>1765</v>
      </c>
      <c r="H1266" s="123">
        <f>50*100</f>
        <v>5000</v>
      </c>
      <c r="I1266" s="25">
        <f>4/100</f>
        <v>0.04</v>
      </c>
      <c r="J1266" s="1">
        <f t="shared" si="84"/>
        <v>200</v>
      </c>
    </row>
    <row r="1267" spans="1:16" ht="12.75" customHeight="1">
      <c r="A1267" s="10"/>
      <c r="B1267" s="10"/>
      <c r="D1267" s="3"/>
      <c r="E1267" s="119" t="s">
        <v>2816</v>
      </c>
      <c r="F1267" s="110">
        <f>276.7/100</f>
        <v>2.7669999999999999</v>
      </c>
      <c r="G1267" s="201" t="s">
        <v>5982</v>
      </c>
      <c r="H1267" s="123">
        <f t="shared" ref="H1267:H1274" si="85">5*100</f>
        <v>500</v>
      </c>
      <c r="I1267" s="25">
        <f>5/100</f>
        <v>0.05</v>
      </c>
      <c r="J1267" s="1">
        <f t="shared" si="84"/>
        <v>25</v>
      </c>
    </row>
    <row r="1268" spans="1:16" ht="12.75" customHeight="1">
      <c r="A1268" s="10"/>
      <c r="B1268" s="10"/>
      <c r="D1268" s="3"/>
      <c r="E1268" s="119" t="s">
        <v>2817</v>
      </c>
      <c r="F1268" s="110">
        <f>329.4/100</f>
        <v>3.2939999999999996</v>
      </c>
      <c r="G1268" s="1" t="s">
        <v>1764</v>
      </c>
      <c r="H1268" s="123">
        <f t="shared" si="85"/>
        <v>500</v>
      </c>
      <c r="I1268" s="25">
        <f>6.1/100</f>
        <v>6.0999999999999999E-2</v>
      </c>
      <c r="J1268" s="1">
        <f t="shared" si="84"/>
        <v>30.5</v>
      </c>
    </row>
    <row r="1269" spans="1:16" ht="12.75" customHeight="1">
      <c r="A1269" s="10"/>
      <c r="B1269" s="10"/>
      <c r="D1269" s="3"/>
      <c r="E1269" s="119" t="s">
        <v>2820</v>
      </c>
      <c r="F1269" s="110">
        <f>11.7/100</f>
        <v>0.11699999999999999</v>
      </c>
      <c r="G1269" s="1" t="s">
        <v>5973</v>
      </c>
      <c r="H1269" s="1">
        <f t="shared" si="85"/>
        <v>500</v>
      </c>
      <c r="I1269" s="25">
        <f>1.4/100</f>
        <v>1.3999999999999999E-2</v>
      </c>
      <c r="J1269" s="1">
        <f t="shared" si="84"/>
        <v>6.9999999999999991</v>
      </c>
    </row>
    <row r="1270" spans="1:16" ht="12.75" customHeight="1">
      <c r="A1270" s="10"/>
      <c r="B1270" s="10"/>
      <c r="D1270" s="3"/>
      <c r="E1270" s="119" t="s">
        <v>2822</v>
      </c>
      <c r="F1270" s="110">
        <f>15.1/100</f>
        <v>0.151</v>
      </c>
      <c r="G1270" s="1" t="s">
        <v>5974</v>
      </c>
      <c r="H1270" s="1">
        <f t="shared" si="85"/>
        <v>500</v>
      </c>
      <c r="I1270" s="25">
        <f>1.5/100</f>
        <v>1.4999999999999999E-2</v>
      </c>
      <c r="J1270" s="1">
        <f t="shared" si="84"/>
        <v>7.5</v>
      </c>
    </row>
    <row r="1271" spans="1:16" ht="12.75" customHeight="1">
      <c r="A1271" s="10"/>
      <c r="B1271" s="10"/>
      <c r="D1271" s="3"/>
      <c r="E1271" s="119" t="s">
        <v>2823</v>
      </c>
      <c r="F1271" s="110">
        <f>22.4/100</f>
        <v>0.22399999999999998</v>
      </c>
      <c r="G1271" s="1" t="s">
        <v>5975</v>
      </c>
      <c r="H1271" s="1">
        <f t="shared" si="85"/>
        <v>500</v>
      </c>
      <c r="I1271" s="25">
        <f>1.6/100</f>
        <v>1.6E-2</v>
      </c>
      <c r="J1271" s="1">
        <f t="shared" si="84"/>
        <v>8</v>
      </c>
    </row>
    <row r="1272" spans="1:16" ht="12.75" customHeight="1">
      <c r="A1272" s="10"/>
      <c r="B1272" s="10"/>
      <c r="D1272" s="3"/>
      <c r="E1272" s="119" t="s">
        <v>2819</v>
      </c>
      <c r="F1272" s="110">
        <f>22.7/100</f>
        <v>0.22699999999999998</v>
      </c>
      <c r="G1272" s="1" t="s">
        <v>5976</v>
      </c>
      <c r="H1272" s="1">
        <f t="shared" si="85"/>
        <v>500</v>
      </c>
      <c r="I1272" s="25">
        <f>1.7/100</f>
        <v>1.7000000000000001E-2</v>
      </c>
      <c r="J1272" s="1">
        <f t="shared" si="84"/>
        <v>8.5</v>
      </c>
    </row>
    <row r="1273" spans="1:16" ht="12.75" customHeight="1">
      <c r="A1273" s="10"/>
      <c r="B1273" s="10"/>
      <c r="D1273" s="3"/>
      <c r="E1273" s="119" t="s">
        <v>2821</v>
      </c>
      <c r="F1273" s="110">
        <f>32.1/100</f>
        <v>0.32100000000000001</v>
      </c>
      <c r="G1273" s="1" t="s">
        <v>5977</v>
      </c>
      <c r="H1273" s="1">
        <f t="shared" si="85"/>
        <v>500</v>
      </c>
      <c r="I1273" s="25">
        <f>1.8/100</f>
        <v>1.8000000000000002E-2</v>
      </c>
      <c r="J1273" s="1">
        <f t="shared" si="84"/>
        <v>9.0000000000000018</v>
      </c>
    </row>
    <row r="1274" spans="1:16" ht="12.75" customHeight="1">
      <c r="A1274" s="10"/>
      <c r="B1274" s="10"/>
      <c r="D1274" s="3"/>
      <c r="E1274" s="119" t="s">
        <v>2818</v>
      </c>
      <c r="F1274" s="110">
        <f>43.9/100</f>
        <v>0.439</v>
      </c>
      <c r="G1274" s="1" t="s">
        <v>5978</v>
      </c>
      <c r="H1274" s="1">
        <f t="shared" si="85"/>
        <v>500</v>
      </c>
      <c r="I1274" s="25">
        <f>1.9/100</f>
        <v>1.9E-2</v>
      </c>
      <c r="J1274" s="1">
        <f t="shared" si="84"/>
        <v>9.5</v>
      </c>
    </row>
    <row r="1275" spans="1:16" s="4" customFormat="1" ht="12.75" customHeight="1">
      <c r="A1275" s="12"/>
      <c r="B1275" s="12"/>
      <c r="D1275" s="5"/>
      <c r="E1275" s="114"/>
      <c r="F1275" s="5"/>
      <c r="H1275" s="4">
        <f>SUM(H1261:H1274)</f>
        <v>39500</v>
      </c>
      <c r="J1275" s="4">
        <f>SUM(J1261:J1274)</f>
        <v>830.6</v>
      </c>
      <c r="K1275" s="4">
        <v>0</v>
      </c>
      <c r="L1275" s="4">
        <f>-742.06-49.5</f>
        <v>-791.56</v>
      </c>
      <c r="N1275" s="4">
        <v>-39.04</v>
      </c>
      <c r="O1275" s="4">
        <f>SUM(J1275:N1275)</f>
        <v>7.815970093361102E-14</v>
      </c>
      <c r="P1275" s="13" t="s">
        <v>3074</v>
      </c>
    </row>
    <row r="1276" spans="1:16" ht="12.75" customHeight="1">
      <c r="A1276" s="10">
        <v>43838</v>
      </c>
      <c r="B1276" s="10"/>
      <c r="C1276" s="7" t="s">
        <v>1774</v>
      </c>
      <c r="D1276" s="3"/>
      <c r="E1276" s="152" t="s">
        <v>3258</v>
      </c>
      <c r="F1276" s="9">
        <f t="shared" ref="F1276:F1281" si="86">52/50</f>
        <v>1.04</v>
      </c>
      <c r="G1276" s="1" t="s">
        <v>1802</v>
      </c>
      <c r="H1276" s="1">
        <v>100</v>
      </c>
      <c r="I1276" s="6">
        <f t="shared" ref="I1276:I1281" si="87">6/100</f>
        <v>0.06</v>
      </c>
      <c r="J1276" s="1">
        <f t="shared" ref="J1276:J1292" si="88">H1276*I1276</f>
        <v>6</v>
      </c>
    </row>
    <row r="1277" spans="1:16" ht="12.75" customHeight="1">
      <c r="A1277" s="10"/>
      <c r="B1277" s="10"/>
      <c r="D1277" s="3"/>
      <c r="E1277" s="152" t="s">
        <v>3259</v>
      </c>
      <c r="F1277" s="9">
        <f t="shared" si="86"/>
        <v>1.04</v>
      </c>
      <c r="G1277" s="1" t="s">
        <v>1803</v>
      </c>
      <c r="H1277" s="1">
        <v>100</v>
      </c>
      <c r="I1277" s="6">
        <f t="shared" si="87"/>
        <v>0.06</v>
      </c>
      <c r="J1277" s="1">
        <f t="shared" si="88"/>
        <v>6</v>
      </c>
    </row>
    <row r="1278" spans="1:16" ht="12.75" customHeight="1">
      <c r="A1278" s="10"/>
      <c r="B1278" s="10"/>
      <c r="D1278" s="3"/>
      <c r="E1278" s="152" t="s">
        <v>3260</v>
      </c>
      <c r="F1278" s="9">
        <f t="shared" si="86"/>
        <v>1.04</v>
      </c>
      <c r="G1278" s="1" t="s">
        <v>1804</v>
      </c>
      <c r="H1278" s="1">
        <v>100</v>
      </c>
      <c r="I1278" s="6">
        <f t="shared" si="87"/>
        <v>0.06</v>
      </c>
      <c r="J1278" s="1">
        <f t="shared" si="88"/>
        <v>6</v>
      </c>
    </row>
    <row r="1279" spans="1:16" ht="12.75" customHeight="1">
      <c r="A1279" s="10"/>
      <c r="B1279" s="10"/>
      <c r="D1279" s="3"/>
      <c r="E1279" s="152" t="s">
        <v>3261</v>
      </c>
      <c r="F1279" s="9">
        <f t="shared" si="86"/>
        <v>1.04</v>
      </c>
      <c r="G1279" s="1" t="s">
        <v>1805</v>
      </c>
      <c r="H1279" s="1">
        <v>100</v>
      </c>
      <c r="I1279" s="6">
        <f t="shared" si="87"/>
        <v>0.06</v>
      </c>
      <c r="J1279" s="1">
        <f t="shared" si="88"/>
        <v>6</v>
      </c>
    </row>
    <row r="1280" spans="1:16" ht="12.75" customHeight="1">
      <c r="A1280" s="10"/>
      <c r="B1280" s="10"/>
      <c r="D1280" s="3"/>
      <c r="E1280" s="152" t="s">
        <v>3262</v>
      </c>
      <c r="F1280" s="9">
        <f t="shared" si="86"/>
        <v>1.04</v>
      </c>
      <c r="G1280" s="1" t="s">
        <v>1806</v>
      </c>
      <c r="H1280" s="1">
        <v>100</v>
      </c>
      <c r="I1280" s="6">
        <f t="shared" si="87"/>
        <v>0.06</v>
      </c>
      <c r="J1280" s="1">
        <f t="shared" si="88"/>
        <v>6</v>
      </c>
    </row>
    <row r="1281" spans="1:16" ht="12.75" customHeight="1">
      <c r="A1281" s="10"/>
      <c r="B1281" s="10"/>
      <c r="D1281" s="3"/>
      <c r="E1281" s="152" t="s">
        <v>3263</v>
      </c>
      <c r="F1281" s="9">
        <f t="shared" si="86"/>
        <v>1.04</v>
      </c>
      <c r="G1281" s="1" t="s">
        <v>1807</v>
      </c>
      <c r="H1281" s="1">
        <v>100</v>
      </c>
      <c r="I1281" s="6">
        <f t="shared" si="87"/>
        <v>0.06</v>
      </c>
      <c r="J1281" s="1">
        <f t="shared" si="88"/>
        <v>6</v>
      </c>
    </row>
    <row r="1282" spans="1:16" ht="12.75" customHeight="1">
      <c r="B1282" s="10"/>
      <c r="D1282" s="3"/>
      <c r="E1282" s="152" t="s">
        <v>3264</v>
      </c>
      <c r="F1282" s="9">
        <v>2</v>
      </c>
      <c r="G1282" s="1" t="s">
        <v>3254</v>
      </c>
      <c r="H1282" s="1">
        <v>100</v>
      </c>
      <c r="I1282" s="6">
        <f t="shared" ref="I1282:I1287" si="89">9/100</f>
        <v>0.09</v>
      </c>
      <c r="J1282" s="1">
        <f t="shared" si="88"/>
        <v>9</v>
      </c>
    </row>
    <row r="1283" spans="1:16" ht="12.75" customHeight="1">
      <c r="A1283" s="10"/>
      <c r="B1283" s="10"/>
      <c r="D1283" s="3"/>
      <c r="E1283" s="152" t="s">
        <v>3265</v>
      </c>
      <c r="F1283" s="9">
        <v>2</v>
      </c>
      <c r="G1283" s="1" t="s">
        <v>1797</v>
      </c>
      <c r="H1283" s="1">
        <v>100</v>
      </c>
      <c r="I1283" s="6">
        <f t="shared" si="89"/>
        <v>0.09</v>
      </c>
      <c r="J1283" s="1">
        <f t="shared" si="88"/>
        <v>9</v>
      </c>
    </row>
    <row r="1284" spans="1:16" ht="12.75" customHeight="1">
      <c r="A1284" s="10"/>
      <c r="B1284" s="10"/>
      <c r="D1284" s="3"/>
      <c r="E1284" s="152" t="s">
        <v>3266</v>
      </c>
      <c r="F1284" s="9">
        <v>2</v>
      </c>
      <c r="G1284" s="1" t="s">
        <v>1798</v>
      </c>
      <c r="H1284" s="1">
        <v>100</v>
      </c>
      <c r="I1284" s="6">
        <f t="shared" si="89"/>
        <v>0.09</v>
      </c>
      <c r="J1284" s="1">
        <f t="shared" si="88"/>
        <v>9</v>
      </c>
    </row>
    <row r="1285" spans="1:16" ht="12.75" customHeight="1">
      <c r="A1285" s="10"/>
      <c r="B1285" s="10"/>
      <c r="D1285" s="3"/>
      <c r="E1285" s="152" t="s">
        <v>3267</v>
      </c>
      <c r="F1285" s="9">
        <v>2</v>
      </c>
      <c r="G1285" s="1" t="s">
        <v>1799</v>
      </c>
      <c r="H1285" s="1">
        <v>100</v>
      </c>
      <c r="I1285" s="6">
        <f t="shared" si="89"/>
        <v>0.09</v>
      </c>
      <c r="J1285" s="1">
        <f t="shared" si="88"/>
        <v>9</v>
      </c>
    </row>
    <row r="1286" spans="1:16" ht="12.75" customHeight="1">
      <c r="A1286" s="10"/>
      <c r="B1286" s="10"/>
      <c r="D1286" s="3"/>
      <c r="E1286" s="152" t="s">
        <v>3268</v>
      </c>
      <c r="F1286" s="9">
        <v>2</v>
      </c>
      <c r="G1286" s="1" t="s">
        <v>1800</v>
      </c>
      <c r="H1286" s="1">
        <v>100</v>
      </c>
      <c r="I1286" s="6">
        <f t="shared" si="89"/>
        <v>0.09</v>
      </c>
      <c r="J1286" s="1">
        <f t="shared" si="88"/>
        <v>9</v>
      </c>
    </row>
    <row r="1287" spans="1:16" ht="12.75" customHeight="1">
      <c r="A1287" s="10"/>
      <c r="B1287" s="10"/>
      <c r="D1287" s="3"/>
      <c r="E1287" s="152" t="s">
        <v>3269</v>
      </c>
      <c r="F1287" s="9">
        <v>2</v>
      </c>
      <c r="G1287" s="1" t="s">
        <v>1801</v>
      </c>
      <c r="H1287" s="1">
        <v>100</v>
      </c>
      <c r="I1287" s="6">
        <f t="shared" si="89"/>
        <v>0.09</v>
      </c>
      <c r="J1287" s="1">
        <f t="shared" si="88"/>
        <v>9</v>
      </c>
    </row>
    <row r="1288" spans="1:16" ht="12.75" customHeight="1">
      <c r="A1288" s="10"/>
      <c r="B1288" s="10"/>
      <c r="D1288" s="3"/>
      <c r="E1288" s="152" t="s">
        <v>3270</v>
      </c>
      <c r="F1288" s="9">
        <v>4.9000000000000004</v>
      </c>
      <c r="G1288" s="1" t="s">
        <v>3255</v>
      </c>
      <c r="H1288" s="1">
        <v>100</v>
      </c>
      <c r="I1288" s="6">
        <f>18/100</f>
        <v>0.18</v>
      </c>
      <c r="J1288" s="1">
        <f t="shared" si="88"/>
        <v>18</v>
      </c>
    </row>
    <row r="1289" spans="1:16" ht="12.75" customHeight="1">
      <c r="A1289" s="10"/>
      <c r="B1289" s="10"/>
      <c r="D1289" s="3"/>
      <c r="E1289" s="152" t="s">
        <v>3271</v>
      </c>
      <c r="F1289" s="9">
        <v>5</v>
      </c>
      <c r="G1289" s="1" t="s">
        <v>3256</v>
      </c>
      <c r="H1289" s="1">
        <v>100</v>
      </c>
      <c r="I1289" s="6">
        <f>18/100</f>
        <v>0.18</v>
      </c>
      <c r="J1289" s="1">
        <f t="shared" si="88"/>
        <v>18</v>
      </c>
    </row>
    <row r="1290" spans="1:16" ht="12.75" customHeight="1">
      <c r="A1290" s="10"/>
      <c r="B1290" s="10"/>
      <c r="D1290" s="3"/>
      <c r="E1290" s="152" t="s">
        <v>3272</v>
      </c>
      <c r="F1290" s="9">
        <f>27.2/100</f>
        <v>0.27200000000000002</v>
      </c>
      <c r="G1290" s="1" t="s">
        <v>3279</v>
      </c>
      <c r="H1290" s="1">
        <v>100</v>
      </c>
      <c r="I1290" s="6">
        <v>0.05</v>
      </c>
      <c r="J1290" s="1">
        <f t="shared" si="88"/>
        <v>5</v>
      </c>
    </row>
    <row r="1291" spans="1:16" ht="12.75" customHeight="1">
      <c r="A1291" s="10"/>
      <c r="B1291" s="10"/>
      <c r="D1291" s="3"/>
      <c r="E1291" s="152" t="s">
        <v>3273</v>
      </c>
      <c r="F1291" s="9">
        <f>28.3/100</f>
        <v>0.28300000000000003</v>
      </c>
      <c r="G1291" s="1" t="s">
        <v>3284</v>
      </c>
      <c r="H1291" s="1">
        <v>200</v>
      </c>
      <c r="I1291" s="6">
        <v>0.05</v>
      </c>
      <c r="J1291" s="1">
        <f t="shared" si="88"/>
        <v>10</v>
      </c>
    </row>
    <row r="1292" spans="1:16" ht="12.75" customHeight="1">
      <c r="A1292" s="10"/>
      <c r="B1292" s="10"/>
      <c r="D1292" s="3"/>
      <c r="E1292" s="152" t="s">
        <v>3274</v>
      </c>
      <c r="F1292" s="9">
        <f>29.2/100</f>
        <v>0.29199999999999998</v>
      </c>
      <c r="G1292" s="1" t="s">
        <v>3285</v>
      </c>
      <c r="H1292" s="1">
        <v>200</v>
      </c>
      <c r="I1292" s="6">
        <v>0.05</v>
      </c>
      <c r="J1292" s="1">
        <f t="shared" si="88"/>
        <v>10</v>
      </c>
    </row>
    <row r="1293" spans="1:16" s="4" customFormat="1" ht="12.75" customHeight="1">
      <c r="A1293" s="12"/>
      <c r="B1293" s="12"/>
      <c r="D1293" s="5"/>
      <c r="E1293" s="114"/>
      <c r="F1293" s="5"/>
      <c r="H1293" s="4">
        <f>SUM(H1276:H1289)</f>
        <v>1400</v>
      </c>
      <c r="J1293" s="4">
        <f>SUM(J1276:J1292)</f>
        <v>151</v>
      </c>
      <c r="K1293" s="4">
        <v>0</v>
      </c>
      <c r="L1293" s="4">
        <v>-151</v>
      </c>
      <c r="O1293" s="4">
        <f>SUM(J1293:N1293)</f>
        <v>0</v>
      </c>
      <c r="P1293" s="13" t="s">
        <v>3257</v>
      </c>
    </row>
    <row r="1294" spans="1:16" ht="12.75" customHeight="1">
      <c r="A1294" s="10">
        <v>43839</v>
      </c>
      <c r="B1294" s="10"/>
      <c r="C1294" s="7" t="s">
        <v>2323</v>
      </c>
      <c r="D1294" s="3"/>
      <c r="E1294" s="113" t="s">
        <v>3310</v>
      </c>
      <c r="F1294" s="9">
        <f>39.5/5</f>
        <v>7.9</v>
      </c>
      <c r="G1294" s="51" t="s">
        <v>3248</v>
      </c>
      <c r="H1294" s="51">
        <v>10</v>
      </c>
      <c r="I1294" s="6">
        <v>1.7</v>
      </c>
      <c r="J1294" s="1">
        <f>H1294*I1294</f>
        <v>17</v>
      </c>
    </row>
    <row r="1295" spans="1:16" ht="12.75" customHeight="1">
      <c r="A1295" s="10"/>
      <c r="B1295" s="10"/>
      <c r="D1295" s="3"/>
      <c r="E1295" s="119" t="s">
        <v>2782</v>
      </c>
      <c r="F1295" s="9">
        <f>90.2/5</f>
        <v>18.04</v>
      </c>
      <c r="G1295" s="138" t="s">
        <v>3325</v>
      </c>
      <c r="H1295" s="1">
        <v>10</v>
      </c>
      <c r="I1295" s="6">
        <v>1.5</v>
      </c>
      <c r="J1295" s="1">
        <f>H1295*I1295</f>
        <v>15</v>
      </c>
    </row>
    <row r="1296" spans="1:16" s="4" customFormat="1" ht="12.75" customHeight="1">
      <c r="A1296" s="12"/>
      <c r="B1296" s="12"/>
      <c r="D1296" s="5"/>
      <c r="E1296" s="114"/>
      <c r="F1296" s="5"/>
      <c r="H1296" s="4">
        <f>SUM(H1294:H1295)</f>
        <v>20</v>
      </c>
      <c r="J1296" s="4">
        <f>SUM(J1294:J1295)</f>
        <v>32</v>
      </c>
      <c r="K1296" s="4">
        <v>0</v>
      </c>
      <c r="L1296" s="4">
        <v>-32</v>
      </c>
      <c r="O1296" s="4">
        <f>SUM(J1296:N1296)</f>
        <v>0</v>
      </c>
      <c r="P1296" s="13" t="s">
        <v>4170</v>
      </c>
    </row>
    <row r="1297" spans="1:16" s="55" customFormat="1" ht="12.75" customHeight="1">
      <c r="A1297" s="77"/>
      <c r="B1297" s="77"/>
      <c r="D1297" s="65"/>
      <c r="E1297" s="118"/>
      <c r="F1297" s="65"/>
      <c r="P1297" s="78"/>
    </row>
    <row r="1298" spans="1:16" ht="12.75" customHeight="1">
      <c r="D1298" s="7"/>
      <c r="J1298" s="7">
        <f>SUM(J2:J1297)/2</f>
        <v>19617.200000000048</v>
      </c>
      <c r="K1298" s="7">
        <f>SUM(K2:K1297)</f>
        <v>630.20000000000005</v>
      </c>
      <c r="L1298" s="7">
        <f>SUM(L2:L1297)</f>
        <v>-18279.350000000006</v>
      </c>
      <c r="M1298" s="7">
        <f>SUM(M2:M1297)</f>
        <v>-360.17571428571426</v>
      </c>
      <c r="N1298" s="7">
        <f>SUM(N2:N1297)</f>
        <v>-219.90999999999997</v>
      </c>
      <c r="O1298" s="7">
        <f>SUM(O2:O1297)</f>
        <v>-4.188316360398403E-14</v>
      </c>
      <c r="P1298" s="7"/>
    </row>
    <row r="1299" spans="1:16" ht="12.75" customHeight="1">
      <c r="D1299" s="7"/>
      <c r="E1299" s="106" t="s">
        <v>3340</v>
      </c>
      <c r="F1299" s="106">
        <f>E1299+F1298</f>
        <v>8</v>
      </c>
      <c r="J1299" s="7">
        <f>J1298/7</f>
        <v>2802.4571428571498</v>
      </c>
      <c r="N1299" s="126">
        <f>ROUND(SUM(J1298:N1298),0)</f>
        <v>1388</v>
      </c>
      <c r="P1299" s="7"/>
    </row>
    <row r="1300" spans="1:16" ht="12.75" customHeight="1">
      <c r="D1300" s="7"/>
      <c r="E1300" s="106" t="s">
        <v>3339</v>
      </c>
      <c r="F1300" s="106">
        <f>E1300+F1299</f>
        <v>10.16</v>
      </c>
      <c r="M1300" s="7">
        <f>0.5*0.4*0.39</f>
        <v>7.8000000000000014E-2</v>
      </c>
      <c r="N1300" s="4">
        <f>M1300*Q734</f>
        <v>0</v>
      </c>
      <c r="P1300" s="7"/>
    </row>
    <row r="1301" spans="1:16" ht="12.75" customHeight="1">
      <c r="D1301" s="7"/>
      <c r="E1301" s="106" t="s">
        <v>3338</v>
      </c>
      <c r="F1301" s="106">
        <f>E1301+F1300</f>
        <v>15.16</v>
      </c>
      <c r="H1301" s="7">
        <v>7.5</v>
      </c>
      <c r="I1301" s="7">
        <v>7.5</v>
      </c>
      <c r="J1301" s="7">
        <v>9.5</v>
      </c>
      <c r="K1301" s="7">
        <v>9</v>
      </c>
      <c r="L1301" s="7">
        <v>7.5</v>
      </c>
      <c r="M1301" s="7">
        <v>7</v>
      </c>
      <c r="N1301" s="7">
        <f>M1300*100*7</f>
        <v>54.600000000000009</v>
      </c>
      <c r="P1301" s="7"/>
    </row>
    <row r="1302" spans="1:16" ht="12.75" customHeight="1">
      <c r="D1302" s="7"/>
      <c r="H1302" s="7">
        <v>6</v>
      </c>
      <c r="I1302" s="7">
        <v>6.8</v>
      </c>
      <c r="J1302" s="7">
        <v>7</v>
      </c>
      <c r="K1302" s="7">
        <v>6.5</v>
      </c>
      <c r="L1302" s="7">
        <v>6</v>
      </c>
      <c r="M1302" s="7">
        <v>5.5</v>
      </c>
      <c r="P1302" s="7"/>
    </row>
    <row r="1303" spans="1:16" ht="12.75" customHeight="1">
      <c r="D1303" s="7"/>
      <c r="H1303" s="7">
        <v>4</v>
      </c>
      <c r="I1303" s="7">
        <v>5</v>
      </c>
      <c r="J1303" s="7">
        <v>8</v>
      </c>
      <c r="K1303" s="7">
        <v>10</v>
      </c>
      <c r="L1303" s="7">
        <v>12</v>
      </c>
      <c r="M1303" s="7">
        <v>4</v>
      </c>
      <c r="P1303" s="7"/>
    </row>
    <row r="1304" spans="1:16" ht="12.75" customHeight="1">
      <c r="D1304" s="7"/>
      <c r="H1304" s="7">
        <f t="shared" ref="H1304:M1304" si="90">H1301/H1302*H1303</f>
        <v>5</v>
      </c>
      <c r="I1304" s="112">
        <f t="shared" si="90"/>
        <v>5.514705882352942</v>
      </c>
      <c r="J1304" s="112">
        <f t="shared" si="90"/>
        <v>10.857142857142858</v>
      </c>
      <c r="K1304" s="112">
        <f t="shared" si="90"/>
        <v>13.846153846153847</v>
      </c>
      <c r="L1304" s="112">
        <f t="shared" si="90"/>
        <v>15</v>
      </c>
      <c r="M1304" s="112">
        <f t="shared" si="90"/>
        <v>5.0909090909090908</v>
      </c>
      <c r="P1304" s="7"/>
    </row>
  </sheetData>
  <phoneticPr fontId="58"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4"/>
  <dimension ref="A1:U1193"/>
  <sheetViews>
    <sheetView topLeftCell="A155" zoomScaleNormal="100" workbookViewId="0">
      <selection activeCell="A161" sqref="A161"/>
    </sheetView>
  </sheetViews>
  <sheetFormatPr defaultRowHeight="14.25" customHeight="1"/>
  <cols>
    <col min="1" max="1" width="7.375" style="106" customWidth="1"/>
    <col min="2" max="2" width="6.75" style="9" bestFit="1" customWidth="1"/>
    <col min="3" max="3" width="41" style="7" customWidth="1"/>
    <col min="4" max="4" width="7.875" style="187" customWidth="1"/>
    <col min="5" max="5" width="8.5" style="7" bestFit="1" customWidth="1"/>
    <col min="6" max="7" width="9.125" style="7" bestFit="1" customWidth="1"/>
    <col min="8" max="16384" width="9" style="7"/>
  </cols>
  <sheetData>
    <row r="1" spans="1:21" s="9" customFormat="1" ht="14.25" customHeight="1">
      <c r="A1" s="106" t="s">
        <v>2894</v>
      </c>
      <c r="B1" s="9" t="s">
        <v>1349</v>
      </c>
      <c r="C1" s="9" t="s">
        <v>1120</v>
      </c>
      <c r="D1" s="187" t="s">
        <v>1121</v>
      </c>
      <c r="E1" s="9" t="s">
        <v>1122</v>
      </c>
    </row>
    <row r="2" spans="1:21" s="4" customFormat="1" ht="14.25" customHeight="1">
      <c r="A2" s="113">
        <v>101.01</v>
      </c>
      <c r="B2" s="9">
        <v>2.2999999999999998</v>
      </c>
      <c r="C2" s="1" t="s">
        <v>3346</v>
      </c>
      <c r="D2" s="188">
        <f>1*950</f>
        <v>950</v>
      </c>
      <c r="E2" s="108">
        <v>5.2631578947368418E-2</v>
      </c>
      <c r="F2" s="7"/>
      <c r="G2" s="9"/>
      <c r="H2" s="7"/>
      <c r="I2" s="7"/>
      <c r="J2" s="7"/>
      <c r="K2" s="7"/>
      <c r="L2" s="7"/>
      <c r="M2" s="7"/>
      <c r="N2" s="7"/>
      <c r="O2" s="7"/>
      <c r="P2" s="7"/>
      <c r="Q2" s="7"/>
      <c r="R2" s="7"/>
      <c r="S2" s="7"/>
      <c r="T2" s="7"/>
      <c r="U2" s="7"/>
    </row>
    <row r="3" spans="1:21" ht="14.25" customHeight="1">
      <c r="A3" s="113">
        <v>101.02</v>
      </c>
      <c r="B3" s="9">
        <v>2.6</v>
      </c>
      <c r="C3" s="1" t="s">
        <v>3347</v>
      </c>
      <c r="D3" s="188">
        <f>1*800</f>
        <v>800</v>
      </c>
      <c r="E3" s="108">
        <v>6.25E-2</v>
      </c>
      <c r="F3" s="110"/>
      <c r="G3" s="9"/>
    </row>
    <row r="4" spans="1:21" ht="14.25" customHeight="1">
      <c r="A4" s="128">
        <v>101.03</v>
      </c>
      <c r="B4" s="9">
        <f>15.4/5</f>
        <v>3.08</v>
      </c>
      <c r="C4" s="1" t="s">
        <v>3348</v>
      </c>
      <c r="D4" s="188">
        <f>2*700</f>
        <v>1400</v>
      </c>
      <c r="E4" s="108">
        <v>7.1428571428571425E-2</v>
      </c>
      <c r="F4" s="110"/>
      <c r="G4" s="9"/>
      <c r="U4" s="4"/>
    </row>
    <row r="5" spans="1:21" ht="14.25" customHeight="1">
      <c r="A5" s="113">
        <v>101.04</v>
      </c>
      <c r="B5" s="9">
        <v>4.9000000000000004</v>
      </c>
      <c r="C5" s="1" t="s">
        <v>3349</v>
      </c>
      <c r="D5" s="188">
        <f>2*450</f>
        <v>900</v>
      </c>
      <c r="E5" s="108">
        <v>0.1111111111111111</v>
      </c>
      <c r="F5" s="110"/>
      <c r="G5" s="9"/>
    </row>
    <row r="6" spans="1:21" s="4" customFormat="1" ht="14.25" customHeight="1">
      <c r="A6" s="113">
        <v>101.05</v>
      </c>
      <c r="B6" s="9">
        <v>3.8</v>
      </c>
      <c r="C6" s="1" t="s">
        <v>3350</v>
      </c>
      <c r="D6" s="188">
        <f>3*550</f>
        <v>1650</v>
      </c>
      <c r="E6" s="108">
        <v>9.0909090909090912E-2</v>
      </c>
      <c r="F6" s="110"/>
      <c r="G6" s="9"/>
      <c r="H6" s="7"/>
      <c r="I6" s="7"/>
      <c r="J6" s="7"/>
      <c r="K6" s="7"/>
      <c r="L6" s="7"/>
      <c r="M6" s="7"/>
      <c r="N6" s="7"/>
      <c r="O6" s="7"/>
      <c r="P6" s="7"/>
      <c r="Q6" s="7"/>
      <c r="R6" s="7"/>
      <c r="S6" s="7"/>
      <c r="T6" s="7"/>
      <c r="U6" s="7"/>
    </row>
    <row r="7" spans="1:21" ht="14.25" customHeight="1">
      <c r="A7" s="113">
        <v>101.06</v>
      </c>
      <c r="B7" s="9">
        <v>4.7</v>
      </c>
      <c r="C7" s="121" t="s">
        <v>3351</v>
      </c>
      <c r="D7" s="188">
        <f>12*450</f>
        <v>5400</v>
      </c>
      <c r="E7" s="108">
        <v>0.1111111111111111</v>
      </c>
      <c r="F7" s="110"/>
      <c r="G7" s="9"/>
    </row>
    <row r="8" spans="1:21" s="4" customFormat="1" ht="14.25" customHeight="1">
      <c r="A8" s="113">
        <v>101.07</v>
      </c>
      <c r="B8" s="65">
        <v>4.5</v>
      </c>
      <c r="C8" s="1" t="s">
        <v>3352</v>
      </c>
      <c r="D8" s="188">
        <f>1*470</f>
        <v>470</v>
      </c>
      <c r="E8" s="108">
        <v>0.10638297872340426</v>
      </c>
      <c r="F8" s="110"/>
      <c r="G8" s="9"/>
      <c r="H8" s="7"/>
      <c r="I8" s="7"/>
      <c r="J8" s="7"/>
      <c r="K8" s="7"/>
      <c r="L8" s="7"/>
      <c r="M8" s="7"/>
      <c r="N8" s="7"/>
      <c r="O8" s="7"/>
      <c r="P8" s="7"/>
      <c r="Q8" s="7"/>
      <c r="R8" s="7"/>
      <c r="S8" s="7"/>
      <c r="T8" s="7"/>
    </row>
    <row r="9" spans="1:21" ht="14.25" customHeight="1">
      <c r="A9" s="128">
        <v>101.08</v>
      </c>
      <c r="B9" s="9">
        <v>7</v>
      </c>
      <c r="C9" s="121" t="s">
        <v>3353</v>
      </c>
      <c r="D9" s="188">
        <f>38*300</f>
        <v>11400</v>
      </c>
      <c r="E9" s="108">
        <v>0.16666666666666666</v>
      </c>
      <c r="F9" s="110"/>
      <c r="G9" s="9"/>
    </row>
    <row r="10" spans="1:21" s="4" customFormat="1" ht="14.25" customHeight="1">
      <c r="A10" s="113">
        <v>101.09</v>
      </c>
      <c r="B10" s="9">
        <v>8.8000000000000007</v>
      </c>
      <c r="C10" s="1" t="s">
        <v>3354</v>
      </c>
      <c r="D10" s="188">
        <f>7*250</f>
        <v>1750</v>
      </c>
      <c r="E10" s="108">
        <v>0.2</v>
      </c>
      <c r="F10" s="110"/>
      <c r="G10" s="9"/>
      <c r="H10" s="7"/>
      <c r="I10" s="7"/>
      <c r="J10" s="7"/>
      <c r="K10" s="7"/>
      <c r="L10" s="7"/>
      <c r="M10" s="7"/>
      <c r="N10" s="7"/>
      <c r="O10" s="7"/>
      <c r="P10" s="7"/>
      <c r="Q10" s="7"/>
      <c r="R10" s="7"/>
      <c r="S10" s="7"/>
      <c r="T10" s="7"/>
    </row>
    <row r="11" spans="1:21" ht="14.25" customHeight="1">
      <c r="A11" s="116" t="s">
        <v>2988</v>
      </c>
      <c r="B11" s="9">
        <v>10.199999999999999</v>
      </c>
      <c r="C11" s="1" t="s">
        <v>3355</v>
      </c>
      <c r="D11" s="188">
        <f>9*190</f>
        <v>1710</v>
      </c>
      <c r="E11" s="108">
        <v>0.26315789473684209</v>
      </c>
      <c r="F11" s="110"/>
      <c r="G11" s="9"/>
    </row>
    <row r="12" spans="1:21" s="4" customFormat="1" ht="14.25" customHeight="1">
      <c r="A12" s="128">
        <v>101.11</v>
      </c>
      <c r="B12" s="9">
        <v>13.5</v>
      </c>
      <c r="C12" s="121" t="s">
        <v>3356</v>
      </c>
      <c r="D12" s="188">
        <f>24*160</f>
        <v>3840</v>
      </c>
      <c r="E12" s="108">
        <v>0.3125</v>
      </c>
      <c r="F12" s="110"/>
      <c r="G12" s="9"/>
      <c r="H12" s="7"/>
      <c r="I12" s="7"/>
      <c r="J12" s="7"/>
      <c r="K12" s="7"/>
      <c r="L12" s="7"/>
      <c r="M12" s="7"/>
      <c r="N12" s="7"/>
      <c r="O12" s="7"/>
      <c r="P12" s="7"/>
      <c r="Q12" s="7"/>
      <c r="R12" s="7"/>
      <c r="S12" s="7"/>
      <c r="T12" s="7"/>
      <c r="U12" s="7"/>
    </row>
    <row r="13" spans="1:21" ht="14.25" customHeight="1">
      <c r="A13" s="113">
        <v>102.01</v>
      </c>
      <c r="B13" s="9">
        <v>10.8</v>
      </c>
      <c r="C13" s="1" t="s">
        <v>3341</v>
      </c>
      <c r="D13" s="188">
        <f>1*354</f>
        <v>354</v>
      </c>
      <c r="E13" s="108">
        <f t="shared" ref="E13:E19" si="0">65/D13</f>
        <v>0.18361581920903955</v>
      </c>
      <c r="U13" s="4"/>
    </row>
    <row r="14" spans="1:21" s="4" customFormat="1" ht="14.25" customHeight="1">
      <c r="A14" s="113">
        <v>102.02</v>
      </c>
      <c r="B14" s="9">
        <v>12.8</v>
      </c>
      <c r="C14" s="1" t="s">
        <v>3342</v>
      </c>
      <c r="D14" s="188">
        <f>1*283</f>
        <v>283</v>
      </c>
      <c r="E14" s="108">
        <f t="shared" si="0"/>
        <v>0.22968197879858657</v>
      </c>
      <c r="F14" s="7"/>
      <c r="G14" s="7"/>
      <c r="H14" s="7"/>
      <c r="I14" s="7"/>
      <c r="J14" s="7"/>
      <c r="K14" s="7"/>
      <c r="L14" s="7"/>
      <c r="M14" s="7"/>
      <c r="N14" s="7"/>
      <c r="O14" s="7"/>
      <c r="P14" s="7"/>
      <c r="Q14" s="7"/>
      <c r="R14" s="7"/>
      <c r="S14" s="7"/>
      <c r="T14" s="7"/>
      <c r="U14" s="7"/>
    </row>
    <row r="15" spans="1:21" ht="14.25" customHeight="1">
      <c r="A15" s="113">
        <v>102.03</v>
      </c>
      <c r="B15" s="9">
        <v>9.3000000000000007</v>
      </c>
      <c r="C15" s="1" t="s">
        <v>3343</v>
      </c>
      <c r="D15" s="188">
        <f>1*383</f>
        <v>383</v>
      </c>
      <c r="E15" s="108">
        <f t="shared" si="0"/>
        <v>0.16971279373368145</v>
      </c>
      <c r="U15" s="4"/>
    </row>
    <row r="16" spans="1:21" ht="14.25" customHeight="1">
      <c r="A16" s="113">
        <v>102.04</v>
      </c>
      <c r="B16" s="9">
        <v>5.9</v>
      </c>
      <c r="C16" s="1" t="s">
        <v>4167</v>
      </c>
      <c r="D16" s="188">
        <f>1*650</f>
        <v>650</v>
      </c>
      <c r="E16" s="108">
        <f t="shared" si="0"/>
        <v>0.1</v>
      </c>
    </row>
    <row r="17" spans="1:21" ht="14.25" customHeight="1">
      <c r="A17" s="113">
        <v>102.05</v>
      </c>
      <c r="B17" s="9">
        <v>15.1</v>
      </c>
      <c r="C17" s="1" t="s">
        <v>3344</v>
      </c>
      <c r="D17" s="188">
        <f>1*250</f>
        <v>250</v>
      </c>
      <c r="E17" s="108">
        <f t="shared" si="0"/>
        <v>0.26</v>
      </c>
      <c r="U17" s="4"/>
    </row>
    <row r="18" spans="1:21" ht="14.25" customHeight="1">
      <c r="A18" s="113">
        <v>102.06</v>
      </c>
      <c r="B18" s="9">
        <v>4.0999999999999996</v>
      </c>
      <c r="C18" s="178" t="s">
        <v>4168</v>
      </c>
      <c r="D18" s="188">
        <f>1*880</f>
        <v>880</v>
      </c>
      <c r="E18" s="108">
        <f t="shared" si="0"/>
        <v>7.3863636363636367E-2</v>
      </c>
    </row>
    <row r="19" spans="1:21" ht="14.25" customHeight="1">
      <c r="A19" s="113">
        <v>102.07</v>
      </c>
      <c r="B19" s="9">
        <v>25.8</v>
      </c>
      <c r="C19" s="1" t="s">
        <v>3345</v>
      </c>
      <c r="D19" s="188">
        <f>1*145</f>
        <v>145</v>
      </c>
      <c r="E19" s="108">
        <f t="shared" si="0"/>
        <v>0.44827586206896552</v>
      </c>
      <c r="F19" s="110"/>
      <c r="G19" s="9"/>
    </row>
    <row r="20" spans="1:21" ht="14.25" customHeight="1">
      <c r="A20" s="128">
        <v>103.01</v>
      </c>
      <c r="B20" s="9">
        <v>0.8</v>
      </c>
      <c r="C20" s="7" t="s">
        <v>1758</v>
      </c>
      <c r="D20" s="187">
        <v>2000</v>
      </c>
      <c r="E20" s="7">
        <v>4.8000000000000001E-2</v>
      </c>
    </row>
    <row r="21" spans="1:21" s="4" customFormat="1" ht="14.25" customHeight="1">
      <c r="A21" s="128">
        <v>103.02</v>
      </c>
      <c r="B21" s="9">
        <v>1</v>
      </c>
      <c r="C21" s="7" t="s">
        <v>1759</v>
      </c>
      <c r="D21" s="187">
        <v>2000</v>
      </c>
      <c r="E21" s="7">
        <v>5.2999999999999999E-2</v>
      </c>
      <c r="F21" s="7"/>
      <c r="G21" s="7"/>
      <c r="H21" s="7"/>
      <c r="I21" s="7"/>
      <c r="J21" s="7"/>
      <c r="K21" s="7"/>
      <c r="L21" s="7"/>
      <c r="M21" s="7"/>
      <c r="N21" s="7"/>
      <c r="O21" s="7"/>
      <c r="P21" s="7"/>
      <c r="Q21" s="7"/>
      <c r="R21" s="7"/>
      <c r="S21" s="7"/>
      <c r="T21" s="7"/>
      <c r="U21" s="7"/>
    </row>
    <row r="22" spans="1:21" ht="14.25" customHeight="1">
      <c r="A22" s="128">
        <v>103.03</v>
      </c>
      <c r="B22" s="9">
        <v>1.5</v>
      </c>
      <c r="C22" s="7" t="s">
        <v>1760</v>
      </c>
      <c r="D22" s="187">
        <v>2000</v>
      </c>
      <c r="E22" s="7">
        <v>0.06</v>
      </c>
    </row>
    <row r="23" spans="1:21" ht="14.25" customHeight="1">
      <c r="A23" s="128">
        <v>103.04</v>
      </c>
      <c r="B23" s="9">
        <v>1</v>
      </c>
      <c r="C23" s="7" t="s">
        <v>2895</v>
      </c>
      <c r="D23" s="187">
        <v>2000</v>
      </c>
      <c r="E23" s="7">
        <v>0.08</v>
      </c>
    </row>
    <row r="24" spans="1:21" ht="14.25" customHeight="1">
      <c r="A24" s="128">
        <v>103.05</v>
      </c>
      <c r="B24" s="9">
        <v>1.8</v>
      </c>
      <c r="C24" s="7" t="s">
        <v>2896</v>
      </c>
      <c r="D24" s="187">
        <v>2000</v>
      </c>
      <c r="E24" s="7">
        <v>0.08</v>
      </c>
      <c r="U24" s="4"/>
    </row>
    <row r="25" spans="1:21" ht="14.25" customHeight="1">
      <c r="A25" s="128" t="s">
        <v>4120</v>
      </c>
      <c r="B25" s="9">
        <v>2.5</v>
      </c>
      <c r="C25" s="7" t="s">
        <v>2897</v>
      </c>
      <c r="D25" s="187">
        <v>2000</v>
      </c>
      <c r="E25" s="7">
        <v>0.08</v>
      </c>
    </row>
    <row r="26" spans="1:21" ht="14.25" customHeight="1">
      <c r="A26" s="106">
        <v>103.07</v>
      </c>
      <c r="B26" s="9">
        <v>1.7</v>
      </c>
      <c r="C26" s="7" t="s">
        <v>3041</v>
      </c>
      <c r="D26" s="187">
        <v>2000</v>
      </c>
      <c r="E26" s="7">
        <v>0.08</v>
      </c>
    </row>
    <row r="27" spans="1:21" ht="14.25" customHeight="1">
      <c r="A27" s="113">
        <v>103.09</v>
      </c>
      <c r="B27" s="9">
        <v>1.4</v>
      </c>
      <c r="C27" s="179" t="s">
        <v>4169</v>
      </c>
      <c r="D27" s="188">
        <v>1000</v>
      </c>
      <c r="E27" s="6">
        <v>0.05</v>
      </c>
    </row>
    <row r="28" spans="1:21" s="4" customFormat="1" ht="14.25" customHeight="1">
      <c r="A28" s="116" t="s">
        <v>4114</v>
      </c>
      <c r="B28" s="9"/>
      <c r="C28" s="1" t="s">
        <v>1789</v>
      </c>
      <c r="D28" s="188">
        <v>500</v>
      </c>
      <c r="E28" s="6">
        <v>0.05</v>
      </c>
      <c r="F28" s="7"/>
      <c r="G28" s="7"/>
      <c r="H28" s="7"/>
      <c r="I28" s="7"/>
      <c r="J28" s="7"/>
      <c r="K28" s="7"/>
      <c r="L28" s="7"/>
      <c r="M28" s="7"/>
      <c r="N28" s="7"/>
      <c r="O28" s="7"/>
      <c r="P28" s="7"/>
      <c r="Q28" s="7"/>
      <c r="R28" s="7"/>
      <c r="S28" s="7"/>
      <c r="T28" s="7"/>
    </row>
    <row r="29" spans="1:21" ht="14.25" customHeight="1">
      <c r="A29" s="116" t="s">
        <v>2976</v>
      </c>
      <c r="B29" s="9">
        <f>3.5/2</f>
        <v>1.75</v>
      </c>
      <c r="C29" s="1" t="s">
        <v>1794</v>
      </c>
      <c r="D29" s="188">
        <v>500</v>
      </c>
      <c r="E29" s="6">
        <v>0.06</v>
      </c>
    </row>
    <row r="30" spans="1:21" ht="14.25" customHeight="1">
      <c r="A30" s="116" t="s">
        <v>2977</v>
      </c>
      <c r="C30" s="1" t="s">
        <v>1782</v>
      </c>
      <c r="D30" s="188">
        <v>500</v>
      </c>
      <c r="E30" s="6">
        <v>0.06</v>
      </c>
    </row>
    <row r="31" spans="1:21" ht="14.25" customHeight="1">
      <c r="A31" s="116" t="s">
        <v>2978</v>
      </c>
      <c r="B31" s="9">
        <f>4.5/2</f>
        <v>2.25</v>
      </c>
      <c r="C31" s="1" t="s">
        <v>1781</v>
      </c>
      <c r="D31" s="188">
        <v>500</v>
      </c>
      <c r="E31" s="6">
        <v>0.06</v>
      </c>
    </row>
    <row r="32" spans="1:21" ht="14.25" customHeight="1">
      <c r="A32" s="116" t="s">
        <v>2979</v>
      </c>
      <c r="B32" s="9">
        <v>3.1</v>
      </c>
      <c r="C32" s="1" t="s">
        <v>1788</v>
      </c>
      <c r="D32" s="188">
        <v>500</v>
      </c>
      <c r="E32" s="6">
        <v>7.0000000000000007E-2</v>
      </c>
    </row>
    <row r="33" spans="1:21" ht="14.25" customHeight="1">
      <c r="A33" s="116" t="s">
        <v>2980</v>
      </c>
      <c r="B33" s="9">
        <v>3.9</v>
      </c>
      <c r="C33" s="1" t="s">
        <v>1791</v>
      </c>
      <c r="D33" s="188">
        <v>500</v>
      </c>
      <c r="E33" s="6">
        <v>0.1</v>
      </c>
    </row>
    <row r="34" spans="1:21" ht="14.25" customHeight="1">
      <c r="A34" s="116" t="s">
        <v>2981</v>
      </c>
      <c r="B34" s="9">
        <v>2.5</v>
      </c>
      <c r="C34" s="1" t="s">
        <v>1795</v>
      </c>
      <c r="D34" s="188">
        <v>500</v>
      </c>
      <c r="E34" s="6">
        <v>7.0000000000000007E-2</v>
      </c>
      <c r="U34" s="4"/>
    </row>
    <row r="35" spans="1:21" ht="14.25" customHeight="1">
      <c r="A35" s="116" t="s">
        <v>4129</v>
      </c>
      <c r="B35" s="9">
        <v>3.4</v>
      </c>
      <c r="C35" s="1" t="s">
        <v>1793</v>
      </c>
      <c r="D35" s="188">
        <v>500</v>
      </c>
      <c r="E35" s="6">
        <v>0.08</v>
      </c>
    </row>
    <row r="36" spans="1:21" ht="14.25" customHeight="1">
      <c r="A36" s="116" t="s">
        <v>2982</v>
      </c>
      <c r="B36" s="9">
        <v>4.7</v>
      </c>
      <c r="C36" s="1" t="s">
        <v>1790</v>
      </c>
      <c r="D36" s="188">
        <v>500</v>
      </c>
      <c r="E36" s="6">
        <v>0.12</v>
      </c>
    </row>
    <row r="37" spans="1:21" ht="14.25" customHeight="1">
      <c r="A37" s="116" t="s">
        <v>4128</v>
      </c>
      <c r="B37" s="9">
        <v>6.3</v>
      </c>
      <c r="C37" s="1" t="s">
        <v>1784</v>
      </c>
      <c r="D37" s="188">
        <v>50</v>
      </c>
      <c r="E37" s="6">
        <v>0.15</v>
      </c>
    </row>
    <row r="38" spans="1:21" ht="14.25" customHeight="1">
      <c r="A38" s="116" t="s">
        <v>2983</v>
      </c>
      <c r="B38" s="9">
        <v>6.2</v>
      </c>
      <c r="C38" s="1" t="s">
        <v>1783</v>
      </c>
      <c r="D38" s="188">
        <v>50</v>
      </c>
      <c r="E38" s="6">
        <v>0.18</v>
      </c>
    </row>
    <row r="39" spans="1:21" ht="14.25" customHeight="1">
      <c r="A39" s="116" t="s">
        <v>4113</v>
      </c>
      <c r="B39" s="9">
        <v>6.6</v>
      </c>
      <c r="C39" s="1" t="s">
        <v>1787</v>
      </c>
      <c r="D39" s="188">
        <v>50</v>
      </c>
      <c r="E39" s="6">
        <v>0.2</v>
      </c>
    </row>
    <row r="40" spans="1:21" ht="14.25" customHeight="1">
      <c r="A40" s="116" t="s">
        <v>2984</v>
      </c>
      <c r="B40" s="9">
        <v>8.4</v>
      </c>
      <c r="C40" s="1" t="s">
        <v>1785</v>
      </c>
      <c r="D40" s="188">
        <v>50</v>
      </c>
      <c r="E40" s="6">
        <v>0.24</v>
      </c>
    </row>
    <row r="41" spans="1:21" ht="14.25" customHeight="1">
      <c r="A41" s="116" t="s">
        <v>2985</v>
      </c>
      <c r="C41" s="1" t="s">
        <v>1780</v>
      </c>
      <c r="D41" s="188">
        <v>50</v>
      </c>
      <c r="E41" s="6">
        <v>0.26</v>
      </c>
      <c r="U41" s="4"/>
    </row>
    <row r="42" spans="1:21" ht="14.25" customHeight="1">
      <c r="A42" s="116" t="s">
        <v>4119</v>
      </c>
      <c r="B42" s="9">
        <v>12</v>
      </c>
      <c r="C42" s="1" t="s">
        <v>1786</v>
      </c>
      <c r="D42" s="188">
        <v>50</v>
      </c>
      <c r="E42" s="6">
        <v>0.32</v>
      </c>
    </row>
    <row r="43" spans="1:21" ht="14.25" customHeight="1">
      <c r="A43" s="115">
        <v>104.01</v>
      </c>
      <c r="B43" s="9">
        <v>2.5</v>
      </c>
      <c r="C43" s="1" t="s">
        <v>2990</v>
      </c>
      <c r="D43" s="188">
        <v>100</v>
      </c>
      <c r="E43" s="6">
        <v>0.08</v>
      </c>
    </row>
    <row r="44" spans="1:21" ht="14.25" customHeight="1">
      <c r="A44" s="115">
        <v>104.02</v>
      </c>
      <c r="B44" s="9">
        <v>3.1</v>
      </c>
      <c r="C44" s="1" t="s">
        <v>2991</v>
      </c>
      <c r="D44" s="188">
        <v>100</v>
      </c>
      <c r="E44" s="6">
        <v>0.13</v>
      </c>
    </row>
    <row r="45" spans="1:21" ht="14.25" customHeight="1">
      <c r="A45" s="115">
        <v>104.03</v>
      </c>
      <c r="B45" s="9">
        <v>5.8</v>
      </c>
      <c r="C45" s="1" t="s">
        <v>2992</v>
      </c>
      <c r="D45" s="188">
        <v>100</v>
      </c>
      <c r="E45" s="6">
        <v>0.12</v>
      </c>
    </row>
    <row r="46" spans="1:21" ht="14.25" customHeight="1">
      <c r="A46" s="115">
        <v>104.04</v>
      </c>
      <c r="B46" s="9">
        <v>7.5</v>
      </c>
      <c r="C46" s="1" t="s">
        <v>2993</v>
      </c>
      <c r="D46" s="188">
        <v>100</v>
      </c>
      <c r="E46" s="6">
        <v>0.14000000000000001</v>
      </c>
    </row>
    <row r="47" spans="1:21" ht="14.25" customHeight="1">
      <c r="A47" s="115">
        <v>104.05</v>
      </c>
      <c r="B47" s="9">
        <f>49.7-41</f>
        <v>8.7000000000000028</v>
      </c>
      <c r="C47" s="1" t="s">
        <v>2994</v>
      </c>
      <c r="D47" s="188">
        <v>100</v>
      </c>
      <c r="E47" s="6">
        <v>0.19</v>
      </c>
      <c r="U47" s="4"/>
    </row>
    <row r="48" spans="1:21" ht="14.25" customHeight="1">
      <c r="A48" s="115">
        <v>104.06</v>
      </c>
      <c r="B48" s="9">
        <v>9.6</v>
      </c>
      <c r="C48" s="1" t="s">
        <v>2995</v>
      </c>
      <c r="D48" s="188">
        <v>100</v>
      </c>
      <c r="E48" s="6">
        <v>0.22</v>
      </c>
    </row>
    <row r="49" spans="1:5" ht="14.25" customHeight="1">
      <c r="A49" s="115">
        <v>104.07</v>
      </c>
      <c r="B49" s="9">
        <v>11.3</v>
      </c>
      <c r="C49" s="1" t="s">
        <v>2996</v>
      </c>
      <c r="D49" s="188">
        <v>100</v>
      </c>
      <c r="E49" s="6">
        <v>0.33</v>
      </c>
    </row>
    <row r="50" spans="1:5" ht="14.25" customHeight="1">
      <c r="A50" s="115">
        <v>104.08</v>
      </c>
      <c r="B50" s="9">
        <v>20.7</v>
      </c>
      <c r="C50" s="1" t="s">
        <v>2997</v>
      </c>
      <c r="D50" s="188">
        <v>100</v>
      </c>
      <c r="E50" s="6">
        <v>0.47</v>
      </c>
    </row>
    <row r="51" spans="1:5" ht="14.25" customHeight="1">
      <c r="A51" s="115">
        <v>104.09</v>
      </c>
      <c r="B51" s="9">
        <v>37</v>
      </c>
      <c r="C51" s="1" t="s">
        <v>2998</v>
      </c>
      <c r="D51" s="188">
        <v>50</v>
      </c>
      <c r="E51" s="6">
        <v>0.75</v>
      </c>
    </row>
    <row r="52" spans="1:5" ht="14.25" customHeight="1">
      <c r="A52" s="117" t="s">
        <v>2999</v>
      </c>
      <c r="B52" s="9">
        <v>46.6</v>
      </c>
      <c r="C52" s="1" t="s">
        <v>3000</v>
      </c>
      <c r="D52" s="188">
        <v>50</v>
      </c>
      <c r="E52" s="6">
        <v>0.96</v>
      </c>
    </row>
    <row r="53" spans="1:5" ht="14.25" customHeight="1">
      <c r="A53" s="115">
        <v>105.01</v>
      </c>
      <c r="B53" s="9">
        <f>70/1000</f>
        <v>7.0000000000000007E-2</v>
      </c>
      <c r="C53" s="7" t="s">
        <v>1707</v>
      </c>
      <c r="D53" s="187">
        <f>10*1000</f>
        <v>10000</v>
      </c>
      <c r="E53" s="107">
        <f>6/1000</f>
        <v>6.0000000000000001E-3</v>
      </c>
    </row>
    <row r="54" spans="1:5" ht="14.25" customHeight="1">
      <c r="A54" s="115">
        <v>105.02</v>
      </c>
      <c r="B54" s="110">
        <f>118/1000</f>
        <v>0.11799999999999999</v>
      </c>
      <c r="C54" s="7" t="s">
        <v>1706</v>
      </c>
      <c r="D54" s="187">
        <f>10*1000</f>
        <v>10000</v>
      </c>
      <c r="E54" s="107">
        <f>7/1000</f>
        <v>7.0000000000000001E-3</v>
      </c>
    </row>
    <row r="55" spans="1:5" ht="14.25" customHeight="1">
      <c r="A55" s="115">
        <v>105.03</v>
      </c>
      <c r="B55" s="110">
        <f>282/2000</f>
        <v>0.14099999999999999</v>
      </c>
      <c r="C55" s="7" t="s">
        <v>1711</v>
      </c>
      <c r="D55" s="187">
        <f>2*1000</f>
        <v>2000</v>
      </c>
      <c r="E55" s="107">
        <f>9/1000</f>
        <v>8.9999999999999993E-3</v>
      </c>
    </row>
    <row r="56" spans="1:5" ht="14.25" customHeight="1">
      <c r="A56" s="115">
        <v>105.04</v>
      </c>
      <c r="B56" s="110">
        <f>466/1000</f>
        <v>0.46600000000000003</v>
      </c>
      <c r="C56" s="7" t="s">
        <v>1710</v>
      </c>
      <c r="D56" s="187">
        <f>15*100</f>
        <v>1500</v>
      </c>
      <c r="E56" s="107">
        <f>2/100</f>
        <v>0.02</v>
      </c>
    </row>
    <row r="57" spans="1:5" ht="14.25" customHeight="1">
      <c r="A57" s="115">
        <v>105.05</v>
      </c>
      <c r="B57" s="110">
        <f>290/1000</f>
        <v>0.28999999999999998</v>
      </c>
      <c r="C57" s="7" t="s">
        <v>1708</v>
      </c>
      <c r="D57" s="187">
        <f>15*100</f>
        <v>1500</v>
      </c>
      <c r="E57" s="107">
        <f>2.5/100</f>
        <v>2.5000000000000001E-2</v>
      </c>
    </row>
    <row r="58" spans="1:5" ht="14.25" customHeight="1">
      <c r="A58" s="115">
        <v>105.06</v>
      </c>
      <c r="B58" s="110">
        <f>360/1000</f>
        <v>0.36</v>
      </c>
      <c r="C58" s="7" t="s">
        <v>1709</v>
      </c>
      <c r="D58" s="187">
        <f>10*100</f>
        <v>1000</v>
      </c>
      <c r="E58" s="107">
        <f>1.5/100</f>
        <v>1.4999999999999999E-2</v>
      </c>
    </row>
    <row r="59" spans="1:5" ht="14.25" customHeight="1">
      <c r="A59" s="115">
        <v>105.07</v>
      </c>
      <c r="B59" s="110">
        <f>169.4-41.1</f>
        <v>128.30000000000001</v>
      </c>
      <c r="C59" s="7" t="s">
        <v>1729</v>
      </c>
      <c r="D59" s="187">
        <f>10*200</f>
        <v>2000</v>
      </c>
      <c r="E59" s="109">
        <f>3.95/200</f>
        <v>1.975E-2</v>
      </c>
    </row>
    <row r="60" spans="1:5" ht="14.25" customHeight="1">
      <c r="A60" s="119" t="s">
        <v>2764</v>
      </c>
      <c r="B60" s="110">
        <v>0.24</v>
      </c>
      <c r="C60" s="7" t="s">
        <v>1689</v>
      </c>
      <c r="D60" s="187">
        <f>50*100</f>
        <v>5000</v>
      </c>
      <c r="E60" s="107">
        <f>0.77/100</f>
        <v>7.7000000000000002E-3</v>
      </c>
    </row>
    <row r="61" spans="1:5" ht="14.25" customHeight="1">
      <c r="A61" s="119">
        <v>105.09</v>
      </c>
      <c r="B61" s="110">
        <v>0.432</v>
      </c>
      <c r="C61" s="7" t="s">
        <v>1696</v>
      </c>
      <c r="D61" s="187">
        <f>50*100</f>
        <v>5000</v>
      </c>
      <c r="E61" s="107">
        <f>1.05/100</f>
        <v>1.0500000000000001E-2</v>
      </c>
    </row>
    <row r="62" spans="1:5" ht="14.25" customHeight="1">
      <c r="A62" s="120" t="s">
        <v>2952</v>
      </c>
      <c r="B62" s="110">
        <v>0.624</v>
      </c>
      <c r="C62" s="7" t="s">
        <v>1691</v>
      </c>
      <c r="D62" s="187">
        <f>30*100</f>
        <v>3000</v>
      </c>
      <c r="E62" s="107">
        <f>1.41/100</f>
        <v>1.41E-2</v>
      </c>
    </row>
    <row r="63" spans="1:5" ht="14.25" customHeight="1">
      <c r="A63" s="120" t="s">
        <v>2953</v>
      </c>
      <c r="B63" s="125">
        <f>313/500</f>
        <v>0.626</v>
      </c>
      <c r="C63" s="7" t="s">
        <v>1694</v>
      </c>
      <c r="D63" s="187">
        <f>50*100</f>
        <v>5000</v>
      </c>
      <c r="E63" s="107">
        <f>1.45/100</f>
        <v>1.4499999999999999E-2</v>
      </c>
    </row>
    <row r="64" spans="1:5" ht="14.25" customHeight="1">
      <c r="A64" s="120" t="s">
        <v>2954</v>
      </c>
      <c r="B64" s="125">
        <f>5.7/5</f>
        <v>1.1400000000000001</v>
      </c>
      <c r="C64" s="7" t="s">
        <v>1700</v>
      </c>
      <c r="D64" s="187">
        <f>30*100</f>
        <v>3000</v>
      </c>
      <c r="E64" s="107">
        <f>2.09/100</f>
        <v>2.0899999999999998E-2</v>
      </c>
    </row>
    <row r="65" spans="1:21" ht="14.25" customHeight="1">
      <c r="A65" s="120" t="s">
        <v>2955</v>
      </c>
      <c r="B65" s="125">
        <f>6/5</f>
        <v>1.2</v>
      </c>
      <c r="C65" s="105" t="s">
        <v>1704</v>
      </c>
      <c r="D65" s="187">
        <f>10*100</f>
        <v>1000</v>
      </c>
      <c r="E65" s="107">
        <f>2.44/100</f>
        <v>2.4399999999999998E-2</v>
      </c>
    </row>
    <row r="66" spans="1:21" ht="14.25" customHeight="1">
      <c r="A66" s="120" t="s">
        <v>2956</v>
      </c>
      <c r="B66" s="110">
        <v>1.51</v>
      </c>
      <c r="C66" s="7" t="s">
        <v>1697</v>
      </c>
      <c r="D66" s="187">
        <f>7*100</f>
        <v>700</v>
      </c>
      <c r="E66" s="107">
        <f>2.94/100</f>
        <v>2.9399999999999999E-2</v>
      </c>
    </row>
    <row r="67" spans="1:21" ht="14.25" customHeight="1">
      <c r="A67" s="120" t="s">
        <v>2957</v>
      </c>
      <c r="B67" s="125">
        <f>18.1/10</f>
        <v>1.81</v>
      </c>
      <c r="C67" s="7" t="s">
        <v>1690</v>
      </c>
      <c r="D67" s="189">
        <f>20*100-30</f>
        <v>1970</v>
      </c>
      <c r="E67" s="132">
        <f>3.39/100/1970*2000</f>
        <v>3.4416243654822334E-2</v>
      </c>
    </row>
    <row r="68" spans="1:21" ht="14.25" customHeight="1">
      <c r="A68" s="120" t="s">
        <v>2958</v>
      </c>
      <c r="B68" s="110">
        <v>2.3519999999999999</v>
      </c>
      <c r="C68" s="7" t="s">
        <v>1698</v>
      </c>
      <c r="D68" s="187">
        <f>5*100</f>
        <v>500</v>
      </c>
      <c r="E68" s="107">
        <f>4.25/100</f>
        <v>4.2500000000000003E-2</v>
      </c>
    </row>
    <row r="69" spans="1:21" ht="14.25" customHeight="1">
      <c r="A69" s="120" t="s">
        <v>3147</v>
      </c>
      <c r="B69" s="110">
        <v>2.16</v>
      </c>
      <c r="C69" s="7" t="s">
        <v>1703</v>
      </c>
      <c r="D69" s="187">
        <f>10*100</f>
        <v>1000</v>
      </c>
      <c r="E69" s="107">
        <f>3.97/100</f>
        <v>3.9699999999999999E-2</v>
      </c>
    </row>
    <row r="70" spans="1:21" ht="14.25" customHeight="1">
      <c r="A70" s="120" t="s">
        <v>2959</v>
      </c>
      <c r="B70" s="110">
        <v>3.5640000000000001</v>
      </c>
      <c r="C70" s="7" t="s">
        <v>1702</v>
      </c>
      <c r="D70" s="187">
        <f>4*100</f>
        <v>400</v>
      </c>
      <c r="E70" s="107">
        <f>6.16/100</f>
        <v>6.1600000000000002E-2</v>
      </c>
    </row>
    <row r="71" spans="1:21" ht="14.25" customHeight="1">
      <c r="A71" s="120" t="s">
        <v>2960</v>
      </c>
      <c r="B71" s="110">
        <v>3.6</v>
      </c>
      <c r="C71" s="7" t="s">
        <v>1695</v>
      </c>
      <c r="D71" s="187">
        <f>4*100</f>
        <v>400</v>
      </c>
      <c r="E71" s="107">
        <f>6.02/100</f>
        <v>6.0199999999999997E-2</v>
      </c>
    </row>
    <row r="72" spans="1:21" ht="14.25" customHeight="1">
      <c r="A72" s="120" t="s">
        <v>2961</v>
      </c>
      <c r="B72" s="110">
        <v>4.08</v>
      </c>
      <c r="C72" s="7" t="s">
        <v>1701</v>
      </c>
      <c r="D72" s="187">
        <f>3*100</f>
        <v>300</v>
      </c>
      <c r="E72" s="107">
        <f>6.77/100</f>
        <v>6.7699999999999996E-2</v>
      </c>
    </row>
    <row r="73" spans="1:21" ht="14.25" customHeight="1">
      <c r="A73" s="120" t="s">
        <v>2962</v>
      </c>
      <c r="B73" s="110">
        <v>4.968</v>
      </c>
      <c r="C73" s="7" t="s">
        <v>1688</v>
      </c>
      <c r="D73" s="187">
        <f>3*100</f>
        <v>300</v>
      </c>
      <c r="E73" s="107">
        <f>8.4/100</f>
        <v>8.4000000000000005E-2</v>
      </c>
    </row>
    <row r="74" spans="1:21" ht="14.25" customHeight="1">
      <c r="A74" s="120" t="s">
        <v>2963</v>
      </c>
      <c r="B74" s="125">
        <f>25.8/5</f>
        <v>5.16</v>
      </c>
      <c r="C74" s="7" t="s">
        <v>1699</v>
      </c>
      <c r="D74" s="187">
        <f>3*100</f>
        <v>300</v>
      </c>
      <c r="E74" s="107">
        <f>8.9/100</f>
        <v>8.900000000000001E-2</v>
      </c>
    </row>
    <row r="75" spans="1:21" ht="14.25" customHeight="1">
      <c r="A75" s="120" t="s">
        <v>2964</v>
      </c>
      <c r="B75" s="110">
        <v>7.56</v>
      </c>
      <c r="C75" s="7" t="s">
        <v>1692</v>
      </c>
      <c r="D75" s="187">
        <f>2*100</f>
        <v>200</v>
      </c>
      <c r="E75" s="107">
        <f>12.39/100</f>
        <v>0.12390000000000001</v>
      </c>
    </row>
    <row r="76" spans="1:21" ht="14.25" customHeight="1">
      <c r="A76" s="120" t="s">
        <v>2965</v>
      </c>
      <c r="B76" s="110">
        <v>15.36</v>
      </c>
      <c r="C76" s="7" t="s">
        <v>1693</v>
      </c>
      <c r="D76" s="187">
        <f>1*100</f>
        <v>100</v>
      </c>
      <c r="E76" s="107">
        <f>24.61/100</f>
        <v>0.24609999999999999</v>
      </c>
    </row>
    <row r="77" spans="1:21" ht="14.25" customHeight="1">
      <c r="A77" s="115">
        <v>106.01</v>
      </c>
      <c r="B77" s="110">
        <f>294.7/1000</f>
        <v>0.29469999999999996</v>
      </c>
      <c r="C77" s="7" t="s">
        <v>1722</v>
      </c>
      <c r="D77" s="187">
        <f>20*100</f>
        <v>2000</v>
      </c>
      <c r="E77" s="107">
        <f>0.98/100</f>
        <v>9.7999999999999997E-3</v>
      </c>
    </row>
    <row r="78" spans="1:21" ht="14.25" customHeight="1">
      <c r="A78" s="115">
        <v>106.02</v>
      </c>
      <c r="B78" s="110">
        <f>388.3/1000</f>
        <v>0.38830000000000003</v>
      </c>
      <c r="C78" s="7" t="s">
        <v>1718</v>
      </c>
      <c r="D78" s="187">
        <f>20*100</f>
        <v>2000</v>
      </c>
      <c r="E78" s="107">
        <f>0.98/100</f>
        <v>9.7999999999999997E-3</v>
      </c>
    </row>
    <row r="79" spans="1:21" ht="14.25" customHeight="1">
      <c r="A79" s="115">
        <v>106.03</v>
      </c>
      <c r="B79" s="110">
        <f>416.8/1000</f>
        <v>0.4168</v>
      </c>
      <c r="C79" s="7" t="s">
        <v>1714</v>
      </c>
      <c r="D79" s="187">
        <f>8*100</f>
        <v>800</v>
      </c>
      <c r="E79" s="107">
        <f>1.38/100</f>
        <v>1.38E-2</v>
      </c>
    </row>
    <row r="80" spans="1:21" s="4" customFormat="1" ht="14.25" customHeight="1">
      <c r="A80" s="115">
        <v>106.04</v>
      </c>
      <c r="B80" s="110">
        <f>129/200</f>
        <v>0.64500000000000002</v>
      </c>
      <c r="C80" s="7" t="s">
        <v>1723</v>
      </c>
      <c r="D80" s="187">
        <f>20*100</f>
        <v>2000</v>
      </c>
      <c r="E80" s="107">
        <f>1.58/100</f>
        <v>1.5800000000000002E-2</v>
      </c>
      <c r="F80" s="7"/>
      <c r="G80" s="7"/>
      <c r="H80" s="7"/>
      <c r="I80" s="7"/>
      <c r="J80" s="7"/>
      <c r="K80" s="7"/>
      <c r="L80" s="7"/>
      <c r="M80" s="7"/>
      <c r="N80" s="7"/>
      <c r="O80" s="7"/>
      <c r="P80" s="7"/>
      <c r="Q80" s="7"/>
      <c r="R80" s="7"/>
      <c r="S80" s="7"/>
      <c r="T80" s="7"/>
      <c r="U80" s="7"/>
    </row>
    <row r="81" spans="1:21" ht="14.25" customHeight="1">
      <c r="A81" s="115">
        <v>106.05</v>
      </c>
      <c r="B81" s="110">
        <f>85.3/100</f>
        <v>0.85299999999999998</v>
      </c>
      <c r="C81" s="7" t="s">
        <v>1713</v>
      </c>
      <c r="D81" s="187">
        <f>10*100</f>
        <v>1000</v>
      </c>
      <c r="E81" s="107">
        <f>1.88/100</f>
        <v>1.8799999999999997E-2</v>
      </c>
    </row>
    <row r="82" spans="1:21" ht="14.25" customHeight="1">
      <c r="A82" s="115">
        <v>106.06</v>
      </c>
      <c r="B82" s="110">
        <f>239/200</f>
        <v>1.1950000000000001</v>
      </c>
      <c r="C82" s="7" t="s">
        <v>1719</v>
      </c>
      <c r="D82" s="187">
        <f>10*100</f>
        <v>1000</v>
      </c>
      <c r="E82" s="107">
        <f>2.78/100</f>
        <v>2.7799999999999998E-2</v>
      </c>
    </row>
    <row r="83" spans="1:21" ht="14.25" customHeight="1">
      <c r="A83" s="115">
        <v>106.07</v>
      </c>
      <c r="B83" s="9">
        <f>15.3/10</f>
        <v>1.53</v>
      </c>
      <c r="C83" s="7" t="s">
        <v>1720</v>
      </c>
      <c r="D83" s="187">
        <f>5*100</f>
        <v>500</v>
      </c>
      <c r="E83" s="107">
        <f>3.18/100</f>
        <v>3.1800000000000002E-2</v>
      </c>
    </row>
    <row r="84" spans="1:21" ht="14.25" customHeight="1">
      <c r="A84" s="115">
        <v>106.08</v>
      </c>
      <c r="B84" s="9">
        <f>16.5/10</f>
        <v>1.65</v>
      </c>
      <c r="C84" s="7" t="s">
        <v>1724</v>
      </c>
      <c r="D84" s="187">
        <f>8*100</f>
        <v>800</v>
      </c>
      <c r="E84" s="107">
        <f>3.38/100</f>
        <v>3.3799999999999997E-2</v>
      </c>
    </row>
    <row r="85" spans="1:21" ht="14.25" customHeight="1">
      <c r="A85" s="115">
        <v>106.08</v>
      </c>
      <c r="B85" s="9">
        <f>18.4/10</f>
        <v>1.8399999999999999</v>
      </c>
      <c r="C85" s="7" t="s">
        <v>1725</v>
      </c>
      <c r="D85" s="187">
        <f>3*100</f>
        <v>300</v>
      </c>
      <c r="E85" s="107">
        <f>3.88/100</f>
        <v>3.8800000000000001E-2</v>
      </c>
    </row>
    <row r="86" spans="1:21" ht="14.25" customHeight="1">
      <c r="A86" s="117" t="s">
        <v>2969</v>
      </c>
      <c r="B86" s="110">
        <f>197.6/400</f>
        <v>0.49399999999999999</v>
      </c>
      <c r="C86" s="7" t="s">
        <v>1714</v>
      </c>
      <c r="D86" s="187">
        <f>2*200</f>
        <v>400</v>
      </c>
      <c r="E86" s="107">
        <f>3.6/200</f>
        <v>1.8000000000000002E-2</v>
      </c>
    </row>
    <row r="87" spans="1:21" ht="14.25" customHeight="1">
      <c r="A87" s="115">
        <v>106.11</v>
      </c>
      <c r="B87" s="110">
        <f>208.5/400</f>
        <v>0.52124999999999999</v>
      </c>
      <c r="C87" s="105" t="s">
        <v>1732</v>
      </c>
      <c r="D87" s="187">
        <f>2*200</f>
        <v>400</v>
      </c>
      <c r="E87" s="107">
        <f>3.2/200</f>
        <v>1.6E-2</v>
      </c>
    </row>
    <row r="88" spans="1:21" ht="14.25" customHeight="1">
      <c r="A88" s="115">
        <v>106.12</v>
      </c>
      <c r="B88" s="110">
        <f>257.9/800</f>
        <v>0.32237499999999997</v>
      </c>
      <c r="C88" s="7" t="s">
        <v>1731</v>
      </c>
      <c r="D88" s="187">
        <f>4*200</f>
        <v>800</v>
      </c>
      <c r="E88" s="107">
        <f>2.4/200</f>
        <v>1.2E-2</v>
      </c>
    </row>
    <row r="89" spans="1:21" ht="14.25" customHeight="1">
      <c r="A89" s="115">
        <v>106.13</v>
      </c>
      <c r="B89" s="110">
        <f>311.5/400</f>
        <v>0.77875000000000005</v>
      </c>
      <c r="C89" s="7" t="s">
        <v>1730</v>
      </c>
      <c r="D89" s="187">
        <f>2*200</f>
        <v>400</v>
      </c>
      <c r="E89" s="107">
        <f>4/200</f>
        <v>0.02</v>
      </c>
    </row>
    <row r="90" spans="1:21" ht="14.25" customHeight="1">
      <c r="A90" s="115">
        <v>106.14</v>
      </c>
      <c r="B90" s="110">
        <f>396.2/400</f>
        <v>0.99049999999999994</v>
      </c>
      <c r="C90" s="7" t="s">
        <v>2352</v>
      </c>
      <c r="D90" s="187">
        <f>2*200</f>
        <v>400</v>
      </c>
      <c r="E90" s="107">
        <f>5/200</f>
        <v>2.5000000000000001E-2</v>
      </c>
    </row>
    <row r="91" spans="1:21" ht="14.25" customHeight="1">
      <c r="A91" s="115">
        <v>106.15</v>
      </c>
      <c r="B91" s="110">
        <f>358.5/400</f>
        <v>0.89624999999999999</v>
      </c>
      <c r="C91" s="105" t="s">
        <v>1733</v>
      </c>
      <c r="D91" s="187">
        <f>2*200</f>
        <v>400</v>
      </c>
      <c r="E91" s="107">
        <f>4.5/200</f>
        <v>2.2499999999999999E-2</v>
      </c>
    </row>
    <row r="92" spans="1:21" ht="14.25" customHeight="1">
      <c r="A92" s="115">
        <v>106.16</v>
      </c>
      <c r="B92" s="110">
        <f>260/2000</f>
        <v>0.13</v>
      </c>
      <c r="C92" s="1" t="s">
        <v>1736</v>
      </c>
      <c r="D92" s="188">
        <f>20*100</f>
        <v>2000</v>
      </c>
      <c r="E92" s="25">
        <f>0.7/100</f>
        <v>6.9999999999999993E-3</v>
      </c>
    </row>
    <row r="93" spans="1:21" ht="14.25" customHeight="1">
      <c r="A93" s="115">
        <v>106.17</v>
      </c>
      <c r="B93" s="110">
        <f>170.5/2000</f>
        <v>8.5250000000000006E-2</v>
      </c>
      <c r="C93" s="1" t="s">
        <v>2353</v>
      </c>
      <c r="D93" s="188">
        <f>10*100</f>
        <v>1000</v>
      </c>
      <c r="E93" s="25">
        <f>0.8/100</f>
        <v>8.0000000000000002E-3</v>
      </c>
    </row>
    <row r="94" spans="1:21" ht="14.25" customHeight="1">
      <c r="A94" s="115">
        <v>106.18</v>
      </c>
      <c r="B94" s="110">
        <f>445/1000</f>
        <v>0.44500000000000001</v>
      </c>
      <c r="C94" s="1" t="s">
        <v>1737</v>
      </c>
      <c r="D94" s="188">
        <f>10*100</f>
        <v>1000</v>
      </c>
      <c r="E94" s="25">
        <f>1.1/100</f>
        <v>1.1000000000000001E-2</v>
      </c>
    </row>
    <row r="95" spans="1:21" s="4" customFormat="1" ht="14.25" customHeight="1">
      <c r="A95" s="115">
        <v>106.19</v>
      </c>
      <c r="B95" s="9">
        <f>3.4/5</f>
        <v>0.67999999999999994</v>
      </c>
      <c r="C95" s="105" t="s">
        <v>1738</v>
      </c>
      <c r="D95" s="188">
        <f>10*100</f>
        <v>1000</v>
      </c>
      <c r="E95" s="25">
        <f>1.5/100</f>
        <v>1.4999999999999999E-2</v>
      </c>
      <c r="F95" s="7"/>
      <c r="G95" s="7"/>
      <c r="H95" s="7"/>
      <c r="I95" s="7"/>
      <c r="J95" s="7"/>
      <c r="K95" s="7"/>
      <c r="L95" s="7"/>
      <c r="M95" s="7"/>
      <c r="N95" s="7"/>
      <c r="O95" s="7"/>
      <c r="P95" s="7"/>
      <c r="Q95" s="7"/>
      <c r="R95" s="7"/>
      <c r="S95" s="7"/>
      <c r="T95" s="7"/>
      <c r="U95" s="7"/>
    </row>
    <row r="96" spans="1:21" ht="14.25" customHeight="1">
      <c r="A96" s="117" t="s">
        <v>2971</v>
      </c>
      <c r="B96" s="9">
        <f>43.4-41.1</f>
        <v>2.2999999999999972</v>
      </c>
      <c r="C96" s="105" t="s">
        <v>1739</v>
      </c>
      <c r="D96" s="188">
        <f>2*100</f>
        <v>200</v>
      </c>
      <c r="E96" s="25">
        <f>4.7/100</f>
        <v>4.7E-2</v>
      </c>
    </row>
    <row r="97" spans="1:21" s="4" customFormat="1" ht="14.25" customHeight="1">
      <c r="A97" s="115">
        <v>106.21</v>
      </c>
      <c r="B97" s="9">
        <f>44.2-41.1</f>
        <v>3.1000000000000014</v>
      </c>
      <c r="C97" s="105" t="s">
        <v>1740</v>
      </c>
      <c r="D97" s="188">
        <f>2*100</f>
        <v>200</v>
      </c>
      <c r="E97" s="25">
        <f>6/100</f>
        <v>0.06</v>
      </c>
      <c r="F97" s="7"/>
      <c r="G97" s="7"/>
      <c r="H97" s="7"/>
      <c r="I97" s="7"/>
      <c r="J97" s="7"/>
      <c r="K97" s="7"/>
      <c r="L97" s="7"/>
      <c r="M97" s="7"/>
      <c r="N97" s="7"/>
      <c r="O97" s="7"/>
      <c r="P97" s="7"/>
      <c r="Q97" s="7"/>
      <c r="R97" s="7"/>
      <c r="S97" s="7"/>
      <c r="T97" s="7"/>
      <c r="U97" s="7"/>
    </row>
    <row r="98" spans="1:21" ht="14.25" customHeight="1">
      <c r="A98" s="115">
        <v>106.22</v>
      </c>
      <c r="B98" s="9">
        <f>44.9-41.1</f>
        <v>3.7999999999999972</v>
      </c>
      <c r="C98" s="105" t="s">
        <v>1741</v>
      </c>
      <c r="D98" s="188">
        <f>2*100</f>
        <v>200</v>
      </c>
      <c r="E98" s="25">
        <f>7.7/100</f>
        <v>7.6999999999999999E-2</v>
      </c>
    </row>
    <row r="99" spans="1:21" ht="14.25" customHeight="1">
      <c r="A99" s="115">
        <v>107.01</v>
      </c>
      <c r="B99" s="110">
        <f>3.4/100</f>
        <v>3.4000000000000002E-2</v>
      </c>
      <c r="C99" s="1" t="s">
        <v>1777</v>
      </c>
      <c r="D99" s="188">
        <v>5000</v>
      </c>
      <c r="E99" s="108">
        <f>0.78/100</f>
        <v>7.8000000000000005E-3</v>
      </c>
    </row>
    <row r="100" spans="1:21" ht="14.25" customHeight="1">
      <c r="A100" s="115">
        <v>107.02</v>
      </c>
      <c r="B100" s="9">
        <f>2.4/10</f>
        <v>0.24</v>
      </c>
      <c r="C100" s="7" t="s">
        <v>1687</v>
      </c>
      <c r="D100" s="187">
        <v>10000</v>
      </c>
      <c r="E100" s="80">
        <v>1.2999999999999999E-2</v>
      </c>
    </row>
    <row r="101" spans="1:21" ht="14.25" customHeight="1">
      <c r="A101" s="113" t="s">
        <v>2765</v>
      </c>
      <c r="B101" s="9">
        <f>51/100</f>
        <v>0.51</v>
      </c>
      <c r="C101" s="1" t="s">
        <v>4019</v>
      </c>
      <c r="D101" s="188">
        <v>50000</v>
      </c>
      <c r="E101" s="25">
        <f>0.014</f>
        <v>1.4E-2</v>
      </c>
    </row>
    <row r="102" spans="1:21" ht="14.25" customHeight="1">
      <c r="A102" s="113" t="s">
        <v>3309</v>
      </c>
      <c r="B102" s="110">
        <f>132.6/100</f>
        <v>1.3259999999999998</v>
      </c>
      <c r="C102" s="1" t="s">
        <v>4020</v>
      </c>
      <c r="D102" s="188">
        <v>30000</v>
      </c>
      <c r="E102" s="25">
        <f>0.027</f>
        <v>2.7E-2</v>
      </c>
    </row>
    <row r="103" spans="1:21" s="4" customFormat="1" ht="14.25" customHeight="1">
      <c r="A103" s="119" t="s">
        <v>2810</v>
      </c>
      <c r="B103" s="110">
        <f>27.8/100</f>
        <v>0.27800000000000002</v>
      </c>
      <c r="C103" s="1" t="s">
        <v>3060</v>
      </c>
      <c r="D103" s="190">
        <f>50*100</f>
        <v>5000</v>
      </c>
      <c r="E103" s="25">
        <f>0.65/100</f>
        <v>6.5000000000000006E-3</v>
      </c>
      <c r="F103" s="7"/>
      <c r="G103" s="7"/>
      <c r="H103" s="7"/>
      <c r="I103" s="7"/>
      <c r="J103" s="7"/>
      <c r="K103" s="7"/>
      <c r="L103" s="7"/>
      <c r="M103" s="7"/>
      <c r="N103" s="7"/>
      <c r="O103" s="7"/>
      <c r="P103" s="7"/>
      <c r="Q103" s="7"/>
      <c r="R103" s="7"/>
      <c r="S103" s="7"/>
      <c r="T103" s="7"/>
      <c r="U103" s="7"/>
    </row>
    <row r="104" spans="1:21" ht="14.25" customHeight="1">
      <c r="A104" s="119" t="s">
        <v>2811</v>
      </c>
      <c r="B104" s="110">
        <f>36.5/100</f>
        <v>0.36499999999999999</v>
      </c>
      <c r="C104" s="1" t="s">
        <v>3061</v>
      </c>
      <c r="D104" s="190">
        <f>100*100</f>
        <v>10000</v>
      </c>
      <c r="E104" s="25">
        <f>1/100</f>
        <v>0.01</v>
      </c>
    </row>
    <row r="105" spans="1:21" ht="14.25" customHeight="1">
      <c r="A105" s="119" t="s">
        <v>2812</v>
      </c>
      <c r="B105" s="110">
        <f>98.6/100</f>
        <v>0.98599999999999999</v>
      </c>
      <c r="C105" s="1" t="s">
        <v>3062</v>
      </c>
      <c r="D105" s="190">
        <f>100*100</f>
        <v>10000</v>
      </c>
      <c r="E105" s="25">
        <f>2.2/100</f>
        <v>2.2000000000000002E-2</v>
      </c>
    </row>
    <row r="106" spans="1:21" ht="14.25" customHeight="1">
      <c r="A106" s="119" t="s">
        <v>2813</v>
      </c>
      <c r="B106" s="110">
        <f>172.7/100</f>
        <v>1.7269999999999999</v>
      </c>
      <c r="C106" s="1" t="s">
        <v>3063</v>
      </c>
      <c r="D106" s="190">
        <f>5*100</f>
        <v>500</v>
      </c>
      <c r="E106" s="25">
        <f>4.62/100</f>
        <v>4.6199999999999998E-2</v>
      </c>
    </row>
    <row r="107" spans="1:21" ht="14.25" customHeight="1">
      <c r="A107" s="128" t="s">
        <v>2814</v>
      </c>
      <c r="B107" s="110"/>
      <c r="C107" s="51" t="s">
        <v>3064</v>
      </c>
      <c r="D107" s="190">
        <f>50*100</f>
        <v>5000</v>
      </c>
      <c r="E107" s="25">
        <f>3/100</f>
        <v>0.03</v>
      </c>
    </row>
    <row r="108" spans="1:21" ht="14.25" customHeight="1">
      <c r="A108" s="119" t="s">
        <v>2815</v>
      </c>
      <c r="B108" s="110">
        <f>227/100</f>
        <v>2.27</v>
      </c>
      <c r="C108" s="1" t="s">
        <v>3065</v>
      </c>
      <c r="D108" s="190">
        <f>50*100</f>
        <v>5000</v>
      </c>
      <c r="E108" s="25">
        <f>4/100</f>
        <v>0.04</v>
      </c>
    </row>
    <row r="109" spans="1:21" ht="14.25" customHeight="1">
      <c r="A109" s="117" t="s">
        <v>3003</v>
      </c>
      <c r="B109" s="9">
        <f>37.1/10</f>
        <v>3.71</v>
      </c>
      <c r="C109" s="1" t="s">
        <v>1771</v>
      </c>
      <c r="D109" s="188">
        <v>300</v>
      </c>
      <c r="E109" s="108">
        <f>6.6/100</f>
        <v>6.6000000000000003E-2</v>
      </c>
    </row>
    <row r="110" spans="1:21" s="4" customFormat="1" ht="14.25" customHeight="1">
      <c r="A110" s="119" t="s">
        <v>2816</v>
      </c>
      <c r="B110" s="110">
        <f>276.7/100</f>
        <v>2.7669999999999999</v>
      </c>
      <c r="C110" s="1" t="s">
        <v>3066</v>
      </c>
      <c r="D110" s="190">
        <f t="shared" ref="D110:D117" si="1">5*100</f>
        <v>500</v>
      </c>
      <c r="E110" s="25">
        <f>5/100</f>
        <v>0.05</v>
      </c>
      <c r="F110" s="7"/>
      <c r="G110" s="7"/>
      <c r="H110" s="7"/>
      <c r="I110" s="7"/>
      <c r="J110" s="7"/>
      <c r="K110" s="7"/>
      <c r="L110" s="7"/>
      <c r="M110" s="7"/>
      <c r="N110" s="7"/>
      <c r="O110" s="7"/>
      <c r="P110" s="7"/>
      <c r="Q110" s="7"/>
      <c r="R110" s="7"/>
      <c r="S110" s="7"/>
      <c r="T110" s="7"/>
      <c r="U110" s="7"/>
    </row>
    <row r="111" spans="1:21" ht="14.25" customHeight="1">
      <c r="A111" s="119" t="s">
        <v>2817</v>
      </c>
      <c r="B111" s="110">
        <f>329.4/100</f>
        <v>3.2939999999999996</v>
      </c>
      <c r="C111" s="1" t="s">
        <v>3067</v>
      </c>
      <c r="D111" s="190">
        <f t="shared" si="1"/>
        <v>500</v>
      </c>
      <c r="E111" s="25">
        <f>6.1/100</f>
        <v>6.0999999999999999E-2</v>
      </c>
    </row>
    <row r="112" spans="1:21" ht="14.25" customHeight="1">
      <c r="A112" s="119" t="s">
        <v>2818</v>
      </c>
      <c r="B112" s="110">
        <f>43.9/100</f>
        <v>0.439</v>
      </c>
      <c r="C112" s="1" t="s">
        <v>3068</v>
      </c>
      <c r="D112" s="188">
        <f t="shared" si="1"/>
        <v>500</v>
      </c>
      <c r="E112" s="25">
        <f>1.9/100</f>
        <v>1.9E-2</v>
      </c>
    </row>
    <row r="113" spans="1:21" ht="14.25" customHeight="1">
      <c r="A113" s="119" t="s">
        <v>2819</v>
      </c>
      <c r="B113" s="110">
        <f>22.7/100</f>
        <v>0.22699999999999998</v>
      </c>
      <c r="C113" s="1" t="s">
        <v>3069</v>
      </c>
      <c r="D113" s="188">
        <f t="shared" si="1"/>
        <v>500</v>
      </c>
      <c r="E113" s="25">
        <f>1.7/100</f>
        <v>1.7000000000000001E-2</v>
      </c>
    </row>
    <row r="114" spans="1:21" ht="14.25" customHeight="1">
      <c r="A114" s="119" t="s">
        <v>2820</v>
      </c>
      <c r="B114" s="110">
        <f>11.7/100</f>
        <v>0.11699999999999999</v>
      </c>
      <c r="C114" s="1" t="s">
        <v>3070</v>
      </c>
      <c r="D114" s="188">
        <f t="shared" si="1"/>
        <v>500</v>
      </c>
      <c r="E114" s="25">
        <f>1.4/100</f>
        <v>1.3999999999999999E-2</v>
      </c>
    </row>
    <row r="115" spans="1:21" ht="14.25" customHeight="1">
      <c r="A115" s="119" t="s">
        <v>2821</v>
      </c>
      <c r="B115" s="110">
        <f>32.1/100</f>
        <v>0.32100000000000001</v>
      </c>
      <c r="C115" s="1" t="s">
        <v>3071</v>
      </c>
      <c r="D115" s="188">
        <f t="shared" si="1"/>
        <v>500</v>
      </c>
      <c r="E115" s="25">
        <f>1.8/100</f>
        <v>1.8000000000000002E-2</v>
      </c>
    </row>
    <row r="116" spans="1:21" ht="14.25" customHeight="1">
      <c r="A116" s="119" t="s">
        <v>2822</v>
      </c>
      <c r="B116" s="110">
        <f>15.1/100</f>
        <v>0.151</v>
      </c>
      <c r="C116" s="1" t="s">
        <v>3072</v>
      </c>
      <c r="D116" s="188">
        <f t="shared" si="1"/>
        <v>500</v>
      </c>
      <c r="E116" s="25">
        <f>1.5/100</f>
        <v>1.4999999999999999E-2</v>
      </c>
    </row>
    <row r="117" spans="1:21" ht="14.25" customHeight="1">
      <c r="A117" s="119" t="s">
        <v>2823</v>
      </c>
      <c r="B117" s="110">
        <f>22.4/100</f>
        <v>0.22399999999999998</v>
      </c>
      <c r="C117" s="1" t="s">
        <v>3073</v>
      </c>
      <c r="D117" s="188">
        <f t="shared" si="1"/>
        <v>500</v>
      </c>
      <c r="E117" s="25">
        <f>1.6/100</f>
        <v>1.6E-2</v>
      </c>
    </row>
    <row r="118" spans="1:21" s="4" customFormat="1" ht="14.25" customHeight="1">
      <c r="A118" s="152" t="s">
        <v>3258</v>
      </c>
      <c r="B118" s="9">
        <f t="shared" ref="B118:B123" si="2">52/50</f>
        <v>1.04</v>
      </c>
      <c r="C118" s="1" t="s">
        <v>1802</v>
      </c>
      <c r="D118" s="188">
        <v>100</v>
      </c>
      <c r="E118" s="6">
        <f t="shared" ref="E118:E123" si="3">6/100</f>
        <v>0.06</v>
      </c>
      <c r="F118" s="7"/>
      <c r="G118" s="7"/>
      <c r="H118" s="7"/>
      <c r="I118" s="7"/>
      <c r="J118" s="7"/>
      <c r="K118" s="7"/>
      <c r="L118" s="7"/>
      <c r="M118" s="7"/>
      <c r="N118" s="7"/>
      <c r="O118" s="7"/>
      <c r="P118" s="7"/>
      <c r="Q118" s="7"/>
      <c r="R118" s="7"/>
      <c r="S118" s="7"/>
      <c r="T118" s="7"/>
      <c r="U118" s="7"/>
    </row>
    <row r="119" spans="1:21" ht="14.25" customHeight="1">
      <c r="A119" s="152" t="s">
        <v>3259</v>
      </c>
      <c r="B119" s="9">
        <f t="shared" si="2"/>
        <v>1.04</v>
      </c>
      <c r="C119" s="1" t="s">
        <v>1803</v>
      </c>
      <c r="D119" s="188">
        <v>100</v>
      </c>
      <c r="E119" s="6">
        <f t="shared" si="3"/>
        <v>0.06</v>
      </c>
    </row>
    <row r="120" spans="1:21" ht="14.25" customHeight="1">
      <c r="A120" s="152" t="s">
        <v>3260</v>
      </c>
      <c r="B120" s="9">
        <f t="shared" si="2"/>
        <v>1.04</v>
      </c>
      <c r="C120" s="1" t="s">
        <v>1804</v>
      </c>
      <c r="D120" s="188">
        <v>100</v>
      </c>
      <c r="E120" s="6">
        <f t="shared" si="3"/>
        <v>0.06</v>
      </c>
    </row>
    <row r="121" spans="1:21" ht="14.25" customHeight="1">
      <c r="A121" s="152" t="s">
        <v>3261</v>
      </c>
      <c r="B121" s="9">
        <f t="shared" si="2"/>
        <v>1.04</v>
      </c>
      <c r="C121" s="1" t="s">
        <v>1805</v>
      </c>
      <c r="D121" s="188">
        <v>100</v>
      </c>
      <c r="E121" s="6">
        <f t="shared" si="3"/>
        <v>0.06</v>
      </c>
    </row>
    <row r="122" spans="1:21" ht="14.25" customHeight="1">
      <c r="A122" s="152" t="s">
        <v>3262</v>
      </c>
      <c r="B122" s="9">
        <f t="shared" si="2"/>
        <v>1.04</v>
      </c>
      <c r="C122" s="1" t="s">
        <v>1806</v>
      </c>
      <c r="D122" s="188">
        <v>100</v>
      </c>
      <c r="E122" s="6">
        <f t="shared" si="3"/>
        <v>0.06</v>
      </c>
    </row>
    <row r="123" spans="1:21" ht="14.25" customHeight="1">
      <c r="A123" s="152" t="s">
        <v>3263</v>
      </c>
      <c r="B123" s="9">
        <f t="shared" si="2"/>
        <v>1.04</v>
      </c>
      <c r="C123" s="1" t="s">
        <v>1807</v>
      </c>
      <c r="D123" s="188">
        <v>100</v>
      </c>
      <c r="E123" s="6">
        <f t="shared" si="3"/>
        <v>0.06</v>
      </c>
    </row>
    <row r="124" spans="1:21" s="4" customFormat="1" ht="14.25" customHeight="1">
      <c r="A124" s="152" t="s">
        <v>3264</v>
      </c>
      <c r="B124" s="9">
        <v>2</v>
      </c>
      <c r="C124" s="1" t="s">
        <v>3254</v>
      </c>
      <c r="D124" s="188">
        <v>100</v>
      </c>
      <c r="E124" s="6">
        <f t="shared" ref="E124:E129" si="4">9/100</f>
        <v>0.09</v>
      </c>
      <c r="F124" s="7"/>
      <c r="G124" s="7"/>
      <c r="H124" s="7"/>
      <c r="I124" s="7"/>
      <c r="J124" s="7"/>
      <c r="K124" s="7"/>
      <c r="L124" s="7"/>
      <c r="M124" s="7"/>
      <c r="N124" s="7"/>
      <c r="O124" s="7"/>
      <c r="P124" s="7"/>
      <c r="Q124" s="7"/>
      <c r="R124" s="7"/>
      <c r="S124" s="7"/>
      <c r="T124" s="7"/>
      <c r="U124" s="7"/>
    </row>
    <row r="125" spans="1:21" ht="14.25" customHeight="1">
      <c r="A125" s="152" t="s">
        <v>3265</v>
      </c>
      <c r="B125" s="9">
        <v>2</v>
      </c>
      <c r="C125" s="1" t="s">
        <v>1797</v>
      </c>
      <c r="D125" s="188">
        <v>100</v>
      </c>
      <c r="E125" s="6">
        <f t="shared" si="4"/>
        <v>0.09</v>
      </c>
    </row>
    <row r="126" spans="1:21" ht="14.25" customHeight="1">
      <c r="A126" s="152" t="s">
        <v>3266</v>
      </c>
      <c r="B126" s="9">
        <v>2</v>
      </c>
      <c r="C126" s="1" t="s">
        <v>1798</v>
      </c>
      <c r="D126" s="188">
        <v>100</v>
      </c>
      <c r="E126" s="6">
        <f t="shared" si="4"/>
        <v>0.09</v>
      </c>
    </row>
    <row r="127" spans="1:21" ht="14.25" customHeight="1">
      <c r="A127" s="152" t="s">
        <v>3267</v>
      </c>
      <c r="B127" s="9">
        <v>2</v>
      </c>
      <c r="C127" s="1" t="s">
        <v>1799</v>
      </c>
      <c r="D127" s="188">
        <v>100</v>
      </c>
      <c r="E127" s="6">
        <f t="shared" si="4"/>
        <v>0.09</v>
      </c>
    </row>
    <row r="128" spans="1:21" ht="14.25" customHeight="1">
      <c r="A128" s="152" t="s">
        <v>3268</v>
      </c>
      <c r="B128" s="9">
        <v>2</v>
      </c>
      <c r="C128" s="1" t="s">
        <v>1800</v>
      </c>
      <c r="D128" s="188">
        <v>100</v>
      </c>
      <c r="E128" s="6">
        <f t="shared" si="4"/>
        <v>0.09</v>
      </c>
    </row>
    <row r="129" spans="1:21" ht="14.25" customHeight="1">
      <c r="A129" s="152" t="s">
        <v>3269</v>
      </c>
      <c r="B129" s="9">
        <v>2</v>
      </c>
      <c r="C129" s="1" t="s">
        <v>1801</v>
      </c>
      <c r="D129" s="188">
        <v>100</v>
      </c>
      <c r="E129" s="6">
        <f t="shared" si="4"/>
        <v>0.09</v>
      </c>
    </row>
    <row r="130" spans="1:21" ht="14.25" customHeight="1">
      <c r="A130" s="152" t="s">
        <v>3270</v>
      </c>
      <c r="B130" s="9">
        <v>4.9000000000000004</v>
      </c>
      <c r="C130" s="1" t="s">
        <v>3255</v>
      </c>
      <c r="D130" s="188">
        <v>100</v>
      </c>
      <c r="E130" s="6">
        <f>18/100</f>
        <v>0.18</v>
      </c>
    </row>
    <row r="131" spans="1:21" s="4" customFormat="1" ht="14.25" customHeight="1">
      <c r="A131" s="152" t="s">
        <v>3271</v>
      </c>
      <c r="B131" s="9">
        <v>5</v>
      </c>
      <c r="C131" s="1" t="s">
        <v>3256</v>
      </c>
      <c r="D131" s="188">
        <v>100</v>
      </c>
      <c r="E131" s="6">
        <f>18/100</f>
        <v>0.18</v>
      </c>
      <c r="F131" s="7"/>
      <c r="G131" s="7"/>
      <c r="H131" s="7"/>
      <c r="I131" s="7"/>
      <c r="J131" s="7"/>
      <c r="K131" s="7"/>
      <c r="L131" s="7"/>
      <c r="M131" s="7"/>
      <c r="N131" s="7"/>
      <c r="O131" s="7"/>
      <c r="P131" s="7"/>
      <c r="Q131" s="7"/>
      <c r="R131" s="7"/>
      <c r="S131" s="7"/>
      <c r="T131" s="7"/>
      <c r="U131" s="7"/>
    </row>
    <row r="132" spans="1:21" ht="14.25" customHeight="1">
      <c r="A132" s="128" t="s">
        <v>3272</v>
      </c>
      <c r="B132" s="110">
        <f>25.8/100</f>
        <v>0.25800000000000001</v>
      </c>
      <c r="C132" s="1" t="s">
        <v>3279</v>
      </c>
      <c r="D132" s="188">
        <v>100</v>
      </c>
      <c r="E132" s="6">
        <v>0.05</v>
      </c>
    </row>
    <row r="133" spans="1:21" ht="14.25" customHeight="1">
      <c r="A133" s="152" t="s">
        <v>3272</v>
      </c>
      <c r="B133" s="110">
        <f>27.2/100</f>
        <v>0.27200000000000002</v>
      </c>
      <c r="C133" s="1" t="s">
        <v>3279</v>
      </c>
      <c r="D133" s="188">
        <v>100</v>
      </c>
      <c r="E133" s="6">
        <v>0.05</v>
      </c>
    </row>
    <row r="134" spans="1:21" ht="14.25" customHeight="1">
      <c r="A134" s="152" t="s">
        <v>3273</v>
      </c>
      <c r="B134" s="110">
        <f>28.3/100</f>
        <v>0.28300000000000003</v>
      </c>
      <c r="C134" s="1" t="s">
        <v>3284</v>
      </c>
      <c r="D134" s="188">
        <v>200</v>
      </c>
      <c r="E134" s="6">
        <v>0.05</v>
      </c>
    </row>
    <row r="135" spans="1:21" ht="14.25" customHeight="1">
      <c r="A135" s="152" t="s">
        <v>3274</v>
      </c>
      <c r="B135" s="110">
        <f>29.2/100</f>
        <v>0.29199999999999998</v>
      </c>
      <c r="C135" s="1" t="s">
        <v>3285</v>
      </c>
      <c r="D135" s="188">
        <v>200</v>
      </c>
      <c r="E135" s="6">
        <v>0.05</v>
      </c>
    </row>
    <row r="136" spans="1:21" ht="14.25" customHeight="1">
      <c r="A136" s="128" t="s">
        <v>3277</v>
      </c>
      <c r="B136" s="110">
        <f>23.7/100</f>
        <v>0.23699999999999999</v>
      </c>
      <c r="C136" s="1" t="s">
        <v>3280</v>
      </c>
      <c r="D136" s="188">
        <v>100</v>
      </c>
      <c r="E136" s="6">
        <v>0.05</v>
      </c>
    </row>
    <row r="137" spans="1:21" ht="14.25" customHeight="1">
      <c r="A137" s="128" t="s">
        <v>3275</v>
      </c>
      <c r="B137" s="110">
        <f>18/100</f>
        <v>0.18</v>
      </c>
      <c r="C137" s="1" t="s">
        <v>3281</v>
      </c>
      <c r="D137" s="188">
        <v>100</v>
      </c>
      <c r="E137" s="6">
        <v>0.05</v>
      </c>
    </row>
    <row r="138" spans="1:21" ht="14.25" customHeight="1">
      <c r="A138" s="128" t="s">
        <v>3276</v>
      </c>
      <c r="B138" s="110">
        <f>21.2/100</f>
        <v>0.21199999999999999</v>
      </c>
      <c r="C138" s="1" t="s">
        <v>3282</v>
      </c>
      <c r="D138" s="190">
        <v>200</v>
      </c>
      <c r="E138" s="6">
        <f>0.05*100/200</f>
        <v>2.5000000000000001E-2</v>
      </c>
    </row>
    <row r="139" spans="1:21" ht="14.25" customHeight="1">
      <c r="A139" s="128" t="s">
        <v>3278</v>
      </c>
      <c r="B139" s="110">
        <f>37.5/100</f>
        <v>0.375</v>
      </c>
      <c r="C139" s="1" t="s">
        <v>3283</v>
      </c>
      <c r="D139" s="188">
        <v>100</v>
      </c>
      <c r="E139" s="6">
        <v>0.05</v>
      </c>
    </row>
    <row r="140" spans="1:21" ht="14.25" customHeight="1">
      <c r="A140" s="128">
        <v>201.01</v>
      </c>
      <c r="B140" s="9">
        <v>118</v>
      </c>
      <c r="C140" s="7" t="s">
        <v>1568</v>
      </c>
      <c r="D140" s="187">
        <f>60*3+60*2</f>
        <v>300</v>
      </c>
      <c r="E140" s="56">
        <v>1.42</v>
      </c>
    </row>
    <row r="141" spans="1:21" ht="14.25" customHeight="1">
      <c r="A141" s="128" t="s">
        <v>4102</v>
      </c>
      <c r="B141" s="9">
        <v>101</v>
      </c>
      <c r="C141" s="7" t="s">
        <v>1406</v>
      </c>
      <c r="D141" s="187">
        <f>72*2</f>
        <v>144</v>
      </c>
      <c r="E141" s="7">
        <v>1.2250000000000001</v>
      </c>
    </row>
    <row r="142" spans="1:21" ht="14.25" customHeight="1">
      <c r="A142" s="128">
        <v>201.11</v>
      </c>
      <c r="B142" s="9">
        <v>62</v>
      </c>
      <c r="C142" s="7" t="s">
        <v>2916</v>
      </c>
      <c r="D142" s="187">
        <v>30</v>
      </c>
      <c r="E142" s="7">
        <v>1.35</v>
      </c>
    </row>
    <row r="143" spans="1:21" ht="14.25" customHeight="1">
      <c r="A143" s="137" t="s">
        <v>2439</v>
      </c>
      <c r="B143" s="9">
        <v>39.4</v>
      </c>
      <c r="C143" s="7" t="s">
        <v>1478</v>
      </c>
      <c r="D143" s="187">
        <v>12</v>
      </c>
      <c r="E143" s="7">
        <v>0.88</v>
      </c>
    </row>
    <row r="144" spans="1:21" ht="14.25" customHeight="1">
      <c r="A144" s="137" t="s">
        <v>2440</v>
      </c>
      <c r="B144" s="9">
        <f>201.5/5</f>
        <v>40.299999999999997</v>
      </c>
      <c r="C144" s="7" t="s">
        <v>1479</v>
      </c>
      <c r="D144" s="187">
        <v>5</v>
      </c>
      <c r="E144" s="7">
        <v>0.88</v>
      </c>
    </row>
    <row r="145" spans="1:21" ht="14.25" customHeight="1">
      <c r="A145" s="137" t="s">
        <v>2441</v>
      </c>
      <c r="B145" s="9">
        <f>201.5/5</f>
        <v>40.299999999999997</v>
      </c>
      <c r="C145" s="7" t="s">
        <v>1480</v>
      </c>
      <c r="D145" s="187">
        <v>5</v>
      </c>
      <c r="E145" s="7">
        <v>0.88</v>
      </c>
    </row>
    <row r="146" spans="1:21" ht="14.25" customHeight="1">
      <c r="A146" s="137" t="s">
        <v>2442</v>
      </c>
      <c r="B146" s="9">
        <f>201.5/5</f>
        <v>40.299999999999997</v>
      </c>
      <c r="C146" s="7" t="s">
        <v>1481</v>
      </c>
      <c r="D146" s="187">
        <v>5</v>
      </c>
      <c r="E146" s="7">
        <v>0.88</v>
      </c>
    </row>
    <row r="147" spans="1:21" ht="14.25" customHeight="1">
      <c r="A147" s="137" t="s">
        <v>2443</v>
      </c>
      <c r="B147" s="9">
        <f>201.5/5</f>
        <v>40.299999999999997</v>
      </c>
      <c r="C147" s="7" t="s">
        <v>1482</v>
      </c>
      <c r="D147" s="187">
        <v>5</v>
      </c>
      <c r="E147" s="7">
        <v>0.88</v>
      </c>
    </row>
    <row r="148" spans="1:21" ht="14.25" customHeight="1">
      <c r="A148" s="137" t="s">
        <v>2444</v>
      </c>
      <c r="B148" s="9">
        <f>201.5/5</f>
        <v>40.299999999999997</v>
      </c>
      <c r="C148" s="7" t="s">
        <v>1483</v>
      </c>
      <c r="D148" s="187">
        <v>5</v>
      </c>
      <c r="E148" s="7">
        <v>0.88</v>
      </c>
      <c r="U148" s="4"/>
    </row>
    <row r="149" spans="1:21" ht="14.25" customHeight="1">
      <c r="A149" s="137" t="s">
        <v>2445</v>
      </c>
      <c r="B149" s="9">
        <f>161/5</f>
        <v>32.200000000000003</v>
      </c>
      <c r="C149" s="7" t="s">
        <v>1484</v>
      </c>
      <c r="D149" s="187">
        <v>5</v>
      </c>
      <c r="E149" s="7">
        <v>0.9</v>
      </c>
    </row>
    <row r="150" spans="1:21" ht="14.25" customHeight="1">
      <c r="A150" s="137" t="s">
        <v>2446</v>
      </c>
      <c r="B150" s="9">
        <f>189.4/5</f>
        <v>37.880000000000003</v>
      </c>
      <c r="C150" s="7" t="s">
        <v>1485</v>
      </c>
      <c r="D150" s="187">
        <v>5</v>
      </c>
      <c r="E150" s="7">
        <v>1.05</v>
      </c>
      <c r="U150" s="4"/>
    </row>
    <row r="151" spans="1:21" ht="14.25" customHeight="1">
      <c r="A151" s="137" t="s">
        <v>2447</v>
      </c>
      <c r="B151" s="9">
        <f t="shared" ref="B151:B157" si="5">232.2/3</f>
        <v>77.399999999999991</v>
      </c>
      <c r="C151" s="7" t="s">
        <v>1486</v>
      </c>
      <c r="D151" s="187">
        <v>10</v>
      </c>
      <c r="E151" s="7">
        <v>1.65</v>
      </c>
    </row>
    <row r="152" spans="1:21" ht="14.25" customHeight="1">
      <c r="A152" s="137" t="s">
        <v>2448</v>
      </c>
      <c r="B152" s="9">
        <f t="shared" si="5"/>
        <v>77.399999999999991</v>
      </c>
      <c r="C152" s="7" t="s">
        <v>1487</v>
      </c>
      <c r="D152" s="187">
        <v>3</v>
      </c>
      <c r="E152" s="7">
        <v>1.65</v>
      </c>
    </row>
    <row r="153" spans="1:21" ht="14.25" customHeight="1">
      <c r="A153" s="137" t="s">
        <v>2449</v>
      </c>
      <c r="B153" s="9">
        <f t="shared" si="5"/>
        <v>77.399999999999991</v>
      </c>
      <c r="C153" s="7" t="s">
        <v>1488</v>
      </c>
      <c r="D153" s="187">
        <v>3</v>
      </c>
      <c r="E153" s="7">
        <v>1.65</v>
      </c>
    </row>
    <row r="154" spans="1:21" ht="14.25" customHeight="1">
      <c r="A154" s="137" t="s">
        <v>2450</v>
      </c>
      <c r="B154" s="9">
        <f t="shared" si="5"/>
        <v>77.399999999999991</v>
      </c>
      <c r="C154" s="7" t="s">
        <v>1489</v>
      </c>
      <c r="D154" s="187">
        <v>3</v>
      </c>
      <c r="E154" s="7">
        <v>1.65</v>
      </c>
    </row>
    <row r="155" spans="1:21" ht="14.25" customHeight="1">
      <c r="A155" s="137" t="s">
        <v>2451</v>
      </c>
      <c r="B155" s="9">
        <f t="shared" si="5"/>
        <v>77.399999999999991</v>
      </c>
      <c r="C155" s="7" t="s">
        <v>1490</v>
      </c>
      <c r="D155" s="187">
        <v>3</v>
      </c>
      <c r="E155" s="7">
        <v>1.65</v>
      </c>
    </row>
    <row r="156" spans="1:21" ht="14.25" customHeight="1">
      <c r="A156" s="137" t="s">
        <v>2452</v>
      </c>
      <c r="B156" s="9">
        <f t="shared" si="5"/>
        <v>77.399999999999991</v>
      </c>
      <c r="C156" s="7" t="s">
        <v>1491</v>
      </c>
      <c r="D156" s="187">
        <v>3</v>
      </c>
      <c r="E156" s="7">
        <v>1.65</v>
      </c>
    </row>
    <row r="157" spans="1:21" ht="14.25" customHeight="1">
      <c r="A157" s="137" t="s">
        <v>2453</v>
      </c>
      <c r="B157" s="9">
        <f t="shared" si="5"/>
        <v>77.399999999999991</v>
      </c>
      <c r="C157" s="7" t="s">
        <v>1492</v>
      </c>
      <c r="D157" s="187">
        <v>4</v>
      </c>
      <c r="E157" s="7">
        <v>1.7</v>
      </c>
    </row>
    <row r="158" spans="1:21" ht="14.25" customHeight="1">
      <c r="A158" s="128">
        <v>203.01</v>
      </c>
      <c r="B158" s="9">
        <v>25</v>
      </c>
      <c r="C158" s="7" t="s">
        <v>1493</v>
      </c>
      <c r="D158" s="187">
        <v>10</v>
      </c>
      <c r="E158" s="7">
        <v>1.3</v>
      </c>
    </row>
    <row r="159" spans="1:21" ht="14.25" customHeight="1">
      <c r="A159" s="128">
        <v>203.02</v>
      </c>
      <c r="B159" s="9">
        <v>53</v>
      </c>
      <c r="C159" s="7" t="s">
        <v>1494</v>
      </c>
      <c r="D159" s="187">
        <v>10</v>
      </c>
      <c r="E159" s="7">
        <v>2.5</v>
      </c>
    </row>
    <row r="160" spans="1:21" ht="14.25" customHeight="1">
      <c r="A160" s="115">
        <v>204.01</v>
      </c>
      <c r="B160" s="124">
        <f>25.3/3</f>
        <v>8.4333333333333336</v>
      </c>
      <c r="C160" s="7" t="s">
        <v>1508</v>
      </c>
      <c r="D160" s="187">
        <v>3</v>
      </c>
      <c r="E160" s="7">
        <v>0.65</v>
      </c>
    </row>
    <row r="161" spans="1:5" ht="14.25" customHeight="1">
      <c r="A161" s="115">
        <v>204.02</v>
      </c>
      <c r="B161" s="124">
        <f>49.5/3</f>
        <v>16.5</v>
      </c>
      <c r="C161" s="7" t="s">
        <v>1509</v>
      </c>
      <c r="D161" s="187">
        <v>3</v>
      </c>
      <c r="E161" s="7">
        <v>1.3</v>
      </c>
    </row>
    <row r="162" spans="1:5" ht="14.25" customHeight="1">
      <c r="A162" s="115">
        <v>204.03</v>
      </c>
      <c r="B162" s="124">
        <f>80.2/3</f>
        <v>26.733333333333334</v>
      </c>
      <c r="C162" s="7" t="s">
        <v>1510</v>
      </c>
      <c r="D162" s="187">
        <v>3</v>
      </c>
      <c r="E162" s="7">
        <v>2.2000000000000002</v>
      </c>
    </row>
    <row r="163" spans="1:5" ht="14.25" customHeight="1">
      <c r="A163" s="115">
        <v>204.04</v>
      </c>
      <c r="B163" s="124">
        <f>96.5/3</f>
        <v>32.166666666666664</v>
      </c>
      <c r="C163" s="7" t="s">
        <v>1511</v>
      </c>
      <c r="D163" s="187">
        <v>3</v>
      </c>
      <c r="E163" s="7">
        <v>2.6</v>
      </c>
    </row>
    <row r="164" spans="1:5" ht="14.25" customHeight="1">
      <c r="A164" s="128" t="s">
        <v>2521</v>
      </c>
      <c r="B164" s="124">
        <f>165/3</f>
        <v>55</v>
      </c>
      <c r="C164" s="7" t="s">
        <v>1512</v>
      </c>
      <c r="D164" s="187">
        <v>3</v>
      </c>
      <c r="E164" s="7">
        <v>3.3</v>
      </c>
    </row>
    <row r="165" spans="1:5" ht="14.25" customHeight="1">
      <c r="A165" s="128" t="s">
        <v>2522</v>
      </c>
      <c r="B165" s="124">
        <f>134/3</f>
        <v>44.666666666666664</v>
      </c>
      <c r="C165" s="7" t="s">
        <v>1513</v>
      </c>
      <c r="D165" s="187">
        <v>3</v>
      </c>
      <c r="E165" s="7">
        <v>2.64</v>
      </c>
    </row>
    <row r="166" spans="1:5" ht="14.25" customHeight="1">
      <c r="A166" s="128" t="s">
        <v>2523</v>
      </c>
      <c r="B166" s="124">
        <f>126.7/3</f>
        <v>42.233333333333334</v>
      </c>
      <c r="C166" s="7" t="s">
        <v>1514</v>
      </c>
      <c r="D166" s="187">
        <v>3</v>
      </c>
      <c r="E166" s="7">
        <v>2.8</v>
      </c>
    </row>
    <row r="167" spans="1:5" ht="14.25" customHeight="1">
      <c r="A167" s="128" t="s">
        <v>2524</v>
      </c>
      <c r="B167" s="124">
        <f>202/3</f>
        <v>67.333333333333329</v>
      </c>
      <c r="C167" s="7" t="s">
        <v>1515</v>
      </c>
      <c r="D167" s="187">
        <v>3</v>
      </c>
      <c r="E167" s="7">
        <v>3.3</v>
      </c>
    </row>
    <row r="168" spans="1:5" ht="14.25" customHeight="1">
      <c r="A168" s="128" t="s">
        <v>2525</v>
      </c>
      <c r="B168" s="124">
        <f>74/3</f>
        <v>24.666666666666668</v>
      </c>
      <c r="C168" s="7" t="s">
        <v>1516</v>
      </c>
      <c r="D168" s="187">
        <v>3</v>
      </c>
      <c r="E168" s="7">
        <v>2</v>
      </c>
    </row>
    <row r="169" spans="1:5" ht="14.25" customHeight="1">
      <c r="A169" s="128" t="s">
        <v>2526</v>
      </c>
      <c r="B169" s="124">
        <f>131/3</f>
        <v>43.666666666666664</v>
      </c>
      <c r="C169" s="7" t="s">
        <v>1517</v>
      </c>
      <c r="D169" s="187">
        <v>3</v>
      </c>
      <c r="E169" s="7">
        <v>3</v>
      </c>
    </row>
    <row r="170" spans="1:5" ht="14.25" customHeight="1">
      <c r="A170" s="128">
        <v>206.01</v>
      </c>
      <c r="B170" s="9">
        <v>120</v>
      </c>
      <c r="C170" s="7" t="s">
        <v>1495</v>
      </c>
      <c r="D170" s="187">
        <v>8</v>
      </c>
      <c r="E170" s="7">
        <v>1.9</v>
      </c>
    </row>
    <row r="171" spans="1:5" ht="14.25" customHeight="1">
      <c r="A171" s="128">
        <v>206.02</v>
      </c>
      <c r="B171" s="9">
        <v>168</v>
      </c>
      <c r="C171" s="7" t="s">
        <v>1496</v>
      </c>
      <c r="D171" s="187">
        <v>3</v>
      </c>
      <c r="E171" s="7">
        <v>2.8</v>
      </c>
    </row>
    <row r="172" spans="1:5" ht="14.25" customHeight="1">
      <c r="A172" s="128" t="s">
        <v>2527</v>
      </c>
      <c r="B172" s="9">
        <v>18</v>
      </c>
      <c r="C172" s="7" t="s">
        <v>1518</v>
      </c>
      <c r="D172" s="187">
        <v>3</v>
      </c>
      <c r="E172" s="7">
        <v>1</v>
      </c>
    </row>
    <row r="173" spans="1:5" ht="14.25" customHeight="1">
      <c r="A173" s="128" t="s">
        <v>2528</v>
      </c>
      <c r="B173" s="9">
        <v>18</v>
      </c>
      <c r="C173" s="7" t="s">
        <v>1519</v>
      </c>
      <c r="D173" s="187">
        <v>3</v>
      </c>
      <c r="E173" s="7">
        <v>1</v>
      </c>
    </row>
    <row r="174" spans="1:5" ht="14.25" customHeight="1">
      <c r="A174" s="128" t="s">
        <v>2529</v>
      </c>
      <c r="B174" s="9">
        <v>18</v>
      </c>
      <c r="C174" s="7" t="s">
        <v>1520</v>
      </c>
      <c r="D174" s="187">
        <v>3</v>
      </c>
      <c r="E174" s="7">
        <v>1</v>
      </c>
    </row>
    <row r="175" spans="1:5" ht="14.25" customHeight="1">
      <c r="A175" s="128" t="s">
        <v>2530</v>
      </c>
      <c r="B175" s="9">
        <v>18</v>
      </c>
      <c r="C175" s="7" t="s">
        <v>1521</v>
      </c>
      <c r="D175" s="187">
        <v>3</v>
      </c>
      <c r="E175" s="7">
        <v>1</v>
      </c>
    </row>
    <row r="176" spans="1:5" ht="14.25" customHeight="1">
      <c r="A176" s="128" t="s">
        <v>2531</v>
      </c>
      <c r="B176" s="9">
        <v>18</v>
      </c>
      <c r="C176" s="7" t="s">
        <v>1522</v>
      </c>
      <c r="D176" s="187">
        <v>3</v>
      </c>
      <c r="E176" s="7">
        <v>1</v>
      </c>
    </row>
    <row r="177" spans="1:21" ht="14.25" customHeight="1">
      <c r="A177" s="128" t="s">
        <v>2532</v>
      </c>
      <c r="B177" s="9">
        <v>18</v>
      </c>
      <c r="C177" s="7" t="s">
        <v>1523</v>
      </c>
      <c r="D177" s="187">
        <v>3</v>
      </c>
      <c r="E177" s="7">
        <v>1</v>
      </c>
    </row>
    <row r="178" spans="1:21" ht="14.25" customHeight="1">
      <c r="A178" s="128" t="s">
        <v>2533</v>
      </c>
      <c r="B178" s="9">
        <v>18</v>
      </c>
      <c r="C178" s="7" t="s">
        <v>1525</v>
      </c>
      <c r="D178" s="187">
        <v>3</v>
      </c>
      <c r="E178" s="7">
        <v>1</v>
      </c>
    </row>
    <row r="179" spans="1:21" ht="14.25" customHeight="1">
      <c r="A179" s="128" t="s">
        <v>2534</v>
      </c>
      <c r="B179" s="9">
        <v>18</v>
      </c>
      <c r="C179" s="7" t="s">
        <v>1524</v>
      </c>
      <c r="D179" s="187">
        <v>3</v>
      </c>
      <c r="E179" s="7">
        <v>1</v>
      </c>
      <c r="U179" s="4"/>
    </row>
    <row r="180" spans="1:21" ht="14.25" customHeight="1">
      <c r="A180" s="128" t="s">
        <v>2535</v>
      </c>
      <c r="B180" s="9">
        <v>18</v>
      </c>
      <c r="C180" s="7" t="s">
        <v>1526</v>
      </c>
      <c r="D180" s="187">
        <v>3</v>
      </c>
      <c r="E180" s="7">
        <v>1</v>
      </c>
    </row>
    <row r="181" spans="1:21" ht="14.25" customHeight="1">
      <c r="A181" s="128" t="s">
        <v>2536</v>
      </c>
      <c r="B181" s="9">
        <v>18</v>
      </c>
      <c r="C181" s="7" t="s">
        <v>1527</v>
      </c>
      <c r="D181" s="187">
        <v>3</v>
      </c>
      <c r="E181" s="7">
        <v>1</v>
      </c>
    </row>
    <row r="182" spans="1:21" ht="14.25" customHeight="1">
      <c r="A182" s="128" t="s">
        <v>2537</v>
      </c>
      <c r="B182" s="9">
        <v>52</v>
      </c>
      <c r="C182" s="7" t="s">
        <v>1331</v>
      </c>
      <c r="D182" s="187">
        <v>3</v>
      </c>
      <c r="E182" s="7">
        <v>2.5</v>
      </c>
      <c r="U182" s="4"/>
    </row>
    <row r="183" spans="1:21" ht="14.25" customHeight="1">
      <c r="A183" s="128" t="s">
        <v>2538</v>
      </c>
      <c r="B183" s="9">
        <v>52</v>
      </c>
      <c r="C183" s="7" t="s">
        <v>1332</v>
      </c>
      <c r="D183" s="187">
        <v>3</v>
      </c>
      <c r="E183" s="7">
        <v>2.5</v>
      </c>
    </row>
    <row r="184" spans="1:21" ht="14.25" customHeight="1">
      <c r="A184" s="128" t="s">
        <v>2539</v>
      </c>
      <c r="B184" s="9">
        <v>52</v>
      </c>
      <c r="C184" s="7" t="s">
        <v>1333</v>
      </c>
      <c r="D184" s="187">
        <v>3</v>
      </c>
      <c r="E184" s="7">
        <v>2.5</v>
      </c>
    </row>
    <row r="185" spans="1:21" ht="14.25" customHeight="1">
      <c r="A185" s="128" t="s">
        <v>2540</v>
      </c>
      <c r="B185" s="9">
        <v>52</v>
      </c>
      <c r="C185" s="7" t="s">
        <v>1334</v>
      </c>
      <c r="D185" s="187">
        <v>3</v>
      </c>
      <c r="E185" s="7">
        <v>2.5</v>
      </c>
    </row>
    <row r="186" spans="1:21" ht="14.25" customHeight="1">
      <c r="A186" s="128" t="s">
        <v>2541</v>
      </c>
      <c r="B186" s="9">
        <v>52</v>
      </c>
      <c r="C186" s="7" t="s">
        <v>1335</v>
      </c>
      <c r="D186" s="187">
        <v>3</v>
      </c>
      <c r="E186" s="7">
        <v>2.5</v>
      </c>
    </row>
    <row r="187" spans="1:21" ht="14.25" customHeight="1">
      <c r="A187" s="128" t="s">
        <v>2542</v>
      </c>
      <c r="B187" s="9">
        <v>52</v>
      </c>
      <c r="C187" s="7" t="s">
        <v>1336</v>
      </c>
      <c r="D187" s="187">
        <v>3</v>
      </c>
      <c r="E187" s="7">
        <v>2.5</v>
      </c>
      <c r="U187" s="4"/>
    </row>
    <row r="188" spans="1:21" ht="14.25" customHeight="1">
      <c r="A188" s="128" t="s">
        <v>2543</v>
      </c>
      <c r="B188" s="9">
        <v>52</v>
      </c>
      <c r="C188" s="7" t="s">
        <v>1337</v>
      </c>
      <c r="D188" s="187">
        <v>3</v>
      </c>
      <c r="E188" s="7">
        <v>2.5</v>
      </c>
    </row>
    <row r="189" spans="1:21" ht="14.25" customHeight="1">
      <c r="A189" s="128" t="s">
        <v>2544</v>
      </c>
      <c r="B189" s="9">
        <v>52</v>
      </c>
      <c r="C189" s="7" t="s">
        <v>1338</v>
      </c>
      <c r="D189" s="187">
        <v>3</v>
      </c>
      <c r="E189" s="7">
        <v>2.5</v>
      </c>
    </row>
    <row r="190" spans="1:21" ht="14.25" customHeight="1">
      <c r="A190" s="128" t="s">
        <v>2545</v>
      </c>
      <c r="B190" s="9">
        <v>52</v>
      </c>
      <c r="C190" s="7" t="s">
        <v>1339</v>
      </c>
      <c r="D190" s="187">
        <v>3</v>
      </c>
      <c r="E190" s="7">
        <v>2.5</v>
      </c>
    </row>
    <row r="191" spans="1:21" ht="14.25" customHeight="1">
      <c r="A191" s="128" t="s">
        <v>2546</v>
      </c>
      <c r="B191" s="9">
        <v>52</v>
      </c>
      <c r="C191" s="7" t="s">
        <v>1340</v>
      </c>
      <c r="D191" s="187">
        <v>3</v>
      </c>
      <c r="E191" s="7">
        <v>2.5</v>
      </c>
    </row>
    <row r="192" spans="1:21" ht="14.25" customHeight="1">
      <c r="A192" s="119" t="s">
        <v>2547</v>
      </c>
      <c r="B192" s="9">
        <v>173</v>
      </c>
      <c r="C192" s="7" t="s">
        <v>1528</v>
      </c>
      <c r="D192" s="187">
        <v>6</v>
      </c>
      <c r="E192" s="7">
        <v>2.8</v>
      </c>
    </row>
    <row r="193" spans="1:21" ht="14.25" customHeight="1">
      <c r="A193" s="119" t="s">
        <v>2548</v>
      </c>
      <c r="B193" s="9">
        <v>187.2</v>
      </c>
      <c r="C193" s="7" t="s">
        <v>1529</v>
      </c>
      <c r="D193" s="187">
        <v>3</v>
      </c>
      <c r="E193" s="7">
        <v>2.8</v>
      </c>
    </row>
    <row r="194" spans="1:21" ht="14.25" customHeight="1">
      <c r="A194" s="119" t="s">
        <v>2549</v>
      </c>
      <c r="B194" s="9">
        <v>170</v>
      </c>
      <c r="C194" s="7" t="s">
        <v>1530</v>
      </c>
      <c r="D194" s="187">
        <v>3</v>
      </c>
      <c r="E194" s="7">
        <v>2.8</v>
      </c>
    </row>
    <row r="195" spans="1:21" ht="14.25" customHeight="1">
      <c r="A195" s="119" t="s">
        <v>2550</v>
      </c>
      <c r="B195" s="9">
        <v>174</v>
      </c>
      <c r="C195" s="7" t="s">
        <v>1531</v>
      </c>
      <c r="D195" s="187">
        <v>3</v>
      </c>
      <c r="E195" s="7">
        <v>2.8</v>
      </c>
    </row>
    <row r="196" spans="1:21" ht="14.25" customHeight="1">
      <c r="A196" s="119" t="s">
        <v>2551</v>
      </c>
      <c r="B196" s="9">
        <v>175</v>
      </c>
      <c r="C196" s="7" t="s">
        <v>1532</v>
      </c>
      <c r="D196" s="187">
        <v>3</v>
      </c>
      <c r="E196" s="7">
        <v>2.8</v>
      </c>
    </row>
    <row r="197" spans="1:21" ht="14.25" customHeight="1">
      <c r="A197" s="119" t="s">
        <v>2552</v>
      </c>
      <c r="B197" s="9">
        <v>189</v>
      </c>
      <c r="C197" s="7" t="s">
        <v>1533</v>
      </c>
      <c r="D197" s="187">
        <v>3</v>
      </c>
      <c r="E197" s="7">
        <v>2.8</v>
      </c>
    </row>
    <row r="198" spans="1:21" s="4" customFormat="1" ht="14.25" customHeight="1">
      <c r="A198" s="119" t="s">
        <v>2553</v>
      </c>
      <c r="B198" s="9">
        <v>184</v>
      </c>
      <c r="C198" s="7" t="s">
        <v>1534</v>
      </c>
      <c r="D198" s="187">
        <v>3</v>
      </c>
      <c r="E198" s="7">
        <v>2.8</v>
      </c>
      <c r="F198" s="7"/>
      <c r="G198" s="7"/>
      <c r="H198" s="7"/>
      <c r="I198" s="7"/>
      <c r="J198" s="7"/>
      <c r="K198" s="7"/>
      <c r="L198" s="7"/>
      <c r="M198" s="7"/>
      <c r="N198" s="7"/>
      <c r="O198" s="7"/>
      <c r="P198" s="7"/>
      <c r="Q198" s="7"/>
      <c r="R198" s="7"/>
      <c r="S198" s="7"/>
      <c r="T198" s="7"/>
      <c r="U198" s="7"/>
    </row>
    <row r="199" spans="1:21" ht="14.25" customHeight="1">
      <c r="A199" s="119" t="s">
        <v>2554</v>
      </c>
      <c r="B199" s="9">
        <v>190.3</v>
      </c>
      <c r="C199" s="7" t="s">
        <v>1535</v>
      </c>
      <c r="D199" s="187">
        <v>3</v>
      </c>
      <c r="E199" s="7">
        <v>2.8</v>
      </c>
    </row>
    <row r="200" spans="1:21" s="4" customFormat="1" ht="14.25" customHeight="1">
      <c r="A200" s="119" t="s">
        <v>2555</v>
      </c>
      <c r="B200" s="9">
        <v>173</v>
      </c>
      <c r="C200" s="7" t="s">
        <v>1536</v>
      </c>
      <c r="D200" s="187">
        <v>3</v>
      </c>
      <c r="E200" s="7">
        <v>2.8</v>
      </c>
      <c r="F200" s="7"/>
      <c r="G200" s="7"/>
      <c r="H200" s="7"/>
      <c r="I200" s="7"/>
      <c r="J200" s="7"/>
      <c r="K200" s="7"/>
      <c r="L200" s="7"/>
      <c r="M200" s="7"/>
      <c r="N200" s="7"/>
      <c r="O200" s="7"/>
      <c r="P200" s="7"/>
      <c r="Q200" s="7"/>
      <c r="R200" s="7"/>
      <c r="S200" s="7"/>
      <c r="T200" s="7"/>
      <c r="U200" s="7"/>
    </row>
    <row r="201" spans="1:21" ht="14.25" customHeight="1">
      <c r="A201" s="115">
        <v>209.01</v>
      </c>
      <c r="C201" s="1" t="s">
        <v>1888</v>
      </c>
      <c r="D201" s="188">
        <v>3</v>
      </c>
      <c r="E201" s="6">
        <v>3.4</v>
      </c>
    </row>
    <row r="202" spans="1:21" ht="14.25" customHeight="1">
      <c r="A202" s="115">
        <v>209.02</v>
      </c>
      <c r="C202" s="1" t="s">
        <v>1889</v>
      </c>
      <c r="D202" s="188">
        <v>3</v>
      </c>
      <c r="E202" s="6">
        <v>3.4</v>
      </c>
    </row>
    <row r="203" spans="1:21" ht="14.25" customHeight="1">
      <c r="A203" s="115">
        <v>209.03</v>
      </c>
      <c r="C203" s="1" t="s">
        <v>1890</v>
      </c>
      <c r="D203" s="188">
        <v>3</v>
      </c>
      <c r="E203" s="6">
        <v>3.4</v>
      </c>
    </row>
    <row r="204" spans="1:21" ht="14.25" customHeight="1">
      <c r="A204" s="115">
        <v>209.04</v>
      </c>
      <c r="C204" s="1" t="s">
        <v>1891</v>
      </c>
      <c r="D204" s="188">
        <v>3</v>
      </c>
      <c r="E204" s="6">
        <v>3.4</v>
      </c>
    </row>
    <row r="205" spans="1:21" ht="14.25" customHeight="1">
      <c r="A205" s="115">
        <v>209.05</v>
      </c>
      <c r="C205" s="1" t="s">
        <v>1892</v>
      </c>
      <c r="D205" s="188">
        <v>3</v>
      </c>
      <c r="E205" s="6">
        <v>3.4</v>
      </c>
    </row>
    <row r="206" spans="1:21" ht="14.25" customHeight="1">
      <c r="A206" s="115">
        <v>209.06</v>
      </c>
      <c r="C206" s="1" t="s">
        <v>1876</v>
      </c>
      <c r="D206" s="188">
        <v>3</v>
      </c>
      <c r="E206" s="6">
        <v>3.4</v>
      </c>
    </row>
    <row r="207" spans="1:21" ht="14.25" customHeight="1">
      <c r="A207" s="115">
        <v>209.07</v>
      </c>
      <c r="C207" s="1" t="s">
        <v>1893</v>
      </c>
      <c r="D207" s="188">
        <v>3</v>
      </c>
      <c r="E207" s="6">
        <v>3.4</v>
      </c>
    </row>
    <row r="208" spans="1:21" ht="14.25" customHeight="1">
      <c r="A208" s="115">
        <v>209.08</v>
      </c>
      <c r="C208" s="1" t="s">
        <v>1894</v>
      </c>
      <c r="D208" s="188">
        <v>3</v>
      </c>
      <c r="E208" s="6">
        <v>3.4</v>
      </c>
      <c r="U208" s="4"/>
    </row>
    <row r="209" spans="1:21" ht="14.25" customHeight="1">
      <c r="A209" s="115">
        <v>209.09</v>
      </c>
      <c r="C209" s="1" t="s">
        <v>1895</v>
      </c>
      <c r="D209" s="188">
        <v>3</v>
      </c>
      <c r="E209" s="6">
        <v>3.4</v>
      </c>
    </row>
    <row r="210" spans="1:21" ht="14.25" customHeight="1">
      <c r="A210" s="117" t="s">
        <v>3008</v>
      </c>
      <c r="C210" s="1" t="s">
        <v>1896</v>
      </c>
      <c r="D210" s="188">
        <v>3</v>
      </c>
      <c r="E210" s="6">
        <v>3.4</v>
      </c>
    </row>
    <row r="211" spans="1:21" ht="14.25" customHeight="1">
      <c r="A211" s="115">
        <v>211.01</v>
      </c>
      <c r="B211" s="9">
        <f>118.2</f>
        <v>118.2</v>
      </c>
      <c r="C211" s="1" t="s">
        <v>1903</v>
      </c>
      <c r="D211" s="188">
        <v>5</v>
      </c>
      <c r="E211" s="6">
        <v>3</v>
      </c>
    </row>
    <row r="212" spans="1:21" ht="14.25" customHeight="1">
      <c r="A212" s="115">
        <v>211.02</v>
      </c>
      <c r="B212" s="9">
        <f>118.2</f>
        <v>118.2</v>
      </c>
      <c r="C212" s="1" t="s">
        <v>1904</v>
      </c>
      <c r="D212" s="188">
        <v>5</v>
      </c>
      <c r="E212" s="6">
        <v>3</v>
      </c>
    </row>
    <row r="213" spans="1:21" ht="14.25" customHeight="1">
      <c r="A213" s="115">
        <v>211.03</v>
      </c>
      <c r="B213" s="9">
        <f>118.2</f>
        <v>118.2</v>
      </c>
      <c r="C213" s="1" t="s">
        <v>1905</v>
      </c>
      <c r="D213" s="188">
        <v>5</v>
      </c>
      <c r="E213" s="6">
        <v>3</v>
      </c>
    </row>
    <row r="214" spans="1:21" ht="14.25" customHeight="1">
      <c r="A214" s="115">
        <v>211.04</v>
      </c>
      <c r="B214" s="9">
        <f>118.2</f>
        <v>118.2</v>
      </c>
      <c r="C214" s="1" t="s">
        <v>1906</v>
      </c>
      <c r="D214" s="188">
        <v>5</v>
      </c>
      <c r="E214" s="6">
        <v>3</v>
      </c>
    </row>
    <row r="215" spans="1:21" ht="14.25" customHeight="1">
      <c r="A215" s="128">
        <v>212.01</v>
      </c>
      <c r="B215" s="124">
        <f t="shared" ref="B215:B225" si="6">262/30</f>
        <v>8.7333333333333325</v>
      </c>
      <c r="C215" s="7" t="s">
        <v>1969</v>
      </c>
      <c r="D215" s="187">
        <f>10</f>
        <v>10</v>
      </c>
      <c r="E215" s="7">
        <v>0.31</v>
      </c>
    </row>
    <row r="216" spans="1:21" ht="14.25" customHeight="1">
      <c r="A216" s="128">
        <v>212.02</v>
      </c>
      <c r="B216" s="124">
        <f t="shared" si="6"/>
        <v>8.7333333333333325</v>
      </c>
      <c r="C216" s="7" t="s">
        <v>1970</v>
      </c>
      <c r="D216" s="187">
        <f>10</f>
        <v>10</v>
      </c>
      <c r="E216" s="7">
        <v>0.31</v>
      </c>
    </row>
    <row r="217" spans="1:21" ht="14.25" customHeight="1">
      <c r="A217" s="128">
        <v>212.03</v>
      </c>
      <c r="B217" s="124">
        <f t="shared" si="6"/>
        <v>8.7333333333333325</v>
      </c>
      <c r="C217" s="7" t="s">
        <v>1971</v>
      </c>
      <c r="D217" s="187">
        <f>10</f>
        <v>10</v>
      </c>
      <c r="E217" s="7">
        <v>0.31</v>
      </c>
    </row>
    <row r="218" spans="1:21" ht="14.25" customHeight="1">
      <c r="A218" s="128">
        <v>212.04</v>
      </c>
      <c r="B218" s="124">
        <f t="shared" si="6"/>
        <v>8.7333333333333325</v>
      </c>
      <c r="C218" s="7" t="s">
        <v>1972</v>
      </c>
      <c r="D218" s="187">
        <f>10</f>
        <v>10</v>
      </c>
      <c r="E218" s="7">
        <v>0.31</v>
      </c>
    </row>
    <row r="219" spans="1:21" ht="14.25" customHeight="1">
      <c r="A219" s="137" t="s">
        <v>2354</v>
      </c>
      <c r="B219" s="124">
        <f t="shared" si="6"/>
        <v>8.7333333333333325</v>
      </c>
      <c r="C219" s="135" t="s">
        <v>3326</v>
      </c>
      <c r="D219" s="187">
        <f>10</f>
        <v>10</v>
      </c>
      <c r="E219" s="7">
        <v>0.31</v>
      </c>
    </row>
    <row r="220" spans="1:21" ht="14.25" customHeight="1">
      <c r="A220" s="137" t="s">
        <v>2355</v>
      </c>
      <c r="B220" s="124">
        <f t="shared" si="6"/>
        <v>8.7333333333333325</v>
      </c>
      <c r="C220" s="7" t="s">
        <v>1976</v>
      </c>
      <c r="D220" s="187">
        <f>10</f>
        <v>10</v>
      </c>
      <c r="E220" s="7">
        <v>0.31</v>
      </c>
      <c r="U220" s="4"/>
    </row>
    <row r="221" spans="1:21" s="4" customFormat="1" ht="14.25" customHeight="1">
      <c r="A221" s="137" t="s">
        <v>2356</v>
      </c>
      <c r="B221" s="124">
        <f t="shared" si="6"/>
        <v>8.7333333333333325</v>
      </c>
      <c r="C221" s="7" t="s">
        <v>1974</v>
      </c>
      <c r="D221" s="187">
        <f>10</f>
        <v>10</v>
      </c>
      <c r="E221" s="7">
        <v>0.31</v>
      </c>
      <c r="F221" s="7"/>
      <c r="G221" s="7"/>
      <c r="H221" s="7"/>
      <c r="I221" s="7"/>
      <c r="J221" s="7"/>
      <c r="K221" s="7"/>
      <c r="L221" s="7"/>
      <c r="M221" s="7"/>
      <c r="N221" s="7"/>
      <c r="O221" s="7"/>
      <c r="P221" s="7"/>
      <c r="Q221" s="7"/>
      <c r="R221" s="7"/>
      <c r="S221" s="7"/>
      <c r="T221" s="7"/>
      <c r="U221" s="7"/>
    </row>
    <row r="222" spans="1:21" ht="14.25" customHeight="1">
      <c r="A222" s="137" t="s">
        <v>2357</v>
      </c>
      <c r="B222" s="124">
        <f t="shared" si="6"/>
        <v>8.7333333333333325</v>
      </c>
      <c r="C222" s="7" t="s">
        <v>1975</v>
      </c>
      <c r="D222" s="187">
        <f>10</f>
        <v>10</v>
      </c>
      <c r="E222" s="7">
        <v>0.31</v>
      </c>
    </row>
    <row r="223" spans="1:21" ht="14.25" customHeight="1">
      <c r="A223" s="137" t="s">
        <v>2358</v>
      </c>
      <c r="B223" s="124">
        <f t="shared" si="6"/>
        <v>8.7333333333333325</v>
      </c>
      <c r="C223" s="7" t="s">
        <v>1973</v>
      </c>
      <c r="D223" s="187">
        <f>10</f>
        <v>10</v>
      </c>
      <c r="E223" s="7">
        <v>0.31</v>
      </c>
      <c r="U223" s="4"/>
    </row>
    <row r="224" spans="1:21" s="4" customFormat="1" ht="14.25" customHeight="1">
      <c r="A224" s="137" t="s">
        <v>2359</v>
      </c>
      <c r="B224" s="124">
        <f t="shared" si="6"/>
        <v>8.7333333333333325</v>
      </c>
      <c r="C224" s="7" t="s">
        <v>1977</v>
      </c>
      <c r="D224" s="187">
        <f>10</f>
        <v>10</v>
      </c>
      <c r="E224" s="7">
        <v>0.31</v>
      </c>
      <c r="F224" s="7"/>
      <c r="G224" s="7"/>
      <c r="H224" s="7"/>
      <c r="I224" s="7"/>
      <c r="J224" s="7"/>
      <c r="K224" s="7"/>
      <c r="L224" s="7"/>
      <c r="M224" s="7"/>
      <c r="N224" s="7"/>
      <c r="O224" s="7"/>
      <c r="P224" s="7"/>
      <c r="Q224" s="7"/>
      <c r="R224" s="7"/>
      <c r="S224" s="7"/>
      <c r="T224" s="7"/>
      <c r="U224" s="7"/>
    </row>
    <row r="225" spans="1:21" ht="14.25" customHeight="1">
      <c r="A225" s="137" t="s">
        <v>2360</v>
      </c>
      <c r="B225" s="124">
        <f t="shared" si="6"/>
        <v>8.7333333333333325</v>
      </c>
      <c r="C225" s="135" t="s">
        <v>3332</v>
      </c>
      <c r="D225" s="187">
        <f>10</f>
        <v>10</v>
      </c>
      <c r="E225" s="7">
        <v>0.31</v>
      </c>
    </row>
    <row r="226" spans="1:21" ht="14.25" customHeight="1">
      <c r="A226" s="137" t="s">
        <v>2361</v>
      </c>
      <c r="B226" s="9">
        <f t="shared" ref="B226:B236" si="7">189/10</f>
        <v>18.899999999999999</v>
      </c>
      <c r="C226" s="7" t="s">
        <v>1978</v>
      </c>
      <c r="D226" s="187">
        <f>10</f>
        <v>10</v>
      </c>
      <c r="E226" s="7">
        <v>0.49</v>
      </c>
      <c r="U226" s="4"/>
    </row>
    <row r="227" spans="1:21" ht="14.25" customHeight="1">
      <c r="A227" s="137" t="s">
        <v>2362</v>
      </c>
      <c r="B227" s="9">
        <f t="shared" si="7"/>
        <v>18.899999999999999</v>
      </c>
      <c r="C227" s="7" t="s">
        <v>1979</v>
      </c>
      <c r="D227" s="187">
        <f>10</f>
        <v>10</v>
      </c>
      <c r="E227" s="7">
        <v>0.49</v>
      </c>
    </row>
    <row r="228" spans="1:21" ht="14.25" customHeight="1">
      <c r="A228" s="137" t="s">
        <v>2363</v>
      </c>
      <c r="B228" s="9">
        <f t="shared" si="7"/>
        <v>18.899999999999999</v>
      </c>
      <c r="C228" s="7" t="s">
        <v>1980</v>
      </c>
      <c r="D228" s="187">
        <f>10</f>
        <v>10</v>
      </c>
      <c r="E228" s="7">
        <v>0.49</v>
      </c>
    </row>
    <row r="229" spans="1:21" s="4" customFormat="1" ht="14.25" customHeight="1">
      <c r="A229" s="137" t="s">
        <v>2364</v>
      </c>
      <c r="B229" s="9">
        <f t="shared" si="7"/>
        <v>18.899999999999999</v>
      </c>
      <c r="C229" s="7" t="s">
        <v>1981</v>
      </c>
      <c r="D229" s="187">
        <f>10</f>
        <v>10</v>
      </c>
      <c r="E229" s="7">
        <v>0.49</v>
      </c>
      <c r="F229" s="7"/>
      <c r="G229" s="7"/>
      <c r="H229" s="7"/>
      <c r="I229" s="7"/>
      <c r="J229" s="7"/>
      <c r="K229" s="7"/>
      <c r="L229" s="7"/>
      <c r="M229" s="7"/>
      <c r="N229" s="7"/>
      <c r="O229" s="7"/>
      <c r="P229" s="7"/>
      <c r="Q229" s="7"/>
      <c r="R229" s="7"/>
      <c r="S229" s="7"/>
      <c r="T229" s="7"/>
      <c r="U229" s="7"/>
    </row>
    <row r="230" spans="1:21" ht="14.25" customHeight="1">
      <c r="A230" s="137" t="s">
        <v>2365</v>
      </c>
      <c r="B230" s="9">
        <f t="shared" si="7"/>
        <v>18.899999999999999</v>
      </c>
      <c r="C230" s="135" t="s">
        <v>3327</v>
      </c>
      <c r="D230" s="187">
        <f>10</f>
        <v>10</v>
      </c>
      <c r="E230" s="7">
        <v>0.49</v>
      </c>
    </row>
    <row r="231" spans="1:21" ht="14.25" customHeight="1">
      <c r="A231" s="137" t="s">
        <v>2366</v>
      </c>
      <c r="B231" s="9">
        <f t="shared" si="7"/>
        <v>18.899999999999999</v>
      </c>
      <c r="C231" s="7" t="s">
        <v>1982</v>
      </c>
      <c r="D231" s="187">
        <f>10</f>
        <v>10</v>
      </c>
      <c r="E231" s="7">
        <v>0.49</v>
      </c>
    </row>
    <row r="232" spans="1:21" ht="14.25" customHeight="1">
      <c r="A232" s="137" t="s">
        <v>2367</v>
      </c>
      <c r="B232" s="9">
        <f t="shared" si="7"/>
        <v>18.899999999999999</v>
      </c>
      <c r="C232" s="7" t="s">
        <v>1983</v>
      </c>
      <c r="D232" s="187">
        <f>10</f>
        <v>10</v>
      </c>
      <c r="E232" s="7">
        <v>0.49</v>
      </c>
    </row>
    <row r="233" spans="1:21" ht="14.25" customHeight="1">
      <c r="A233" s="137" t="s">
        <v>2368</v>
      </c>
      <c r="B233" s="9">
        <f t="shared" si="7"/>
        <v>18.899999999999999</v>
      </c>
      <c r="C233" s="7" t="s">
        <v>1984</v>
      </c>
      <c r="D233" s="187">
        <f>10</f>
        <v>10</v>
      </c>
      <c r="E233" s="7">
        <v>0.49</v>
      </c>
    </row>
    <row r="234" spans="1:21" ht="14.25" customHeight="1">
      <c r="A234" s="137" t="s">
        <v>2369</v>
      </c>
      <c r="B234" s="9">
        <f t="shared" si="7"/>
        <v>18.899999999999999</v>
      </c>
      <c r="C234" s="7" t="s">
        <v>1985</v>
      </c>
      <c r="D234" s="187">
        <f>10</f>
        <v>10</v>
      </c>
      <c r="E234" s="7">
        <v>0.49</v>
      </c>
    </row>
    <row r="235" spans="1:21" ht="14.25" customHeight="1">
      <c r="A235" s="137" t="s">
        <v>2370</v>
      </c>
      <c r="B235" s="9">
        <f t="shared" si="7"/>
        <v>18.899999999999999</v>
      </c>
      <c r="C235" s="7" t="s">
        <v>1986</v>
      </c>
      <c r="D235" s="187">
        <f>10</f>
        <v>10</v>
      </c>
      <c r="E235" s="7">
        <v>0.49</v>
      </c>
    </row>
    <row r="236" spans="1:21" ht="14.25" customHeight="1">
      <c r="A236" s="137" t="s">
        <v>2371</v>
      </c>
      <c r="B236" s="9">
        <f t="shared" si="7"/>
        <v>18.899999999999999</v>
      </c>
      <c r="C236" s="135" t="s">
        <v>3333</v>
      </c>
      <c r="D236" s="187">
        <f>10</f>
        <v>10</v>
      </c>
      <c r="E236" s="7">
        <v>0.49</v>
      </c>
    </row>
    <row r="237" spans="1:21" ht="14.25" customHeight="1">
      <c r="A237" s="137" t="s">
        <v>2372</v>
      </c>
      <c r="B237" s="124">
        <f t="shared" ref="B237:B247" si="8">343.2/20</f>
        <v>17.16</v>
      </c>
      <c r="C237" s="7" t="s">
        <v>1987</v>
      </c>
      <c r="D237" s="187">
        <f>10</f>
        <v>10</v>
      </c>
      <c r="E237" s="7">
        <v>0.57999999999999996</v>
      </c>
    </row>
    <row r="238" spans="1:21" ht="14.25" customHeight="1">
      <c r="A238" s="137" t="s">
        <v>2373</v>
      </c>
      <c r="B238" s="124">
        <f t="shared" si="8"/>
        <v>17.16</v>
      </c>
      <c r="C238" s="7" t="s">
        <v>1988</v>
      </c>
      <c r="D238" s="187">
        <f>10</f>
        <v>10</v>
      </c>
      <c r="E238" s="7">
        <v>0.57999999999999996</v>
      </c>
    </row>
    <row r="239" spans="1:21" ht="14.25" customHeight="1">
      <c r="A239" s="137" t="s">
        <v>2374</v>
      </c>
      <c r="B239" s="124">
        <f t="shared" si="8"/>
        <v>17.16</v>
      </c>
      <c r="C239" s="7" t="s">
        <v>1989</v>
      </c>
      <c r="D239" s="187">
        <f>10</f>
        <v>10</v>
      </c>
      <c r="E239" s="7">
        <v>0.57999999999999996</v>
      </c>
    </row>
    <row r="240" spans="1:21" ht="14.25" customHeight="1">
      <c r="A240" s="137" t="s">
        <v>2375</v>
      </c>
      <c r="B240" s="124">
        <f t="shared" si="8"/>
        <v>17.16</v>
      </c>
      <c r="C240" s="7" t="s">
        <v>1990</v>
      </c>
      <c r="D240" s="187">
        <f>10</f>
        <v>10</v>
      </c>
      <c r="E240" s="7">
        <v>0.57999999999999996</v>
      </c>
    </row>
    <row r="241" spans="1:21" ht="14.25" customHeight="1">
      <c r="A241" s="137" t="s">
        <v>2376</v>
      </c>
      <c r="B241" s="124">
        <f t="shared" si="8"/>
        <v>17.16</v>
      </c>
      <c r="C241" s="135" t="s">
        <v>3328</v>
      </c>
      <c r="D241" s="187">
        <f>10</f>
        <v>10</v>
      </c>
      <c r="E241" s="7">
        <v>0.57999999999999996</v>
      </c>
    </row>
    <row r="242" spans="1:21" ht="14.25" customHeight="1">
      <c r="A242" s="137" t="s">
        <v>2377</v>
      </c>
      <c r="B242" s="124">
        <f t="shared" si="8"/>
        <v>17.16</v>
      </c>
      <c r="C242" s="7" t="s">
        <v>1991</v>
      </c>
      <c r="D242" s="187">
        <f>10</f>
        <v>10</v>
      </c>
      <c r="E242" s="7">
        <v>0.57999999999999996</v>
      </c>
    </row>
    <row r="243" spans="1:21" ht="14.25" customHeight="1">
      <c r="A243" s="137" t="s">
        <v>2378</v>
      </c>
      <c r="B243" s="124">
        <f t="shared" si="8"/>
        <v>17.16</v>
      </c>
      <c r="C243" s="7" t="s">
        <v>1992</v>
      </c>
      <c r="D243" s="187">
        <f>10</f>
        <v>10</v>
      </c>
      <c r="E243" s="7">
        <v>0.57999999999999996</v>
      </c>
    </row>
    <row r="244" spans="1:21" ht="14.25" customHeight="1">
      <c r="A244" s="137" t="s">
        <v>2379</v>
      </c>
      <c r="B244" s="124">
        <f t="shared" si="8"/>
        <v>17.16</v>
      </c>
      <c r="C244" s="7" t="s">
        <v>1993</v>
      </c>
      <c r="D244" s="187">
        <f>10</f>
        <v>10</v>
      </c>
      <c r="E244" s="7">
        <v>0.57999999999999996</v>
      </c>
    </row>
    <row r="245" spans="1:21" s="4" customFormat="1" ht="14.25" customHeight="1">
      <c r="A245" s="137" t="s">
        <v>2380</v>
      </c>
      <c r="B245" s="124">
        <f t="shared" si="8"/>
        <v>17.16</v>
      </c>
      <c r="C245" s="7" t="s">
        <v>1994</v>
      </c>
      <c r="D245" s="187">
        <f>10</f>
        <v>10</v>
      </c>
      <c r="E245" s="7">
        <v>0.57999999999999996</v>
      </c>
      <c r="F245" s="7"/>
      <c r="G245" s="7"/>
      <c r="H245" s="7"/>
      <c r="I245" s="7"/>
      <c r="J245" s="7"/>
      <c r="K245" s="7"/>
      <c r="L245" s="7"/>
      <c r="M245" s="7"/>
      <c r="N245" s="7"/>
      <c r="O245" s="7"/>
      <c r="P245" s="7"/>
      <c r="Q245" s="7"/>
      <c r="R245" s="7"/>
      <c r="S245" s="7"/>
      <c r="T245" s="7"/>
      <c r="U245" s="7"/>
    </row>
    <row r="246" spans="1:21" ht="14.25" customHeight="1">
      <c r="A246" s="137" t="s">
        <v>2381</v>
      </c>
      <c r="B246" s="124">
        <f t="shared" si="8"/>
        <v>17.16</v>
      </c>
      <c r="C246" s="7" t="s">
        <v>1995</v>
      </c>
      <c r="D246" s="187">
        <f>10</f>
        <v>10</v>
      </c>
      <c r="E246" s="7">
        <v>0.57999999999999996</v>
      </c>
    </row>
    <row r="247" spans="1:21" ht="14.25" customHeight="1">
      <c r="A247" s="137" t="s">
        <v>2382</v>
      </c>
      <c r="B247" s="124">
        <f t="shared" si="8"/>
        <v>17.16</v>
      </c>
      <c r="C247" s="135" t="s">
        <v>3334</v>
      </c>
      <c r="D247" s="187">
        <f>10</f>
        <v>10</v>
      </c>
      <c r="E247" s="7">
        <v>0.57999999999999996</v>
      </c>
    </row>
    <row r="248" spans="1:21" s="4" customFormat="1" ht="14.25" customHeight="1">
      <c r="A248" s="137" t="s">
        <v>2383</v>
      </c>
      <c r="B248" s="124">
        <f t="shared" ref="B248:B258" si="9">298.9/10</f>
        <v>29.889999999999997</v>
      </c>
      <c r="C248" s="7" t="s">
        <v>1996</v>
      </c>
      <c r="D248" s="187">
        <f>10</f>
        <v>10</v>
      </c>
      <c r="E248" s="7">
        <v>0.96</v>
      </c>
      <c r="F248" s="7"/>
      <c r="G248" s="7"/>
      <c r="H248" s="7"/>
      <c r="I248" s="7"/>
      <c r="J248" s="7"/>
      <c r="K248" s="7"/>
      <c r="L248" s="7"/>
      <c r="M248" s="7"/>
      <c r="N248" s="7"/>
      <c r="O248" s="7"/>
      <c r="P248" s="7"/>
      <c r="Q248" s="7"/>
      <c r="R248" s="7"/>
      <c r="S248" s="7"/>
      <c r="T248" s="7"/>
      <c r="U248" s="7"/>
    </row>
    <row r="249" spans="1:21" ht="14.25" customHeight="1">
      <c r="A249" s="137" t="s">
        <v>2384</v>
      </c>
      <c r="B249" s="124">
        <f t="shared" si="9"/>
        <v>29.889999999999997</v>
      </c>
      <c r="C249" s="7" t="s">
        <v>1997</v>
      </c>
      <c r="D249" s="187">
        <f>10</f>
        <v>10</v>
      </c>
      <c r="E249" s="7">
        <v>0.96</v>
      </c>
    </row>
    <row r="250" spans="1:21" ht="14.25" customHeight="1">
      <c r="A250" s="137" t="s">
        <v>2385</v>
      </c>
      <c r="B250" s="124">
        <f t="shared" si="9"/>
        <v>29.889999999999997</v>
      </c>
      <c r="C250" s="7" t="s">
        <v>1998</v>
      </c>
      <c r="D250" s="187">
        <f>10</f>
        <v>10</v>
      </c>
      <c r="E250" s="7">
        <v>0.96</v>
      </c>
    </row>
    <row r="251" spans="1:21" s="4" customFormat="1" ht="14.25" customHeight="1">
      <c r="A251" s="137" t="s">
        <v>2386</v>
      </c>
      <c r="B251" s="124">
        <f t="shared" si="9"/>
        <v>29.889999999999997</v>
      </c>
      <c r="C251" s="7" t="s">
        <v>1999</v>
      </c>
      <c r="D251" s="187">
        <f>10</f>
        <v>10</v>
      </c>
      <c r="E251" s="7">
        <v>0.96</v>
      </c>
      <c r="F251" s="7"/>
      <c r="G251" s="7"/>
      <c r="H251" s="7"/>
      <c r="I251" s="7"/>
      <c r="J251" s="7"/>
      <c r="K251" s="7"/>
      <c r="L251" s="7"/>
      <c r="M251" s="7"/>
      <c r="N251" s="7"/>
      <c r="O251" s="7"/>
      <c r="P251" s="7"/>
      <c r="Q251" s="7"/>
      <c r="R251" s="7"/>
      <c r="S251" s="7"/>
      <c r="T251" s="7"/>
      <c r="U251" s="7"/>
    </row>
    <row r="252" spans="1:21" ht="14.25" customHeight="1">
      <c r="A252" s="137" t="s">
        <v>2387</v>
      </c>
      <c r="B252" s="124">
        <f t="shared" si="9"/>
        <v>29.889999999999997</v>
      </c>
      <c r="C252" s="135" t="s">
        <v>3329</v>
      </c>
      <c r="D252" s="187">
        <f>10</f>
        <v>10</v>
      </c>
      <c r="E252" s="7">
        <v>0.96</v>
      </c>
    </row>
    <row r="253" spans="1:21" ht="14.25" customHeight="1">
      <c r="A253" s="137" t="s">
        <v>2388</v>
      </c>
      <c r="B253" s="124">
        <f t="shared" si="9"/>
        <v>29.889999999999997</v>
      </c>
      <c r="C253" s="7" t="s">
        <v>2000</v>
      </c>
      <c r="D253" s="187">
        <f>10</f>
        <v>10</v>
      </c>
      <c r="E253" s="7">
        <v>0.96</v>
      </c>
    </row>
    <row r="254" spans="1:21" ht="14.25" customHeight="1">
      <c r="A254" s="137" t="s">
        <v>2389</v>
      </c>
      <c r="B254" s="124">
        <f t="shared" si="9"/>
        <v>29.889999999999997</v>
      </c>
      <c r="C254" s="7" t="s">
        <v>2001</v>
      </c>
      <c r="D254" s="187">
        <f>10</f>
        <v>10</v>
      </c>
      <c r="E254" s="7">
        <v>0.96</v>
      </c>
    </row>
    <row r="255" spans="1:21" ht="14.25" customHeight="1">
      <c r="A255" s="137" t="s">
        <v>2390</v>
      </c>
      <c r="B255" s="124">
        <f t="shared" si="9"/>
        <v>29.889999999999997</v>
      </c>
      <c r="C255" s="7" t="s">
        <v>2002</v>
      </c>
      <c r="D255" s="187">
        <f>10</f>
        <v>10</v>
      </c>
      <c r="E255" s="7">
        <v>0.96</v>
      </c>
    </row>
    <row r="256" spans="1:21" ht="14.25" customHeight="1">
      <c r="A256" s="137" t="s">
        <v>2391</v>
      </c>
      <c r="B256" s="124">
        <f t="shared" si="9"/>
        <v>29.889999999999997</v>
      </c>
      <c r="C256" s="7" t="s">
        <v>2003</v>
      </c>
      <c r="D256" s="187">
        <f>10</f>
        <v>10</v>
      </c>
      <c r="E256" s="7">
        <v>0.96</v>
      </c>
    </row>
    <row r="257" spans="1:5" ht="14.25" customHeight="1">
      <c r="A257" s="137" t="s">
        <v>2392</v>
      </c>
      <c r="B257" s="124">
        <f t="shared" si="9"/>
        <v>29.889999999999997</v>
      </c>
      <c r="C257" s="7" t="s">
        <v>2004</v>
      </c>
      <c r="D257" s="187">
        <f>10</f>
        <v>10</v>
      </c>
      <c r="E257" s="7">
        <v>0.96</v>
      </c>
    </row>
    <row r="258" spans="1:5" ht="14.25" customHeight="1">
      <c r="A258" s="137" t="s">
        <v>2393</v>
      </c>
      <c r="B258" s="124">
        <f t="shared" si="9"/>
        <v>29.889999999999997</v>
      </c>
      <c r="C258" s="135" t="s">
        <v>3335</v>
      </c>
      <c r="D258" s="187">
        <f>10</f>
        <v>10</v>
      </c>
      <c r="E258" s="7">
        <v>0.96</v>
      </c>
    </row>
    <row r="259" spans="1:5" ht="14.25" customHeight="1">
      <c r="A259" s="137" t="s">
        <v>2394</v>
      </c>
      <c r="B259" s="124">
        <f t="shared" ref="B259:B269" si="10">332.7/10</f>
        <v>33.269999999999996</v>
      </c>
      <c r="C259" s="7" t="s">
        <v>2005</v>
      </c>
      <c r="D259" s="187">
        <f>10</f>
        <v>10</v>
      </c>
      <c r="E259" s="7">
        <v>1.2</v>
      </c>
    </row>
    <row r="260" spans="1:5" ht="14.25" customHeight="1">
      <c r="A260" s="137" t="s">
        <v>2395</v>
      </c>
      <c r="B260" s="124">
        <f t="shared" si="10"/>
        <v>33.269999999999996</v>
      </c>
      <c r="C260" s="7" t="s">
        <v>2006</v>
      </c>
      <c r="D260" s="187">
        <f>10</f>
        <v>10</v>
      </c>
      <c r="E260" s="7">
        <v>1.2</v>
      </c>
    </row>
    <row r="261" spans="1:5" ht="14.25" customHeight="1">
      <c r="A261" s="137" t="s">
        <v>2396</v>
      </c>
      <c r="B261" s="124">
        <f t="shared" si="10"/>
        <v>33.269999999999996</v>
      </c>
      <c r="C261" s="7" t="s">
        <v>2007</v>
      </c>
      <c r="D261" s="187">
        <f>10</f>
        <v>10</v>
      </c>
      <c r="E261" s="7">
        <v>1.2</v>
      </c>
    </row>
    <row r="262" spans="1:5" ht="14.25" customHeight="1">
      <c r="A262" s="137" t="s">
        <v>2397</v>
      </c>
      <c r="B262" s="124">
        <f t="shared" si="10"/>
        <v>33.269999999999996</v>
      </c>
      <c r="C262" s="7" t="s">
        <v>2008</v>
      </c>
      <c r="D262" s="187">
        <f>10</f>
        <v>10</v>
      </c>
      <c r="E262" s="7">
        <v>1.2</v>
      </c>
    </row>
    <row r="263" spans="1:5" ht="14.25" customHeight="1">
      <c r="A263" s="137" t="s">
        <v>2398</v>
      </c>
      <c r="B263" s="124">
        <f t="shared" si="10"/>
        <v>33.269999999999996</v>
      </c>
      <c r="C263" s="135" t="s">
        <v>3330</v>
      </c>
      <c r="D263" s="187">
        <f>10</f>
        <v>10</v>
      </c>
      <c r="E263" s="7">
        <v>1.2</v>
      </c>
    </row>
    <row r="264" spans="1:5" ht="14.25" customHeight="1">
      <c r="A264" s="137" t="s">
        <v>2399</v>
      </c>
      <c r="B264" s="124">
        <f t="shared" si="10"/>
        <v>33.269999999999996</v>
      </c>
      <c r="C264" s="7" t="s">
        <v>2009</v>
      </c>
      <c r="D264" s="187">
        <f>10</f>
        <v>10</v>
      </c>
      <c r="E264" s="7">
        <v>1.2</v>
      </c>
    </row>
    <row r="265" spans="1:5" ht="14.25" customHeight="1">
      <c r="A265" s="137" t="s">
        <v>2400</v>
      </c>
      <c r="B265" s="124">
        <f t="shared" si="10"/>
        <v>33.269999999999996</v>
      </c>
      <c r="C265" s="7" t="s">
        <v>2010</v>
      </c>
      <c r="D265" s="187">
        <f>10</f>
        <v>10</v>
      </c>
      <c r="E265" s="7">
        <v>1.2</v>
      </c>
    </row>
    <row r="266" spans="1:5" ht="14.25" customHeight="1">
      <c r="A266" s="137" t="s">
        <v>2401</v>
      </c>
      <c r="B266" s="124">
        <f t="shared" si="10"/>
        <v>33.269999999999996</v>
      </c>
      <c r="C266" s="7" t="s">
        <v>2011</v>
      </c>
      <c r="D266" s="187">
        <f>10</f>
        <v>10</v>
      </c>
      <c r="E266" s="7">
        <v>1.2</v>
      </c>
    </row>
    <row r="267" spans="1:5" ht="14.25" customHeight="1">
      <c r="A267" s="137" t="s">
        <v>2402</v>
      </c>
      <c r="B267" s="124">
        <f t="shared" si="10"/>
        <v>33.269999999999996</v>
      </c>
      <c r="C267" s="7" t="s">
        <v>2012</v>
      </c>
      <c r="D267" s="187">
        <f>10</f>
        <v>10</v>
      </c>
      <c r="E267" s="7">
        <v>1.2</v>
      </c>
    </row>
    <row r="268" spans="1:5" ht="14.25" customHeight="1">
      <c r="A268" s="137" t="s">
        <v>2403</v>
      </c>
      <c r="B268" s="124">
        <f t="shared" si="10"/>
        <v>33.269999999999996</v>
      </c>
      <c r="C268" s="7" t="s">
        <v>2013</v>
      </c>
      <c r="D268" s="187">
        <f>10</f>
        <v>10</v>
      </c>
      <c r="E268" s="7">
        <v>1.2</v>
      </c>
    </row>
    <row r="269" spans="1:5" ht="14.25" customHeight="1">
      <c r="A269" s="137" t="s">
        <v>2404</v>
      </c>
      <c r="B269" s="124">
        <f t="shared" si="10"/>
        <v>33.269999999999996</v>
      </c>
      <c r="C269" s="135" t="s">
        <v>3336</v>
      </c>
      <c r="D269" s="187">
        <f>10</f>
        <v>10</v>
      </c>
      <c r="E269" s="7">
        <v>1.2</v>
      </c>
    </row>
    <row r="270" spans="1:5" ht="14.25" customHeight="1">
      <c r="A270" s="137" t="s">
        <v>2405</v>
      </c>
      <c r="B270" s="124">
        <f t="shared" ref="B270:B280" si="11">363.3/5</f>
        <v>72.66</v>
      </c>
      <c r="C270" s="7" t="s">
        <v>2014</v>
      </c>
      <c r="D270" s="187">
        <f>5</f>
        <v>5</v>
      </c>
      <c r="E270" s="7">
        <v>2.4</v>
      </c>
    </row>
    <row r="271" spans="1:5" ht="14.25" customHeight="1">
      <c r="A271" s="137" t="s">
        <v>2406</v>
      </c>
      <c r="B271" s="124">
        <f t="shared" si="11"/>
        <v>72.66</v>
      </c>
      <c r="C271" s="7" t="s">
        <v>2015</v>
      </c>
      <c r="D271" s="187">
        <f>5</f>
        <v>5</v>
      </c>
      <c r="E271" s="7">
        <v>2.4</v>
      </c>
    </row>
    <row r="272" spans="1:5" ht="14.25" customHeight="1">
      <c r="A272" s="137" t="s">
        <v>2407</v>
      </c>
      <c r="B272" s="124">
        <f t="shared" si="11"/>
        <v>72.66</v>
      </c>
      <c r="C272" s="7" t="s">
        <v>2016</v>
      </c>
      <c r="D272" s="187">
        <f>5</f>
        <v>5</v>
      </c>
      <c r="E272" s="7">
        <v>2.4</v>
      </c>
    </row>
    <row r="273" spans="1:21" ht="14.25" customHeight="1">
      <c r="A273" s="137" t="s">
        <v>2408</v>
      </c>
      <c r="B273" s="124">
        <f t="shared" si="11"/>
        <v>72.66</v>
      </c>
      <c r="C273" s="7" t="s">
        <v>2017</v>
      </c>
      <c r="D273" s="187">
        <f>5</f>
        <v>5</v>
      </c>
      <c r="E273" s="7">
        <v>2.4</v>
      </c>
    </row>
    <row r="274" spans="1:21" ht="14.25" customHeight="1">
      <c r="A274" s="137" t="s">
        <v>2409</v>
      </c>
      <c r="B274" s="124">
        <f t="shared" si="11"/>
        <v>72.66</v>
      </c>
      <c r="C274" s="135" t="s">
        <v>3331</v>
      </c>
      <c r="D274" s="187">
        <f>5</f>
        <v>5</v>
      </c>
      <c r="E274" s="7">
        <v>2.4</v>
      </c>
    </row>
    <row r="275" spans="1:21" ht="14.25" customHeight="1">
      <c r="A275" s="137" t="s">
        <v>2410</v>
      </c>
      <c r="B275" s="124">
        <f t="shared" si="11"/>
        <v>72.66</v>
      </c>
      <c r="C275" s="7" t="s">
        <v>2018</v>
      </c>
      <c r="D275" s="187">
        <f>5</f>
        <v>5</v>
      </c>
      <c r="E275" s="7">
        <v>2.4</v>
      </c>
      <c r="U275" s="4"/>
    </row>
    <row r="276" spans="1:21" ht="14.25" customHeight="1">
      <c r="A276" s="137" t="s">
        <v>2411</v>
      </c>
      <c r="B276" s="124">
        <f t="shared" si="11"/>
        <v>72.66</v>
      </c>
      <c r="C276" s="7" t="s">
        <v>2019</v>
      </c>
      <c r="D276" s="187">
        <f>5</f>
        <v>5</v>
      </c>
      <c r="E276" s="7">
        <v>2.4</v>
      </c>
    </row>
    <row r="277" spans="1:21" ht="14.25" customHeight="1">
      <c r="A277" s="137" t="s">
        <v>2412</v>
      </c>
      <c r="B277" s="124">
        <f t="shared" si="11"/>
        <v>72.66</v>
      </c>
      <c r="C277" s="7" t="s">
        <v>2020</v>
      </c>
      <c r="D277" s="187">
        <f>5</f>
        <v>5</v>
      </c>
      <c r="E277" s="7">
        <v>2.4</v>
      </c>
    </row>
    <row r="278" spans="1:21" ht="14.25" customHeight="1">
      <c r="A278" s="137" t="s">
        <v>2413</v>
      </c>
      <c r="B278" s="124">
        <f t="shared" si="11"/>
        <v>72.66</v>
      </c>
      <c r="C278" s="7" t="s">
        <v>2021</v>
      </c>
      <c r="D278" s="187">
        <f>5</f>
        <v>5</v>
      </c>
      <c r="E278" s="7">
        <v>2.4</v>
      </c>
    </row>
    <row r="279" spans="1:21" ht="14.25" customHeight="1">
      <c r="A279" s="137" t="s">
        <v>2414</v>
      </c>
      <c r="B279" s="124">
        <f t="shared" si="11"/>
        <v>72.66</v>
      </c>
      <c r="C279" s="7" t="s">
        <v>2022</v>
      </c>
      <c r="D279" s="187">
        <f>5</f>
        <v>5</v>
      </c>
      <c r="E279" s="7">
        <v>2.4</v>
      </c>
    </row>
    <row r="280" spans="1:21" ht="14.25" customHeight="1">
      <c r="A280" s="137" t="s">
        <v>2415</v>
      </c>
      <c r="B280" s="124">
        <f t="shared" si="11"/>
        <v>72.66</v>
      </c>
      <c r="C280" s="135" t="s">
        <v>3337</v>
      </c>
      <c r="D280" s="187">
        <f>5</f>
        <v>5</v>
      </c>
      <c r="E280" s="7">
        <v>2.4</v>
      </c>
    </row>
    <row r="281" spans="1:21" ht="14.25" customHeight="1">
      <c r="A281" s="128" t="s">
        <v>3017</v>
      </c>
      <c r="B281" s="9">
        <v>13</v>
      </c>
      <c r="C281" s="1" t="s">
        <v>3359</v>
      </c>
      <c r="D281" s="188">
        <v>3</v>
      </c>
      <c r="E281" s="6">
        <v>2.2000000000000002</v>
      </c>
      <c r="U281" s="4"/>
    </row>
    <row r="282" spans="1:21" ht="14.25" customHeight="1">
      <c r="A282" s="128" t="s">
        <v>3018</v>
      </c>
      <c r="B282" s="9">
        <v>13</v>
      </c>
      <c r="C282" s="1" t="s">
        <v>3360</v>
      </c>
      <c r="D282" s="188">
        <v>3</v>
      </c>
      <c r="E282" s="6">
        <v>2.2000000000000002</v>
      </c>
    </row>
    <row r="283" spans="1:21" ht="14.25" customHeight="1">
      <c r="A283" s="128" t="s">
        <v>3019</v>
      </c>
      <c r="B283" s="9">
        <v>13</v>
      </c>
      <c r="C283" s="1" t="s">
        <v>3361</v>
      </c>
      <c r="D283" s="188">
        <v>3</v>
      </c>
      <c r="E283" s="6">
        <v>2.2000000000000002</v>
      </c>
    </row>
    <row r="284" spans="1:21" ht="14.25" customHeight="1">
      <c r="A284" s="128" t="s">
        <v>3020</v>
      </c>
      <c r="B284" s="9">
        <v>13</v>
      </c>
      <c r="C284" s="1" t="s">
        <v>3362</v>
      </c>
      <c r="D284" s="188">
        <v>3</v>
      </c>
      <c r="E284" s="6">
        <v>2.2000000000000002</v>
      </c>
    </row>
    <row r="285" spans="1:21" ht="14.25" customHeight="1">
      <c r="A285" s="128" t="s">
        <v>3021</v>
      </c>
      <c r="B285" s="9">
        <v>13</v>
      </c>
      <c r="C285" s="1" t="s">
        <v>3363</v>
      </c>
      <c r="D285" s="188">
        <v>3</v>
      </c>
      <c r="E285" s="6">
        <v>2.2000000000000002</v>
      </c>
    </row>
    <row r="286" spans="1:21" ht="14.25" customHeight="1">
      <c r="A286" s="128" t="s">
        <v>3022</v>
      </c>
      <c r="B286" s="9">
        <v>13</v>
      </c>
      <c r="C286" s="1" t="s">
        <v>3364</v>
      </c>
      <c r="D286" s="188">
        <v>3</v>
      </c>
      <c r="E286" s="6">
        <v>2.2000000000000002</v>
      </c>
    </row>
    <row r="287" spans="1:21" ht="14.25" customHeight="1">
      <c r="A287" s="128" t="s">
        <v>3023</v>
      </c>
      <c r="B287" s="9">
        <v>13</v>
      </c>
      <c r="C287" s="1" t="s">
        <v>3365</v>
      </c>
      <c r="D287" s="188">
        <v>3</v>
      </c>
      <c r="E287" s="6">
        <v>2.2000000000000002</v>
      </c>
    </row>
    <row r="288" spans="1:21" ht="14.25" customHeight="1">
      <c r="A288" s="128" t="s">
        <v>3024</v>
      </c>
      <c r="B288" s="9">
        <v>13</v>
      </c>
      <c r="C288" s="1" t="s">
        <v>3366</v>
      </c>
      <c r="D288" s="188">
        <v>3</v>
      </c>
      <c r="E288" s="6">
        <v>2.2000000000000002</v>
      </c>
    </row>
    <row r="289" spans="1:21" ht="14.25" customHeight="1">
      <c r="A289" s="128" t="s">
        <v>3025</v>
      </c>
      <c r="B289" s="9">
        <v>13</v>
      </c>
      <c r="C289" s="1" t="s">
        <v>3367</v>
      </c>
      <c r="D289" s="188">
        <v>3</v>
      </c>
      <c r="E289" s="6">
        <v>2.2000000000000002</v>
      </c>
    </row>
    <row r="290" spans="1:21" ht="14.25" customHeight="1">
      <c r="A290" s="128" t="s">
        <v>3026</v>
      </c>
      <c r="B290" s="9">
        <v>13</v>
      </c>
      <c r="C290" s="1" t="s">
        <v>3368</v>
      </c>
      <c r="D290" s="188">
        <v>3</v>
      </c>
      <c r="E290" s="6">
        <v>2.2000000000000002</v>
      </c>
    </row>
    <row r="291" spans="1:21" ht="14.25" customHeight="1">
      <c r="A291" s="128" t="s">
        <v>3027</v>
      </c>
      <c r="B291" s="9">
        <v>13</v>
      </c>
      <c r="C291" s="138" t="s">
        <v>3369</v>
      </c>
      <c r="D291" s="188">
        <v>3</v>
      </c>
      <c r="E291" s="6">
        <v>2.2000000000000002</v>
      </c>
    </row>
    <row r="292" spans="1:21" ht="14.25" customHeight="1">
      <c r="A292" s="128" t="s">
        <v>3028</v>
      </c>
      <c r="B292" s="9">
        <v>13</v>
      </c>
      <c r="C292" s="1" t="s">
        <v>3370</v>
      </c>
      <c r="D292" s="188">
        <v>3</v>
      </c>
      <c r="E292" s="6">
        <v>2.2000000000000002</v>
      </c>
    </row>
    <row r="293" spans="1:21" ht="14.25" customHeight="1">
      <c r="A293" s="128" t="s">
        <v>3029</v>
      </c>
      <c r="B293" s="9">
        <v>13</v>
      </c>
      <c r="C293" s="1" t="s">
        <v>3371</v>
      </c>
      <c r="D293" s="188">
        <v>3</v>
      </c>
      <c r="E293" s="6">
        <v>2.2000000000000002</v>
      </c>
    </row>
    <row r="294" spans="1:21" ht="14.25" customHeight="1">
      <c r="A294" s="128" t="s">
        <v>3030</v>
      </c>
      <c r="B294" s="9">
        <v>13</v>
      </c>
      <c r="C294" s="1" t="s">
        <v>3372</v>
      </c>
      <c r="D294" s="188">
        <v>3</v>
      </c>
      <c r="E294" s="6">
        <v>2.2000000000000002</v>
      </c>
    </row>
    <row r="295" spans="1:21" ht="14.25" customHeight="1">
      <c r="A295" s="128" t="s">
        <v>3031</v>
      </c>
      <c r="B295" s="9">
        <v>13</v>
      </c>
      <c r="C295" s="1" t="s">
        <v>3373</v>
      </c>
      <c r="D295" s="188">
        <v>3</v>
      </c>
      <c r="E295" s="6">
        <v>2.2000000000000002</v>
      </c>
    </row>
    <row r="296" spans="1:21" ht="14.25" customHeight="1">
      <c r="A296" s="128" t="s">
        <v>3032</v>
      </c>
      <c r="B296" s="9">
        <v>13</v>
      </c>
      <c r="C296" s="1" t="s">
        <v>3374</v>
      </c>
      <c r="D296" s="188">
        <v>3</v>
      </c>
      <c r="E296" s="6">
        <v>2.2000000000000002</v>
      </c>
    </row>
    <row r="297" spans="1:21" ht="14.25" customHeight="1">
      <c r="A297" s="128" t="s">
        <v>3033</v>
      </c>
      <c r="B297" s="9">
        <v>13</v>
      </c>
      <c r="C297" s="1" t="s">
        <v>3375</v>
      </c>
      <c r="D297" s="188">
        <v>3</v>
      </c>
      <c r="E297" s="6">
        <v>2.2000000000000002</v>
      </c>
      <c r="U297" s="4"/>
    </row>
    <row r="298" spans="1:21" ht="14.25" customHeight="1">
      <c r="A298" s="128" t="s">
        <v>3034</v>
      </c>
      <c r="B298" s="9">
        <v>13</v>
      </c>
      <c r="C298" s="1" t="s">
        <v>3376</v>
      </c>
      <c r="D298" s="188">
        <v>3</v>
      </c>
      <c r="E298" s="6">
        <v>2.2000000000000002</v>
      </c>
    </row>
    <row r="299" spans="1:21" ht="14.25" customHeight="1">
      <c r="A299" s="128" t="s">
        <v>3035</v>
      </c>
      <c r="B299" s="9">
        <v>13</v>
      </c>
      <c r="C299" s="1" t="s">
        <v>3377</v>
      </c>
      <c r="D299" s="188">
        <v>3</v>
      </c>
      <c r="E299" s="6">
        <v>2.2000000000000002</v>
      </c>
    </row>
    <row r="300" spans="1:21" s="4" customFormat="1" ht="14.25" customHeight="1">
      <c r="A300" s="128" t="s">
        <v>3036</v>
      </c>
      <c r="B300" s="9">
        <v>13</v>
      </c>
      <c r="C300" s="1" t="s">
        <v>3378</v>
      </c>
      <c r="D300" s="188">
        <v>3</v>
      </c>
      <c r="E300" s="6">
        <v>2.2000000000000002</v>
      </c>
      <c r="F300" s="7"/>
      <c r="G300" s="7"/>
      <c r="H300" s="7"/>
      <c r="I300" s="7"/>
      <c r="J300" s="7"/>
      <c r="K300" s="7"/>
      <c r="L300" s="7"/>
      <c r="M300" s="7"/>
      <c r="N300" s="7"/>
      <c r="O300" s="7"/>
      <c r="P300" s="7"/>
      <c r="Q300" s="7"/>
      <c r="R300" s="7"/>
      <c r="S300" s="7"/>
      <c r="T300" s="7"/>
      <c r="U300" s="7"/>
    </row>
    <row r="301" spans="1:21" ht="14.25" customHeight="1">
      <c r="A301" s="128" t="s">
        <v>3037</v>
      </c>
      <c r="B301" s="9">
        <v>13</v>
      </c>
      <c r="C301" s="1" t="s">
        <v>3379</v>
      </c>
      <c r="D301" s="188">
        <v>3</v>
      </c>
      <c r="E301" s="6">
        <v>2.2000000000000002</v>
      </c>
    </row>
    <row r="302" spans="1:21" ht="14.25" customHeight="1">
      <c r="A302" s="128" t="s">
        <v>3038</v>
      </c>
      <c r="B302" s="9">
        <v>13</v>
      </c>
      <c r="C302" s="1" t="s">
        <v>3380</v>
      </c>
      <c r="D302" s="188">
        <v>3</v>
      </c>
      <c r="E302" s="6">
        <v>2.2000000000000002</v>
      </c>
      <c r="U302" s="4"/>
    </row>
    <row r="303" spans="1:21" ht="14.25" customHeight="1">
      <c r="A303" s="120" t="s">
        <v>2416</v>
      </c>
      <c r="B303" s="124">
        <f t="shared" ref="B303:B321" si="12">305.7/10</f>
        <v>30.57</v>
      </c>
      <c r="C303" s="7" t="s">
        <v>1240</v>
      </c>
      <c r="D303" s="187">
        <v>10</v>
      </c>
      <c r="E303" s="7">
        <v>0.72</v>
      </c>
    </row>
    <row r="304" spans="1:21" ht="14.25" customHeight="1">
      <c r="A304" s="120" t="s">
        <v>2417</v>
      </c>
      <c r="B304" s="124">
        <f t="shared" si="12"/>
        <v>30.57</v>
      </c>
      <c r="C304" s="7" t="s">
        <v>1241</v>
      </c>
      <c r="D304" s="187">
        <v>10</v>
      </c>
      <c r="E304" s="7">
        <v>0.72</v>
      </c>
    </row>
    <row r="305" spans="1:21" ht="14.25" customHeight="1">
      <c r="A305" s="120" t="s">
        <v>2418</v>
      </c>
      <c r="B305" s="124">
        <f t="shared" si="12"/>
        <v>30.57</v>
      </c>
      <c r="C305" s="7" t="s">
        <v>1253</v>
      </c>
      <c r="D305" s="187">
        <v>10</v>
      </c>
      <c r="E305" s="7">
        <v>0.72</v>
      </c>
    </row>
    <row r="306" spans="1:21" s="4" customFormat="1" ht="14.25" customHeight="1">
      <c r="A306" s="120" t="s">
        <v>2419</v>
      </c>
      <c r="B306" s="124">
        <f t="shared" si="12"/>
        <v>30.57</v>
      </c>
      <c r="C306" s="7" t="s">
        <v>1245</v>
      </c>
      <c r="D306" s="187">
        <v>10</v>
      </c>
      <c r="E306" s="7">
        <v>0.72</v>
      </c>
      <c r="F306" s="7"/>
      <c r="G306" s="7"/>
      <c r="H306" s="7"/>
      <c r="I306" s="7"/>
      <c r="J306" s="7"/>
      <c r="K306" s="7"/>
      <c r="L306" s="7"/>
      <c r="M306" s="7"/>
      <c r="N306" s="7"/>
      <c r="O306" s="7"/>
      <c r="P306" s="7"/>
      <c r="Q306" s="7"/>
      <c r="R306" s="7"/>
      <c r="S306" s="7"/>
      <c r="T306" s="7"/>
      <c r="U306" s="7"/>
    </row>
    <row r="307" spans="1:21" ht="14.25" customHeight="1">
      <c r="A307" s="120" t="s">
        <v>2420</v>
      </c>
      <c r="B307" s="124">
        <f t="shared" si="12"/>
        <v>30.57</v>
      </c>
      <c r="C307" s="7" t="s">
        <v>1249</v>
      </c>
      <c r="D307" s="187">
        <v>10</v>
      </c>
      <c r="E307" s="7">
        <v>0.72</v>
      </c>
    </row>
    <row r="308" spans="1:21" ht="14.25" customHeight="1">
      <c r="A308" s="120" t="s">
        <v>2421</v>
      </c>
      <c r="B308" s="124">
        <f t="shared" si="12"/>
        <v>30.57</v>
      </c>
      <c r="C308" s="7" t="s">
        <v>1251</v>
      </c>
      <c r="D308" s="187">
        <v>5</v>
      </c>
      <c r="E308" s="7">
        <v>0.72</v>
      </c>
    </row>
    <row r="309" spans="1:21" ht="14.25" customHeight="1">
      <c r="A309" s="120" t="s">
        <v>2422</v>
      </c>
      <c r="B309" s="124">
        <f t="shared" si="12"/>
        <v>30.57</v>
      </c>
      <c r="C309" s="7" t="s">
        <v>1248</v>
      </c>
      <c r="D309" s="187">
        <v>10</v>
      </c>
      <c r="E309" s="7">
        <v>0.72</v>
      </c>
      <c r="U309" s="4"/>
    </row>
    <row r="310" spans="1:21" ht="14.25" customHeight="1">
      <c r="A310" s="120" t="s">
        <v>2423</v>
      </c>
      <c r="B310" s="124">
        <f t="shared" si="12"/>
        <v>30.57</v>
      </c>
      <c r="C310" s="7" t="s">
        <v>1255</v>
      </c>
      <c r="D310" s="187">
        <v>10</v>
      </c>
      <c r="E310" s="7">
        <v>0.72</v>
      </c>
    </row>
    <row r="311" spans="1:21" ht="14.25" customHeight="1">
      <c r="A311" s="120" t="s">
        <v>2424</v>
      </c>
      <c r="B311" s="124">
        <f t="shared" si="12"/>
        <v>30.57</v>
      </c>
      <c r="C311" s="7" t="s">
        <v>1250</v>
      </c>
      <c r="D311" s="187">
        <v>10</v>
      </c>
      <c r="E311" s="7">
        <v>0.72</v>
      </c>
    </row>
    <row r="312" spans="1:21" ht="14.25" customHeight="1">
      <c r="A312" s="120" t="s">
        <v>2425</v>
      </c>
      <c r="B312" s="124">
        <f t="shared" si="12"/>
        <v>30.57</v>
      </c>
      <c r="C312" s="7" t="s">
        <v>1257</v>
      </c>
      <c r="D312" s="187">
        <v>5</v>
      </c>
      <c r="E312" s="7">
        <v>0.72</v>
      </c>
    </row>
    <row r="313" spans="1:21" ht="14.25" customHeight="1">
      <c r="A313" s="120" t="s">
        <v>2426</v>
      </c>
      <c r="B313" s="124">
        <f t="shared" si="12"/>
        <v>30.57</v>
      </c>
      <c r="C313" s="7" t="s">
        <v>1368</v>
      </c>
      <c r="D313" s="187">
        <v>5</v>
      </c>
      <c r="E313" s="7">
        <v>0.72</v>
      </c>
    </row>
    <row r="314" spans="1:21" ht="14.25" customHeight="1">
      <c r="A314" s="120" t="s">
        <v>2427</v>
      </c>
      <c r="B314" s="124">
        <f t="shared" si="12"/>
        <v>30.57</v>
      </c>
      <c r="C314" s="7" t="s">
        <v>1252</v>
      </c>
      <c r="D314" s="187">
        <v>3</v>
      </c>
      <c r="E314" s="7">
        <v>0.72</v>
      </c>
    </row>
    <row r="315" spans="1:21" ht="14.25" customHeight="1">
      <c r="A315" s="120" t="s">
        <v>2428</v>
      </c>
      <c r="B315" s="124">
        <f t="shared" si="12"/>
        <v>30.57</v>
      </c>
      <c r="C315" s="7" t="s">
        <v>1256</v>
      </c>
      <c r="D315" s="187">
        <v>3</v>
      </c>
      <c r="E315" s="7">
        <v>0.72</v>
      </c>
    </row>
    <row r="316" spans="1:21" ht="14.25" customHeight="1">
      <c r="A316" s="120" t="s">
        <v>2429</v>
      </c>
      <c r="B316" s="124">
        <f t="shared" si="12"/>
        <v>30.57</v>
      </c>
      <c r="C316" s="7" t="s">
        <v>1244</v>
      </c>
      <c r="D316" s="187">
        <v>3</v>
      </c>
      <c r="E316" s="7">
        <v>0.72</v>
      </c>
    </row>
    <row r="317" spans="1:21" ht="14.25" customHeight="1">
      <c r="A317" s="120" t="s">
        <v>2430</v>
      </c>
      <c r="B317" s="124">
        <f t="shared" si="12"/>
        <v>30.57</v>
      </c>
      <c r="C317" s="7" t="s">
        <v>1254</v>
      </c>
      <c r="D317" s="187">
        <v>3</v>
      </c>
      <c r="E317" s="7">
        <v>0.72</v>
      </c>
    </row>
    <row r="318" spans="1:21" ht="14.25" customHeight="1">
      <c r="A318" s="120" t="s">
        <v>2431</v>
      </c>
      <c r="B318" s="124">
        <f t="shared" si="12"/>
        <v>30.57</v>
      </c>
      <c r="C318" s="7" t="s">
        <v>1247</v>
      </c>
      <c r="D318" s="187">
        <v>5</v>
      </c>
      <c r="E318" s="7">
        <v>0.72</v>
      </c>
    </row>
    <row r="319" spans="1:21" ht="14.25" customHeight="1">
      <c r="A319" s="120" t="s">
        <v>2432</v>
      </c>
      <c r="B319" s="124">
        <f t="shared" si="12"/>
        <v>30.57</v>
      </c>
      <c r="C319" s="7" t="s">
        <v>1242</v>
      </c>
      <c r="D319" s="187">
        <v>5</v>
      </c>
      <c r="E319" s="7">
        <v>0.72</v>
      </c>
    </row>
    <row r="320" spans="1:21" ht="14.25" customHeight="1">
      <c r="A320" s="120" t="s">
        <v>2433</v>
      </c>
      <c r="B320" s="124">
        <f t="shared" si="12"/>
        <v>30.57</v>
      </c>
      <c r="C320" s="7" t="s">
        <v>1243</v>
      </c>
      <c r="D320" s="187">
        <v>5</v>
      </c>
      <c r="E320" s="7">
        <v>0.72</v>
      </c>
    </row>
    <row r="321" spans="1:21" ht="14.25" customHeight="1">
      <c r="A321" s="120" t="s">
        <v>2434</v>
      </c>
      <c r="B321" s="124">
        <f t="shared" si="12"/>
        <v>30.57</v>
      </c>
      <c r="C321" s="105" t="s">
        <v>3148</v>
      </c>
      <c r="D321" s="187">
        <v>5</v>
      </c>
      <c r="E321" s="7">
        <v>0.72</v>
      </c>
    </row>
    <row r="322" spans="1:21" s="4" customFormat="1" ht="14.25" customHeight="1">
      <c r="A322" s="128" t="s">
        <v>2506</v>
      </c>
      <c r="B322" s="9">
        <v>10</v>
      </c>
      <c r="C322" s="7" t="s">
        <v>1310</v>
      </c>
      <c r="D322" s="187">
        <v>3</v>
      </c>
      <c r="E322" s="7">
        <v>1</v>
      </c>
      <c r="F322" s="7"/>
      <c r="G322" s="7"/>
      <c r="H322" s="7"/>
      <c r="I322" s="7"/>
      <c r="J322" s="7"/>
      <c r="K322" s="7"/>
      <c r="L322" s="7"/>
      <c r="M322" s="7"/>
      <c r="N322" s="7"/>
      <c r="O322" s="7"/>
      <c r="P322" s="7"/>
      <c r="Q322" s="7"/>
      <c r="R322" s="7"/>
      <c r="S322" s="7"/>
      <c r="T322" s="7"/>
      <c r="U322" s="7"/>
    </row>
    <row r="323" spans="1:21" ht="14.25" customHeight="1">
      <c r="A323" s="128" t="s">
        <v>2507</v>
      </c>
      <c r="B323" s="9">
        <v>10</v>
      </c>
      <c r="C323" s="7" t="s">
        <v>1314</v>
      </c>
      <c r="D323" s="187">
        <v>3</v>
      </c>
      <c r="E323" s="7">
        <v>1.2</v>
      </c>
    </row>
    <row r="324" spans="1:21" ht="14.25" customHeight="1">
      <c r="A324" s="128" t="s">
        <v>2508</v>
      </c>
      <c r="B324" s="9">
        <v>10</v>
      </c>
      <c r="C324" s="7" t="s">
        <v>1313</v>
      </c>
      <c r="D324" s="187">
        <v>3</v>
      </c>
      <c r="E324" s="7">
        <v>1.2</v>
      </c>
    </row>
    <row r="325" spans="1:21" ht="14.25" customHeight="1">
      <c r="A325" s="128" t="s">
        <v>2509</v>
      </c>
      <c r="B325" s="9">
        <v>10</v>
      </c>
      <c r="C325" s="7" t="s">
        <v>1312</v>
      </c>
      <c r="D325" s="187">
        <v>3</v>
      </c>
      <c r="E325" s="7">
        <v>1.2</v>
      </c>
    </row>
    <row r="326" spans="1:21" ht="14.25" customHeight="1">
      <c r="A326" s="128" t="s">
        <v>2510</v>
      </c>
      <c r="B326" s="9">
        <v>10</v>
      </c>
      <c r="C326" s="7" t="s">
        <v>1311</v>
      </c>
      <c r="D326" s="187">
        <v>3</v>
      </c>
      <c r="E326" s="7">
        <v>1.2</v>
      </c>
    </row>
    <row r="327" spans="1:21" s="4" customFormat="1" ht="14.25" customHeight="1">
      <c r="A327" s="128" t="s">
        <v>2511</v>
      </c>
      <c r="B327" s="9">
        <v>10</v>
      </c>
      <c r="C327" s="135" t="s">
        <v>3323</v>
      </c>
      <c r="D327" s="187">
        <v>3</v>
      </c>
      <c r="E327" s="7">
        <v>1.2</v>
      </c>
      <c r="F327" s="7"/>
      <c r="G327" s="7"/>
      <c r="H327" s="7"/>
      <c r="I327" s="7"/>
      <c r="J327" s="7"/>
      <c r="K327" s="7"/>
      <c r="L327" s="7"/>
      <c r="M327" s="7"/>
      <c r="N327" s="7"/>
      <c r="O327" s="7"/>
      <c r="P327" s="7"/>
      <c r="Q327" s="7"/>
      <c r="R327" s="7"/>
      <c r="S327" s="7"/>
      <c r="T327" s="7"/>
      <c r="U327" s="7"/>
    </row>
    <row r="328" spans="1:21" ht="14.25" customHeight="1">
      <c r="A328" s="128" t="s">
        <v>2512</v>
      </c>
      <c r="B328" s="9">
        <v>10</v>
      </c>
      <c r="C328" s="135" t="s">
        <v>3321</v>
      </c>
      <c r="D328" s="187">
        <v>3</v>
      </c>
      <c r="E328" s="7">
        <v>1.2</v>
      </c>
    </row>
    <row r="329" spans="1:21" ht="14.25" customHeight="1">
      <c r="A329" s="128" t="s">
        <v>2513</v>
      </c>
      <c r="B329" s="9">
        <v>10</v>
      </c>
      <c r="C329" s="135" t="s">
        <v>3319</v>
      </c>
      <c r="D329" s="187">
        <v>3</v>
      </c>
      <c r="E329" s="7">
        <v>1.2</v>
      </c>
    </row>
    <row r="330" spans="1:21" ht="14.25" customHeight="1">
      <c r="A330" s="128" t="s">
        <v>2514</v>
      </c>
      <c r="B330" s="9">
        <v>22</v>
      </c>
      <c r="C330" s="7" t="s">
        <v>1315</v>
      </c>
      <c r="D330" s="187">
        <v>3</v>
      </c>
      <c r="E330" s="7">
        <v>2</v>
      </c>
      <c r="U330" s="4"/>
    </row>
    <row r="331" spans="1:21" ht="14.25" customHeight="1">
      <c r="A331" s="128" t="s">
        <v>2515</v>
      </c>
      <c r="B331" s="9">
        <v>22</v>
      </c>
      <c r="C331" s="7" t="s">
        <v>1316</v>
      </c>
      <c r="D331" s="187">
        <v>3</v>
      </c>
      <c r="E331" s="7">
        <v>2</v>
      </c>
    </row>
    <row r="332" spans="1:21" ht="14.25" customHeight="1">
      <c r="A332" s="128" t="s">
        <v>2516</v>
      </c>
      <c r="B332" s="9">
        <v>22</v>
      </c>
      <c r="C332" s="136" t="s">
        <v>3324</v>
      </c>
      <c r="D332" s="187">
        <v>3</v>
      </c>
      <c r="E332" s="7">
        <v>2</v>
      </c>
    </row>
    <row r="333" spans="1:21" ht="14.25" customHeight="1">
      <c r="A333" s="128" t="s">
        <v>2517</v>
      </c>
      <c r="B333" s="9">
        <v>22</v>
      </c>
      <c r="C333" s="7" t="s">
        <v>1317</v>
      </c>
      <c r="D333" s="187">
        <v>3</v>
      </c>
      <c r="E333" s="7">
        <v>2</v>
      </c>
    </row>
    <row r="334" spans="1:21" s="4" customFormat="1" ht="14.25" customHeight="1">
      <c r="A334" s="128" t="s">
        <v>2518</v>
      </c>
      <c r="B334" s="9">
        <v>22</v>
      </c>
      <c r="C334" s="7" t="s">
        <v>1318</v>
      </c>
      <c r="D334" s="187">
        <v>3</v>
      </c>
      <c r="E334" s="7">
        <v>2</v>
      </c>
      <c r="F334" s="7"/>
      <c r="G334" s="7"/>
      <c r="H334" s="7"/>
      <c r="I334" s="7"/>
      <c r="J334" s="7"/>
      <c r="K334" s="7"/>
      <c r="L334" s="7"/>
      <c r="M334" s="7"/>
      <c r="N334" s="7"/>
      <c r="O334" s="7"/>
      <c r="P334" s="7"/>
      <c r="Q334" s="7"/>
      <c r="R334" s="7"/>
      <c r="S334" s="7"/>
      <c r="T334" s="7"/>
      <c r="U334" s="7"/>
    </row>
    <row r="335" spans="1:21" ht="14.25" customHeight="1">
      <c r="A335" s="128" t="s">
        <v>2519</v>
      </c>
      <c r="B335" s="9">
        <v>22</v>
      </c>
      <c r="C335" s="135" t="s">
        <v>3320</v>
      </c>
      <c r="D335" s="187">
        <v>3</v>
      </c>
      <c r="E335" s="7">
        <v>2</v>
      </c>
    </row>
    <row r="336" spans="1:21" ht="14.25" customHeight="1">
      <c r="A336" s="128" t="s">
        <v>2520</v>
      </c>
      <c r="B336" s="9">
        <v>22</v>
      </c>
      <c r="C336" s="135" t="s">
        <v>3322</v>
      </c>
      <c r="D336" s="187">
        <v>3</v>
      </c>
      <c r="E336" s="7">
        <v>2</v>
      </c>
    </row>
    <row r="337" spans="1:21" ht="14.25" customHeight="1">
      <c r="A337" s="128" t="s">
        <v>2556</v>
      </c>
      <c r="B337" s="124">
        <f>11.6/3</f>
        <v>3.8666666666666667</v>
      </c>
      <c r="C337" s="7" t="s">
        <v>1538</v>
      </c>
      <c r="D337" s="187">
        <v>3</v>
      </c>
      <c r="E337" s="7">
        <v>0.15</v>
      </c>
    </row>
    <row r="338" spans="1:21" ht="14.25" customHeight="1">
      <c r="A338" s="128" t="s">
        <v>2557</v>
      </c>
      <c r="B338" s="124">
        <f>34.4/3</f>
        <v>11.466666666666667</v>
      </c>
      <c r="C338" s="7" t="s">
        <v>1539</v>
      </c>
      <c r="D338" s="187">
        <v>3</v>
      </c>
      <c r="E338" s="7">
        <v>0.45</v>
      </c>
    </row>
    <row r="339" spans="1:21" ht="14.25" customHeight="1">
      <c r="A339" s="128" t="s">
        <v>2558</v>
      </c>
      <c r="B339" s="124">
        <f>99.7/3</f>
        <v>33.233333333333334</v>
      </c>
      <c r="C339" s="7" t="s">
        <v>1540</v>
      </c>
      <c r="D339" s="187">
        <v>3</v>
      </c>
      <c r="E339" s="7">
        <v>0.9</v>
      </c>
    </row>
    <row r="340" spans="1:21" ht="14.25" customHeight="1">
      <c r="A340" s="128" t="s">
        <v>2559</v>
      </c>
      <c r="B340" s="124">
        <f>162.1/3</f>
        <v>54.033333333333331</v>
      </c>
      <c r="C340" s="7" t="s">
        <v>1541</v>
      </c>
      <c r="D340" s="187">
        <v>3</v>
      </c>
      <c r="E340" s="7">
        <v>1.5</v>
      </c>
      <c r="U340" s="4"/>
    </row>
    <row r="341" spans="1:21" ht="14.25" customHeight="1">
      <c r="A341" s="128" t="s">
        <v>2560</v>
      </c>
      <c r="B341" s="124">
        <f>201.8/3</f>
        <v>67.266666666666666</v>
      </c>
      <c r="C341" s="7" t="s">
        <v>1542</v>
      </c>
      <c r="D341" s="187">
        <v>3</v>
      </c>
      <c r="E341" s="7">
        <v>1.88</v>
      </c>
    </row>
    <row r="342" spans="1:21" ht="14.25" customHeight="1">
      <c r="A342" s="128" t="s">
        <v>2561</v>
      </c>
      <c r="B342" s="124">
        <f>322/3</f>
        <v>107.33333333333333</v>
      </c>
      <c r="C342" s="7" t="s">
        <v>1543</v>
      </c>
      <c r="D342" s="187">
        <v>3</v>
      </c>
      <c r="E342" s="7">
        <v>3</v>
      </c>
    </row>
    <row r="343" spans="1:21" ht="14.25" customHeight="1">
      <c r="A343" s="128" t="s">
        <v>2562</v>
      </c>
      <c r="B343" s="124">
        <f>405.5/3</f>
        <v>135.16666666666666</v>
      </c>
      <c r="C343" s="7" t="s">
        <v>1537</v>
      </c>
      <c r="D343" s="187">
        <v>3</v>
      </c>
      <c r="E343" s="7">
        <v>3.75</v>
      </c>
    </row>
    <row r="344" spans="1:21" ht="14.25" customHeight="1">
      <c r="A344" s="128" t="s">
        <v>2563</v>
      </c>
      <c r="B344" s="124">
        <f>19.4/3</f>
        <v>6.4666666666666659</v>
      </c>
      <c r="C344" s="7" t="s">
        <v>1343</v>
      </c>
      <c r="D344" s="187">
        <v>3</v>
      </c>
      <c r="E344" s="7">
        <v>0.21</v>
      </c>
    </row>
    <row r="345" spans="1:21" ht="14.25" customHeight="1">
      <c r="A345" s="128" t="s">
        <v>2564</v>
      </c>
      <c r="B345" s="124">
        <f>62/3</f>
        <v>20.666666666666668</v>
      </c>
      <c r="C345" s="7" t="s">
        <v>1344</v>
      </c>
      <c r="D345" s="187">
        <v>3</v>
      </c>
      <c r="E345" s="7">
        <v>0.56999999999999995</v>
      </c>
    </row>
    <row r="346" spans="1:21" ht="14.25" customHeight="1">
      <c r="A346" s="128" t="s">
        <v>2565</v>
      </c>
      <c r="B346" s="124">
        <f>123.1/3</f>
        <v>41.033333333333331</v>
      </c>
      <c r="C346" s="7" t="s">
        <v>1345</v>
      </c>
      <c r="D346" s="187">
        <v>3</v>
      </c>
      <c r="E346" s="7">
        <v>1.1200000000000001</v>
      </c>
    </row>
    <row r="347" spans="1:21" ht="14.25" customHeight="1">
      <c r="A347" s="128" t="s">
        <v>2566</v>
      </c>
      <c r="B347" s="124">
        <f>205.4/3</f>
        <v>68.466666666666669</v>
      </c>
      <c r="C347" s="7" t="s">
        <v>1346</v>
      </c>
      <c r="D347" s="187">
        <v>3</v>
      </c>
      <c r="E347" s="7">
        <v>1.84</v>
      </c>
    </row>
    <row r="348" spans="1:21" ht="14.25" customHeight="1">
      <c r="A348" s="128" t="s">
        <v>2567</v>
      </c>
      <c r="B348" s="124">
        <f>323.4/3</f>
        <v>107.8</v>
      </c>
      <c r="C348" s="7" t="s">
        <v>1347</v>
      </c>
      <c r="D348" s="187">
        <v>3</v>
      </c>
      <c r="E348" s="7">
        <v>2.29</v>
      </c>
    </row>
    <row r="349" spans="1:21" ht="14.25" customHeight="1">
      <c r="A349" s="128" t="s">
        <v>2568</v>
      </c>
      <c r="B349" s="9">
        <v>49.6</v>
      </c>
      <c r="C349" s="7" t="s">
        <v>1544</v>
      </c>
      <c r="D349" s="187">
        <v>5</v>
      </c>
      <c r="E349" s="7">
        <v>2</v>
      </c>
    </row>
    <row r="350" spans="1:21" ht="14.25" customHeight="1">
      <c r="A350" s="128" t="s">
        <v>2569</v>
      </c>
      <c r="B350" s="9">
        <v>114.9</v>
      </c>
      <c r="C350" s="7" t="s">
        <v>1545</v>
      </c>
      <c r="D350" s="187">
        <v>3</v>
      </c>
      <c r="E350" s="7">
        <v>3.7</v>
      </c>
    </row>
    <row r="351" spans="1:21" ht="14.25" customHeight="1">
      <c r="A351" s="128" t="s">
        <v>2570</v>
      </c>
      <c r="B351" s="9">
        <v>86.2</v>
      </c>
      <c r="C351" s="7" t="s">
        <v>1546</v>
      </c>
      <c r="D351" s="187">
        <v>3</v>
      </c>
      <c r="E351" s="7">
        <v>2.5</v>
      </c>
    </row>
    <row r="352" spans="1:21" ht="14.25" customHeight="1">
      <c r="A352" s="128" t="s">
        <v>2571</v>
      </c>
      <c r="B352" s="9">
        <v>121.4</v>
      </c>
      <c r="C352" s="7" t="s">
        <v>1547</v>
      </c>
      <c r="D352" s="187">
        <v>3</v>
      </c>
      <c r="E352" s="7">
        <v>3.7</v>
      </c>
    </row>
    <row r="353" spans="1:21" ht="14.25" customHeight="1">
      <c r="A353" s="128" t="s">
        <v>2572</v>
      </c>
      <c r="B353" s="9">
        <v>169.4</v>
      </c>
      <c r="C353" s="7" t="s">
        <v>1548</v>
      </c>
      <c r="D353" s="187">
        <v>3</v>
      </c>
      <c r="E353" s="7">
        <v>3.18</v>
      </c>
      <c r="U353" s="4"/>
    </row>
    <row r="354" spans="1:21" ht="14.25" customHeight="1">
      <c r="A354" s="128" t="s">
        <v>2573</v>
      </c>
      <c r="B354" s="9">
        <v>169.4</v>
      </c>
      <c r="C354" s="7" t="s">
        <v>1549</v>
      </c>
      <c r="D354" s="187">
        <v>3</v>
      </c>
      <c r="E354" s="7">
        <v>3.18</v>
      </c>
    </row>
    <row r="355" spans="1:21" s="4" customFormat="1" ht="14.25" customHeight="1">
      <c r="A355" s="128" t="s">
        <v>2574</v>
      </c>
      <c r="B355" s="9">
        <v>162.19999999999999</v>
      </c>
      <c r="C355" s="7" t="s">
        <v>1550</v>
      </c>
      <c r="D355" s="187">
        <v>3</v>
      </c>
      <c r="E355" s="7">
        <v>3.18</v>
      </c>
      <c r="F355" s="7"/>
      <c r="G355" s="7"/>
      <c r="H355" s="7"/>
      <c r="I355" s="7"/>
      <c r="J355" s="7"/>
      <c r="K355" s="7"/>
      <c r="L355" s="7"/>
      <c r="M355" s="7"/>
      <c r="N355" s="7"/>
      <c r="O355" s="7"/>
      <c r="P355" s="7"/>
      <c r="Q355" s="7"/>
      <c r="R355" s="7"/>
      <c r="S355" s="7"/>
      <c r="T355" s="7"/>
      <c r="U355" s="7"/>
    </row>
    <row r="356" spans="1:21" ht="14.25" customHeight="1">
      <c r="A356" s="128" t="s">
        <v>2575</v>
      </c>
      <c r="B356" s="9">
        <v>70</v>
      </c>
      <c r="C356" s="7" t="s">
        <v>1384</v>
      </c>
      <c r="D356" s="187">
        <v>5</v>
      </c>
      <c r="E356" s="7">
        <v>0.57999999999999996</v>
      </c>
    </row>
    <row r="357" spans="1:21" ht="14.25" customHeight="1">
      <c r="A357" s="128" t="s">
        <v>2576</v>
      </c>
      <c r="B357" s="9">
        <v>70</v>
      </c>
      <c r="C357" s="7" t="s">
        <v>1385</v>
      </c>
      <c r="D357" s="187">
        <v>5</v>
      </c>
      <c r="E357" s="7">
        <v>0.57999999999999996</v>
      </c>
    </row>
    <row r="358" spans="1:21" ht="14.25" customHeight="1">
      <c r="A358" s="128" t="s">
        <v>2577</v>
      </c>
      <c r="B358" s="9">
        <v>70</v>
      </c>
      <c r="C358" s="7" t="s">
        <v>1386</v>
      </c>
      <c r="D358" s="187">
        <v>5</v>
      </c>
      <c r="E358" s="7">
        <v>0.57999999999999996</v>
      </c>
      <c r="U358" s="4"/>
    </row>
    <row r="359" spans="1:21" ht="14.25" customHeight="1">
      <c r="A359" s="128" t="s">
        <v>2577</v>
      </c>
      <c r="B359" s="5"/>
      <c r="C359" s="4"/>
      <c r="D359" s="191">
        <f>SUM(D353:D358)</f>
        <v>24</v>
      </c>
      <c r="E359" s="4"/>
      <c r="F359" s="4"/>
      <c r="G359" s="4"/>
      <c r="H359" s="4"/>
      <c r="I359" s="4"/>
      <c r="J359" s="4"/>
      <c r="K359" s="4"/>
      <c r="L359" s="4"/>
      <c r="M359" s="4"/>
      <c r="N359" s="4"/>
      <c r="O359" s="4"/>
      <c r="P359" s="4"/>
      <c r="Q359" s="4"/>
      <c r="R359" s="4"/>
      <c r="S359" s="4"/>
      <c r="T359" s="4"/>
    </row>
    <row r="360" spans="1:21" ht="14.25" customHeight="1">
      <c r="A360" s="128" t="s">
        <v>2578</v>
      </c>
      <c r="B360" s="9">
        <v>8.6999999999999993</v>
      </c>
      <c r="C360" s="7" t="s">
        <v>1551</v>
      </c>
      <c r="D360" s="187">
        <v>10</v>
      </c>
      <c r="E360" s="7">
        <v>0.5</v>
      </c>
    </row>
    <row r="361" spans="1:21" ht="14.25" customHeight="1">
      <c r="A361" s="119" t="s">
        <v>3010</v>
      </c>
      <c r="B361" s="9">
        <v>6.7</v>
      </c>
      <c r="C361" s="1" t="s">
        <v>1898</v>
      </c>
      <c r="D361" s="188">
        <f>3*8</f>
        <v>24</v>
      </c>
      <c r="E361" s="6">
        <f>4.5/8</f>
        <v>0.5625</v>
      </c>
    </row>
    <row r="362" spans="1:21" ht="14.25" customHeight="1">
      <c r="A362" s="119" t="s">
        <v>3011</v>
      </c>
      <c r="B362" s="9">
        <v>6.8</v>
      </c>
      <c r="C362" s="1" t="s">
        <v>1899</v>
      </c>
      <c r="D362" s="188">
        <f>3*8</f>
        <v>24</v>
      </c>
      <c r="E362" s="6">
        <f>4.5/8</f>
        <v>0.5625</v>
      </c>
    </row>
    <row r="363" spans="1:21" ht="14.25" customHeight="1">
      <c r="A363" s="119" t="s">
        <v>3012</v>
      </c>
      <c r="B363" s="9">
        <v>11.8</v>
      </c>
      <c r="C363" s="1" t="s">
        <v>1900</v>
      </c>
      <c r="D363" s="188">
        <f>3*8</f>
        <v>24</v>
      </c>
      <c r="E363" s="6">
        <f>8/8</f>
        <v>1</v>
      </c>
    </row>
    <row r="364" spans="1:21" ht="14.25" customHeight="1">
      <c r="A364" s="119" t="s">
        <v>3013</v>
      </c>
      <c r="B364" s="9">
        <v>11.2</v>
      </c>
      <c r="C364" s="1" t="s">
        <v>1901</v>
      </c>
      <c r="D364" s="188">
        <f>3*8</f>
        <v>24</v>
      </c>
      <c r="E364" s="6">
        <f>8/8</f>
        <v>1</v>
      </c>
    </row>
    <row r="365" spans="1:21" s="4" customFormat="1" ht="14.25" customHeight="1">
      <c r="A365" s="119" t="s">
        <v>3154</v>
      </c>
      <c r="B365" s="9">
        <v>13.3</v>
      </c>
      <c r="C365" s="105" t="s">
        <v>3155</v>
      </c>
      <c r="D365" s="188">
        <v>4</v>
      </c>
      <c r="E365" s="127">
        <v>0</v>
      </c>
      <c r="F365" s="7"/>
      <c r="G365" s="7"/>
      <c r="H365" s="7"/>
      <c r="I365" s="7"/>
      <c r="J365" s="7"/>
      <c r="K365" s="7"/>
      <c r="L365" s="7"/>
      <c r="M365" s="7"/>
      <c r="N365" s="7"/>
      <c r="O365" s="7"/>
      <c r="P365" s="7"/>
      <c r="Q365" s="7"/>
      <c r="R365" s="7"/>
      <c r="S365" s="7"/>
      <c r="T365" s="7"/>
      <c r="U365" s="7"/>
    </row>
    <row r="366" spans="1:21" ht="14.25" customHeight="1">
      <c r="A366" s="119" t="s">
        <v>2661</v>
      </c>
      <c r="B366" s="124">
        <f>503/25</f>
        <v>20.12</v>
      </c>
      <c r="C366" s="7" t="s">
        <v>1466</v>
      </c>
      <c r="D366" s="187">
        <v>25</v>
      </c>
      <c r="E366" s="56">
        <f>0.29*2</f>
        <v>0.57999999999999996</v>
      </c>
    </row>
    <row r="367" spans="1:21" ht="14.25" customHeight="1">
      <c r="A367" s="119" t="s">
        <v>2662</v>
      </c>
      <c r="B367" s="124">
        <f>593/25</f>
        <v>23.72</v>
      </c>
      <c r="C367" s="7" t="s">
        <v>1468</v>
      </c>
      <c r="D367" s="187">
        <v>25</v>
      </c>
      <c r="E367" s="56">
        <f>0.36*2</f>
        <v>0.72</v>
      </c>
    </row>
    <row r="368" spans="1:21" ht="14.25" customHeight="1">
      <c r="A368" s="119" t="s">
        <v>2663</v>
      </c>
      <c r="B368" s="124">
        <f>732/25</f>
        <v>29.28</v>
      </c>
      <c r="C368" s="7" t="s">
        <v>1470</v>
      </c>
      <c r="D368" s="187">
        <v>25</v>
      </c>
      <c r="E368" s="56">
        <f>0.45*2</f>
        <v>0.9</v>
      </c>
    </row>
    <row r="369" spans="1:21" ht="14.25" customHeight="1">
      <c r="A369" s="119" t="s">
        <v>2664</v>
      </c>
      <c r="B369" s="124">
        <f>503/25</f>
        <v>20.12</v>
      </c>
      <c r="C369" s="7" t="s">
        <v>1467</v>
      </c>
      <c r="D369" s="187">
        <v>25</v>
      </c>
      <c r="E369" s="56">
        <f>0.29*2</f>
        <v>0.57999999999999996</v>
      </c>
    </row>
    <row r="370" spans="1:21" ht="14.25" customHeight="1">
      <c r="A370" s="119" t="s">
        <v>2665</v>
      </c>
      <c r="B370" s="124">
        <f>593/25</f>
        <v>23.72</v>
      </c>
      <c r="C370" s="7" t="s">
        <v>1469</v>
      </c>
      <c r="D370" s="187">
        <v>25</v>
      </c>
      <c r="E370" s="56">
        <f>0.36*2</f>
        <v>0.72</v>
      </c>
    </row>
    <row r="371" spans="1:21" ht="14.25" customHeight="1">
      <c r="A371" s="119" t="s">
        <v>2666</v>
      </c>
      <c r="B371" s="124">
        <f>732/25</f>
        <v>29.28</v>
      </c>
      <c r="C371" s="7" t="s">
        <v>1471</v>
      </c>
      <c r="D371" s="187">
        <v>25</v>
      </c>
      <c r="E371" s="56">
        <f>0.45*2</f>
        <v>0.9</v>
      </c>
    </row>
    <row r="372" spans="1:21" ht="14.25" customHeight="1">
      <c r="A372" s="119" t="s">
        <v>2682</v>
      </c>
      <c r="B372" s="124">
        <f>9/30</f>
        <v>0.3</v>
      </c>
      <c r="C372" s="7" t="s">
        <v>1569</v>
      </c>
      <c r="D372" s="187">
        <v>3</v>
      </c>
      <c r="E372" s="56">
        <v>0.98</v>
      </c>
    </row>
    <row r="373" spans="1:21" ht="14.25" customHeight="1">
      <c r="A373" s="119" t="s">
        <v>2683</v>
      </c>
      <c r="B373" s="124">
        <f>9/30</f>
        <v>0.3</v>
      </c>
      <c r="C373" s="7" t="s">
        <v>1570</v>
      </c>
      <c r="D373" s="187">
        <v>3</v>
      </c>
      <c r="E373" s="56">
        <v>0.98</v>
      </c>
    </row>
    <row r="374" spans="1:21" ht="14.25" customHeight="1">
      <c r="A374" s="119" t="s">
        <v>2684</v>
      </c>
      <c r="B374" s="124">
        <f>10.9/20</f>
        <v>0.54500000000000004</v>
      </c>
      <c r="C374" s="7" t="s">
        <v>1572</v>
      </c>
      <c r="D374" s="187">
        <v>3</v>
      </c>
      <c r="E374" s="56">
        <v>1.08</v>
      </c>
    </row>
    <row r="375" spans="1:21" ht="14.25" customHeight="1">
      <c r="A375" s="119" t="s">
        <v>2685</v>
      </c>
      <c r="B375" s="124">
        <f>10.9/9</f>
        <v>1.2111111111111112</v>
      </c>
      <c r="C375" s="7" t="s">
        <v>1574</v>
      </c>
      <c r="D375" s="187">
        <v>3</v>
      </c>
      <c r="E375" s="56">
        <v>1.08</v>
      </c>
    </row>
    <row r="376" spans="1:21" ht="14.25" customHeight="1">
      <c r="A376" s="119" t="s">
        <v>2686</v>
      </c>
      <c r="B376" s="124">
        <f>12.6/4</f>
        <v>3.15</v>
      </c>
      <c r="C376" s="7" t="s">
        <v>1576</v>
      </c>
      <c r="D376" s="187">
        <v>3</v>
      </c>
      <c r="E376" s="56">
        <v>0.98</v>
      </c>
    </row>
    <row r="377" spans="1:21" ht="14.25" customHeight="1">
      <c r="A377" s="119" t="s">
        <v>2687</v>
      </c>
      <c r="B377" s="124">
        <f>10.9/20</f>
        <v>0.54500000000000004</v>
      </c>
      <c r="C377" s="7" t="s">
        <v>1571</v>
      </c>
      <c r="D377" s="187">
        <v>3</v>
      </c>
      <c r="E377" s="56">
        <v>0.98</v>
      </c>
    </row>
    <row r="378" spans="1:21" s="4" customFormat="1" ht="14.25" customHeight="1">
      <c r="A378" s="119" t="s">
        <v>2688</v>
      </c>
      <c r="B378" s="124">
        <f>10.9/9</f>
        <v>1.2111111111111112</v>
      </c>
      <c r="C378" s="7" t="s">
        <v>1573</v>
      </c>
      <c r="D378" s="187">
        <v>3</v>
      </c>
      <c r="E378" s="56">
        <v>0.98</v>
      </c>
      <c r="F378" s="7"/>
      <c r="G378" s="7"/>
      <c r="H378" s="7"/>
      <c r="I378" s="7"/>
      <c r="J378" s="7"/>
      <c r="K378" s="7"/>
      <c r="L378" s="7"/>
      <c r="M378" s="7"/>
      <c r="N378" s="7"/>
      <c r="O378" s="7"/>
      <c r="P378" s="7"/>
      <c r="Q378" s="7"/>
      <c r="R378" s="7"/>
      <c r="S378" s="7"/>
      <c r="T378" s="7"/>
      <c r="U378" s="7"/>
    </row>
    <row r="379" spans="1:21" ht="14.25" customHeight="1">
      <c r="A379" s="119" t="s">
        <v>2689</v>
      </c>
      <c r="B379" s="124">
        <f>12.6/4</f>
        <v>3.15</v>
      </c>
      <c r="C379" s="7" t="s">
        <v>1575</v>
      </c>
      <c r="D379" s="187">
        <v>3</v>
      </c>
      <c r="E379" s="56">
        <v>0.98</v>
      </c>
    </row>
    <row r="380" spans="1:21" ht="14.25" customHeight="1">
      <c r="A380" s="119" t="s">
        <v>2690</v>
      </c>
      <c r="B380" s="124">
        <f>214/25</f>
        <v>8.56</v>
      </c>
      <c r="C380" s="7" t="s">
        <v>1472</v>
      </c>
      <c r="D380" s="187">
        <v>25</v>
      </c>
      <c r="E380" s="7">
        <f>0.14*2</f>
        <v>0.28000000000000003</v>
      </c>
    </row>
    <row r="381" spans="1:21" ht="14.25" customHeight="1">
      <c r="A381" s="119" t="s">
        <v>2691</v>
      </c>
      <c r="B381" s="124">
        <f>136.2+145</f>
        <v>281.2</v>
      </c>
      <c r="C381" s="7" t="s">
        <v>1473</v>
      </c>
      <c r="D381" s="187">
        <v>25</v>
      </c>
      <c r="E381" s="7">
        <f>0.16*2</f>
        <v>0.32</v>
      </c>
    </row>
    <row r="382" spans="1:21" ht="14.25" customHeight="1">
      <c r="A382" s="119" t="s">
        <v>2692</v>
      </c>
      <c r="B382" s="9">
        <f>185+157</f>
        <v>342</v>
      </c>
      <c r="C382" s="7" t="s">
        <v>1474</v>
      </c>
      <c r="D382" s="187">
        <v>25</v>
      </c>
      <c r="E382" s="7">
        <f>0.2*2</f>
        <v>0.4</v>
      </c>
    </row>
    <row r="383" spans="1:21" s="4" customFormat="1" ht="14.25" customHeight="1">
      <c r="A383" s="119" t="s">
        <v>2667</v>
      </c>
      <c r="B383" s="9">
        <v>10</v>
      </c>
      <c r="C383" s="7" t="s">
        <v>1586</v>
      </c>
      <c r="D383" s="187">
        <v>3</v>
      </c>
      <c r="E383" s="7">
        <f>5.58/5</f>
        <v>1.1160000000000001</v>
      </c>
      <c r="F383" s="7"/>
      <c r="G383" s="7"/>
      <c r="H383" s="7"/>
      <c r="I383" s="7"/>
      <c r="J383" s="7"/>
      <c r="K383" s="7"/>
      <c r="L383" s="7"/>
      <c r="M383" s="7"/>
      <c r="N383" s="7"/>
      <c r="O383" s="7"/>
      <c r="P383" s="7"/>
      <c r="Q383" s="7"/>
      <c r="R383" s="7"/>
      <c r="S383" s="7"/>
      <c r="T383" s="7"/>
    </row>
    <row r="384" spans="1:21" ht="14.25" customHeight="1">
      <c r="A384" s="119" t="s">
        <v>2668</v>
      </c>
      <c r="B384" s="9">
        <v>10</v>
      </c>
      <c r="C384" s="7" t="s">
        <v>1577</v>
      </c>
      <c r="D384" s="187">
        <v>3</v>
      </c>
      <c r="E384" s="7">
        <f>5.58/5</f>
        <v>1.1160000000000001</v>
      </c>
    </row>
    <row r="385" spans="1:21" ht="14.25" customHeight="1">
      <c r="A385" s="119" t="s">
        <v>2669</v>
      </c>
      <c r="B385" s="9">
        <v>10</v>
      </c>
      <c r="C385" s="7" t="s">
        <v>1578</v>
      </c>
      <c r="D385" s="187">
        <v>3</v>
      </c>
      <c r="E385" s="7">
        <f>5.58/5</f>
        <v>1.1160000000000001</v>
      </c>
    </row>
    <row r="386" spans="1:21" ht="14.25" customHeight="1">
      <c r="A386" s="119" t="s">
        <v>2693</v>
      </c>
      <c r="B386" s="9">
        <v>10</v>
      </c>
      <c r="C386" s="7" t="s">
        <v>1579</v>
      </c>
      <c r="D386" s="187">
        <v>3</v>
      </c>
      <c r="E386" s="7">
        <f>5.58/5</f>
        <v>1.1160000000000001</v>
      </c>
    </row>
    <row r="387" spans="1:21" ht="14.25" customHeight="1">
      <c r="A387" s="119" t="s">
        <v>2694</v>
      </c>
      <c r="B387" s="9">
        <v>10</v>
      </c>
      <c r="C387" s="7" t="s">
        <v>1580</v>
      </c>
      <c r="D387" s="187">
        <v>3</v>
      </c>
      <c r="E387" s="7">
        <f>5.58/5</f>
        <v>1.1160000000000001</v>
      </c>
    </row>
    <row r="388" spans="1:21" ht="14.25" customHeight="1">
      <c r="A388" s="119" t="s">
        <v>2695</v>
      </c>
      <c r="B388" s="9">
        <v>20</v>
      </c>
      <c r="C388" s="7" t="s">
        <v>1581</v>
      </c>
      <c r="D388" s="187">
        <v>3</v>
      </c>
      <c r="E388" s="7">
        <f>9.58/5</f>
        <v>1.9159999999999999</v>
      </c>
    </row>
    <row r="389" spans="1:21" ht="14.25" customHeight="1">
      <c r="A389" s="119" t="s">
        <v>2696</v>
      </c>
      <c r="B389" s="9">
        <v>20</v>
      </c>
      <c r="C389" s="7" t="s">
        <v>1582</v>
      </c>
      <c r="D389" s="187">
        <v>3</v>
      </c>
      <c r="E389" s="7">
        <f>9.58/5</f>
        <v>1.9159999999999999</v>
      </c>
    </row>
    <row r="390" spans="1:21" ht="14.25" customHeight="1">
      <c r="A390" s="119" t="s">
        <v>2697</v>
      </c>
      <c r="B390" s="9">
        <v>20</v>
      </c>
      <c r="C390" s="7" t="s">
        <v>1583</v>
      </c>
      <c r="D390" s="187">
        <v>3</v>
      </c>
      <c r="E390" s="7">
        <f>9.58/5</f>
        <v>1.9159999999999999</v>
      </c>
      <c r="U390" s="4"/>
    </row>
    <row r="391" spans="1:21" ht="14.25" customHeight="1">
      <c r="A391" s="119" t="s">
        <v>2698</v>
      </c>
      <c r="B391" s="9">
        <v>20</v>
      </c>
      <c r="C391" s="7" t="s">
        <v>1584</v>
      </c>
      <c r="D391" s="187">
        <v>3</v>
      </c>
      <c r="E391" s="7">
        <f>9.58/5</f>
        <v>1.9159999999999999</v>
      </c>
    </row>
    <row r="392" spans="1:21" ht="14.25" customHeight="1">
      <c r="A392" s="119" t="s">
        <v>2699</v>
      </c>
      <c r="B392" s="9">
        <v>20</v>
      </c>
      <c r="C392" s="7" t="s">
        <v>1585</v>
      </c>
      <c r="D392" s="187">
        <v>3</v>
      </c>
      <c r="E392" s="7">
        <f>9.58/5</f>
        <v>1.9159999999999999</v>
      </c>
    </row>
    <row r="393" spans="1:21" ht="14.25" customHeight="1">
      <c r="A393" s="119" t="s">
        <v>2670</v>
      </c>
      <c r="B393" s="9">
        <v>0.5</v>
      </c>
      <c r="C393" s="7" t="s">
        <v>1752</v>
      </c>
      <c r="D393" s="187">
        <f t="shared" ref="D393:D417" si="13">10*2</f>
        <v>20</v>
      </c>
      <c r="E393" s="7">
        <f>1.88/10</f>
        <v>0.188</v>
      </c>
    </row>
    <row r="394" spans="1:21" ht="14.25" customHeight="1">
      <c r="A394" s="119" t="s">
        <v>2671</v>
      </c>
      <c r="B394" s="9">
        <v>0.5</v>
      </c>
      <c r="C394" s="7" t="s">
        <v>1753</v>
      </c>
      <c r="D394" s="187">
        <f t="shared" si="13"/>
        <v>20</v>
      </c>
      <c r="E394" s="7">
        <f>1.88/10</f>
        <v>0.188</v>
      </c>
    </row>
    <row r="395" spans="1:21" ht="14.25" customHeight="1">
      <c r="A395" s="119" t="s">
        <v>2672</v>
      </c>
      <c r="B395" s="9">
        <v>0.5</v>
      </c>
      <c r="C395" s="7" t="s">
        <v>1754</v>
      </c>
      <c r="D395" s="187">
        <f t="shared" si="13"/>
        <v>20</v>
      </c>
      <c r="E395" s="7">
        <f>1.88/10</f>
        <v>0.188</v>
      </c>
    </row>
    <row r="396" spans="1:21" ht="14.25" customHeight="1">
      <c r="A396" s="119" t="s">
        <v>2673</v>
      </c>
      <c r="B396" s="9">
        <v>0.5</v>
      </c>
      <c r="C396" s="7" t="s">
        <v>1755</v>
      </c>
      <c r="D396" s="187">
        <f t="shared" si="13"/>
        <v>20</v>
      </c>
      <c r="E396" s="7">
        <f>1.88/10</f>
        <v>0.188</v>
      </c>
    </row>
    <row r="397" spans="1:21" ht="14.25" customHeight="1">
      <c r="A397" s="119" t="s">
        <v>2674</v>
      </c>
      <c r="B397" s="9">
        <v>0.5</v>
      </c>
      <c r="C397" s="7" t="s">
        <v>1756</v>
      </c>
      <c r="D397" s="187">
        <f t="shared" si="13"/>
        <v>20</v>
      </c>
      <c r="E397" s="7">
        <f>1.88/10</f>
        <v>0.188</v>
      </c>
    </row>
    <row r="398" spans="1:21" ht="14.25" customHeight="1">
      <c r="A398" s="119" t="s">
        <v>2675</v>
      </c>
      <c r="B398" s="9">
        <v>0.8</v>
      </c>
      <c r="C398" s="7" t="s">
        <v>1587</v>
      </c>
      <c r="D398" s="187">
        <f t="shared" si="13"/>
        <v>20</v>
      </c>
      <c r="E398" s="7">
        <f>2.18/10</f>
        <v>0.21800000000000003</v>
      </c>
    </row>
    <row r="399" spans="1:21" ht="14.25" customHeight="1">
      <c r="A399" s="119" t="s">
        <v>2676</v>
      </c>
      <c r="B399" s="9">
        <v>0.8</v>
      </c>
      <c r="C399" s="7" t="s">
        <v>1588</v>
      </c>
      <c r="D399" s="187">
        <f t="shared" si="13"/>
        <v>20</v>
      </c>
      <c r="E399" s="7">
        <f>2.18/10</f>
        <v>0.21800000000000003</v>
      </c>
    </row>
    <row r="400" spans="1:21" ht="14.25" customHeight="1">
      <c r="A400" s="119" t="s">
        <v>2677</v>
      </c>
      <c r="B400" s="9">
        <v>0.8</v>
      </c>
      <c r="C400" s="7" t="s">
        <v>1589</v>
      </c>
      <c r="D400" s="187">
        <f t="shared" si="13"/>
        <v>20</v>
      </c>
      <c r="E400" s="7">
        <f>2.18/10</f>
        <v>0.21800000000000003</v>
      </c>
    </row>
    <row r="401" spans="1:21" ht="14.25" customHeight="1">
      <c r="A401" s="119" t="s">
        <v>2678</v>
      </c>
      <c r="B401" s="9">
        <v>0.8</v>
      </c>
      <c r="C401" s="7" t="s">
        <v>1590</v>
      </c>
      <c r="D401" s="187">
        <f t="shared" si="13"/>
        <v>20</v>
      </c>
      <c r="E401" s="7">
        <f>2.18/10</f>
        <v>0.21800000000000003</v>
      </c>
    </row>
    <row r="402" spans="1:21" ht="14.25" customHeight="1">
      <c r="A402" s="119" t="s">
        <v>2679</v>
      </c>
      <c r="B402" s="9">
        <v>0.8</v>
      </c>
      <c r="C402" s="7" t="s">
        <v>1591</v>
      </c>
      <c r="D402" s="187">
        <f t="shared" si="13"/>
        <v>20</v>
      </c>
      <c r="E402" s="7">
        <f>2.18/10</f>
        <v>0.21800000000000003</v>
      </c>
    </row>
    <row r="403" spans="1:21" ht="14.25" customHeight="1">
      <c r="A403" s="119" t="s">
        <v>2700</v>
      </c>
      <c r="B403" s="9">
        <v>1</v>
      </c>
      <c r="C403" s="7" t="s">
        <v>1592</v>
      </c>
      <c r="D403" s="187">
        <f t="shared" si="13"/>
        <v>20</v>
      </c>
      <c r="E403" s="7">
        <f>2.58/10</f>
        <v>0.25800000000000001</v>
      </c>
    </row>
    <row r="404" spans="1:21" ht="14.25" customHeight="1">
      <c r="A404" s="119" t="s">
        <v>2701</v>
      </c>
      <c r="B404" s="9">
        <v>1</v>
      </c>
      <c r="C404" s="7" t="s">
        <v>1593</v>
      </c>
      <c r="D404" s="187">
        <f t="shared" si="13"/>
        <v>20</v>
      </c>
      <c r="E404" s="7">
        <f>2.58/10</f>
        <v>0.25800000000000001</v>
      </c>
    </row>
    <row r="405" spans="1:21" ht="14.25" customHeight="1">
      <c r="A405" s="119" t="s">
        <v>2702</v>
      </c>
      <c r="B405" s="9">
        <v>1</v>
      </c>
      <c r="C405" s="7" t="s">
        <v>1594</v>
      </c>
      <c r="D405" s="187">
        <f t="shared" si="13"/>
        <v>20</v>
      </c>
      <c r="E405" s="7">
        <f>2.58/10</f>
        <v>0.25800000000000001</v>
      </c>
    </row>
    <row r="406" spans="1:21" ht="14.25" customHeight="1">
      <c r="A406" s="119" t="s">
        <v>2703</v>
      </c>
      <c r="B406" s="9">
        <v>1</v>
      </c>
      <c r="C406" s="7" t="s">
        <v>1595</v>
      </c>
      <c r="D406" s="187">
        <f t="shared" si="13"/>
        <v>20</v>
      </c>
      <c r="E406" s="7">
        <f>2.58/10</f>
        <v>0.25800000000000001</v>
      </c>
    </row>
    <row r="407" spans="1:21" ht="14.25" customHeight="1">
      <c r="A407" s="119" t="s">
        <v>2704</v>
      </c>
      <c r="B407" s="9">
        <v>1</v>
      </c>
      <c r="C407" s="7" t="s">
        <v>1596</v>
      </c>
      <c r="D407" s="187">
        <f t="shared" si="13"/>
        <v>20</v>
      </c>
      <c r="E407" s="7">
        <f>2.58/10</f>
        <v>0.25800000000000001</v>
      </c>
    </row>
    <row r="408" spans="1:21" s="4" customFormat="1" ht="14.25" customHeight="1">
      <c r="A408" s="119" t="s">
        <v>2705</v>
      </c>
      <c r="B408" s="9">
        <v>0.7</v>
      </c>
      <c r="C408" s="7" t="s">
        <v>1742</v>
      </c>
      <c r="D408" s="187">
        <f t="shared" si="13"/>
        <v>20</v>
      </c>
      <c r="E408" s="7">
        <f>2.18/10</f>
        <v>0.21800000000000003</v>
      </c>
      <c r="F408" s="7"/>
      <c r="G408" s="7"/>
      <c r="H408" s="7"/>
      <c r="I408" s="7"/>
      <c r="J408" s="7"/>
      <c r="K408" s="7"/>
      <c r="L408" s="7"/>
      <c r="M408" s="7"/>
      <c r="N408" s="7"/>
      <c r="O408" s="7"/>
      <c r="P408" s="7"/>
      <c r="Q408" s="7"/>
      <c r="R408" s="7"/>
      <c r="S408" s="7"/>
      <c r="T408" s="7"/>
      <c r="U408" s="7"/>
    </row>
    <row r="409" spans="1:21" ht="14.25" customHeight="1">
      <c r="A409" s="119" t="s">
        <v>2706</v>
      </c>
      <c r="B409" s="9">
        <v>0.7</v>
      </c>
      <c r="C409" s="7" t="s">
        <v>1743</v>
      </c>
      <c r="D409" s="187">
        <f t="shared" si="13"/>
        <v>20</v>
      </c>
      <c r="E409" s="7">
        <f>2.18/10</f>
        <v>0.21800000000000003</v>
      </c>
    </row>
    <row r="410" spans="1:21" ht="14.25" customHeight="1">
      <c r="A410" s="119" t="s">
        <v>2707</v>
      </c>
      <c r="B410" s="9">
        <v>0.7</v>
      </c>
      <c r="C410" s="7" t="s">
        <v>1744</v>
      </c>
      <c r="D410" s="187">
        <f t="shared" si="13"/>
        <v>20</v>
      </c>
      <c r="E410" s="7">
        <f>2.18/10</f>
        <v>0.21800000000000003</v>
      </c>
    </row>
    <row r="411" spans="1:21" ht="14.25" customHeight="1">
      <c r="A411" s="119" t="s">
        <v>2708</v>
      </c>
      <c r="B411" s="9">
        <v>0.7</v>
      </c>
      <c r="C411" s="7" t="s">
        <v>1745</v>
      </c>
      <c r="D411" s="187">
        <f t="shared" si="13"/>
        <v>20</v>
      </c>
      <c r="E411" s="7">
        <f>2.18/10</f>
        <v>0.21800000000000003</v>
      </c>
    </row>
    <row r="412" spans="1:21" ht="14.25" customHeight="1">
      <c r="A412" s="119" t="s">
        <v>2709</v>
      </c>
      <c r="B412" s="9">
        <v>0.7</v>
      </c>
      <c r="C412" s="7" t="s">
        <v>1746</v>
      </c>
      <c r="D412" s="187">
        <f t="shared" si="13"/>
        <v>20</v>
      </c>
      <c r="E412" s="7">
        <f>2.18/10</f>
        <v>0.21800000000000003</v>
      </c>
    </row>
    <row r="413" spans="1:21" ht="14.25" customHeight="1">
      <c r="A413" s="119" t="s">
        <v>2710</v>
      </c>
      <c r="B413" s="9">
        <v>1.5</v>
      </c>
      <c r="C413" s="7" t="s">
        <v>1747</v>
      </c>
      <c r="D413" s="187">
        <f t="shared" si="13"/>
        <v>20</v>
      </c>
      <c r="E413" s="7">
        <f>2.58/10</f>
        <v>0.25800000000000001</v>
      </c>
    </row>
    <row r="414" spans="1:21" ht="14.25" customHeight="1">
      <c r="A414" s="119" t="s">
        <v>2711</v>
      </c>
      <c r="B414" s="9">
        <v>1.5</v>
      </c>
      <c r="C414" s="7" t="s">
        <v>1748</v>
      </c>
      <c r="D414" s="187">
        <f t="shared" si="13"/>
        <v>20</v>
      </c>
      <c r="E414" s="7">
        <f>2.58/10</f>
        <v>0.25800000000000001</v>
      </c>
    </row>
    <row r="415" spans="1:21" s="4" customFormat="1" ht="14.25" customHeight="1">
      <c r="A415" s="119" t="s">
        <v>2712</v>
      </c>
      <c r="B415" s="9">
        <v>1.5</v>
      </c>
      <c r="C415" s="7" t="s">
        <v>1749</v>
      </c>
      <c r="D415" s="187">
        <f t="shared" si="13"/>
        <v>20</v>
      </c>
      <c r="E415" s="7">
        <f>2.58/10</f>
        <v>0.25800000000000001</v>
      </c>
      <c r="F415" s="7"/>
      <c r="G415" s="7"/>
      <c r="H415" s="7"/>
      <c r="I415" s="7"/>
      <c r="J415" s="7"/>
      <c r="K415" s="7"/>
      <c r="L415" s="7"/>
      <c r="M415" s="7"/>
      <c r="N415" s="7"/>
      <c r="O415" s="7"/>
      <c r="P415" s="7"/>
      <c r="Q415" s="7"/>
      <c r="R415" s="7"/>
      <c r="S415" s="7"/>
      <c r="T415" s="7"/>
      <c r="U415" s="7"/>
    </row>
    <row r="416" spans="1:21" ht="14.25" customHeight="1">
      <c r="A416" s="119" t="s">
        <v>2713</v>
      </c>
      <c r="B416" s="9">
        <v>1.5</v>
      </c>
      <c r="C416" s="7" t="s">
        <v>1750</v>
      </c>
      <c r="D416" s="187">
        <f t="shared" si="13"/>
        <v>20</v>
      </c>
      <c r="E416" s="7">
        <f>2.58/10</f>
        <v>0.25800000000000001</v>
      </c>
    </row>
    <row r="417" spans="1:21" ht="14.25" customHeight="1">
      <c r="A417" s="119" t="s">
        <v>2714</v>
      </c>
      <c r="B417" s="9">
        <v>1.5</v>
      </c>
      <c r="C417" s="7" t="s">
        <v>1751</v>
      </c>
      <c r="D417" s="187">
        <f t="shared" si="13"/>
        <v>20</v>
      </c>
      <c r="E417" s="7">
        <f>2.58/10</f>
        <v>0.25800000000000001</v>
      </c>
    </row>
    <row r="418" spans="1:21" ht="14.25" customHeight="1">
      <c r="A418" s="115">
        <v>253.01</v>
      </c>
      <c r="B418" s="9">
        <f>650/100</f>
        <v>6.5</v>
      </c>
      <c r="C418" s="1" t="s">
        <v>1850</v>
      </c>
      <c r="D418" s="189">
        <v>100</v>
      </c>
      <c r="E418" s="6">
        <f>0.27*50/100</f>
        <v>0.13500000000000001</v>
      </c>
    </row>
    <row r="419" spans="1:21" ht="14.25" customHeight="1">
      <c r="A419" s="115">
        <v>253.02</v>
      </c>
      <c r="B419" s="9">
        <f>600/100</f>
        <v>6</v>
      </c>
      <c r="C419" s="1" t="s">
        <v>1851</v>
      </c>
      <c r="D419" s="189">
        <v>100</v>
      </c>
      <c r="E419" s="6">
        <f>0.25*50/100</f>
        <v>0.125</v>
      </c>
    </row>
    <row r="420" spans="1:21" ht="14.25" customHeight="1">
      <c r="A420" s="115">
        <v>253.03</v>
      </c>
      <c r="B420" s="9">
        <f>600/100</f>
        <v>6</v>
      </c>
      <c r="C420" s="1" t="s">
        <v>1852</v>
      </c>
      <c r="D420" s="189">
        <v>100</v>
      </c>
      <c r="E420" s="6">
        <f>0.25*50/100</f>
        <v>0.125</v>
      </c>
    </row>
    <row r="421" spans="1:21" ht="14.25" customHeight="1">
      <c r="A421" s="115">
        <v>253.04</v>
      </c>
      <c r="B421" s="9">
        <f>1150/100</f>
        <v>11.5</v>
      </c>
      <c r="C421" s="1" t="s">
        <v>1853</v>
      </c>
      <c r="D421" s="188">
        <v>100</v>
      </c>
      <c r="E421" s="6">
        <v>0.36</v>
      </c>
    </row>
    <row r="422" spans="1:21" ht="14.25" customHeight="1">
      <c r="A422" s="115">
        <v>253.05</v>
      </c>
      <c r="B422" s="9">
        <f>1200/100</f>
        <v>12</v>
      </c>
      <c r="C422" s="1" t="s">
        <v>1854</v>
      </c>
      <c r="D422" s="188">
        <v>100</v>
      </c>
      <c r="E422" s="6">
        <v>0.35</v>
      </c>
    </row>
    <row r="423" spans="1:21" ht="14.25" customHeight="1">
      <c r="A423" s="115">
        <v>253.06</v>
      </c>
      <c r="B423" s="9">
        <f>1150/100</f>
        <v>11.5</v>
      </c>
      <c r="C423" s="1" t="s">
        <v>1855</v>
      </c>
      <c r="D423" s="188">
        <v>100</v>
      </c>
      <c r="E423" s="6">
        <v>0.35</v>
      </c>
      <c r="U423" s="4"/>
    </row>
    <row r="424" spans="1:21" ht="14.25" customHeight="1">
      <c r="A424" s="119" t="s">
        <v>2715</v>
      </c>
      <c r="B424" s="124">
        <f>350/200</f>
        <v>1.75</v>
      </c>
      <c r="C424" s="7" t="s">
        <v>1615</v>
      </c>
      <c r="D424" s="187">
        <v>200</v>
      </c>
      <c r="E424" s="56">
        <f>17/D424</f>
        <v>8.5000000000000006E-2</v>
      </c>
      <c r="U424" s="4"/>
    </row>
    <row r="425" spans="1:21" ht="14.25" customHeight="1">
      <c r="A425" s="119" t="s">
        <v>2716</v>
      </c>
      <c r="B425" s="124">
        <f>400/200</f>
        <v>2</v>
      </c>
      <c r="C425" s="7" t="s">
        <v>1625</v>
      </c>
      <c r="D425" s="187">
        <v>200</v>
      </c>
      <c r="E425" s="56">
        <f>19/D425</f>
        <v>9.5000000000000001E-2</v>
      </c>
    </row>
    <row r="426" spans="1:21" ht="14.25" customHeight="1">
      <c r="A426" s="119" t="s">
        <v>2717</v>
      </c>
      <c r="B426" s="124">
        <f>500/200</f>
        <v>2.5</v>
      </c>
      <c r="C426" s="7" t="s">
        <v>1617</v>
      </c>
      <c r="D426" s="187">
        <v>200</v>
      </c>
      <c r="E426" s="56">
        <f>21/D426</f>
        <v>0.105</v>
      </c>
      <c r="U426" s="4"/>
    </row>
    <row r="427" spans="1:21" ht="14.25" customHeight="1">
      <c r="A427" s="119" t="s">
        <v>2718</v>
      </c>
      <c r="B427" s="124">
        <f>650/200</f>
        <v>3.25</v>
      </c>
      <c r="C427" s="7" t="s">
        <v>1616</v>
      </c>
      <c r="D427" s="187">
        <v>200</v>
      </c>
      <c r="E427" s="56">
        <f>28/D427</f>
        <v>0.14000000000000001</v>
      </c>
    </row>
    <row r="428" spans="1:21" ht="14.25" customHeight="1">
      <c r="A428" s="119" t="s">
        <v>2719</v>
      </c>
      <c r="B428" s="9">
        <f>700/200</f>
        <v>3.5</v>
      </c>
      <c r="C428" s="7" t="s">
        <v>1613</v>
      </c>
      <c r="D428" s="187">
        <v>200</v>
      </c>
      <c r="E428" s="56">
        <f>30/D428</f>
        <v>0.15</v>
      </c>
    </row>
    <row r="429" spans="1:21" ht="14.25" customHeight="1">
      <c r="A429" s="119" t="s">
        <v>2720</v>
      </c>
      <c r="B429" s="9">
        <f>700/200</f>
        <v>3.5</v>
      </c>
      <c r="C429" s="7" t="s">
        <v>1618</v>
      </c>
      <c r="D429" s="187">
        <v>200</v>
      </c>
      <c r="E429" s="56">
        <f>30/D429</f>
        <v>0.15</v>
      </c>
    </row>
    <row r="430" spans="1:21" ht="14.25" customHeight="1">
      <c r="A430" s="119" t="s">
        <v>2721</v>
      </c>
      <c r="B430" s="9">
        <f>550/100</f>
        <v>5.5</v>
      </c>
      <c r="C430" s="7" t="s">
        <v>1624</v>
      </c>
      <c r="D430" s="187">
        <v>100</v>
      </c>
      <c r="E430" s="56">
        <f>20/D430</f>
        <v>0.2</v>
      </c>
    </row>
    <row r="431" spans="1:21" ht="14.25" customHeight="1">
      <c r="A431" s="119" t="s">
        <v>2722</v>
      </c>
      <c r="B431" s="9">
        <f>550/100</f>
        <v>5.5</v>
      </c>
      <c r="C431" s="7" t="s">
        <v>1622</v>
      </c>
      <c r="D431" s="187">
        <v>100</v>
      </c>
      <c r="E431" s="56">
        <f>20/D431</f>
        <v>0.2</v>
      </c>
    </row>
    <row r="432" spans="1:21" ht="14.25" customHeight="1">
      <c r="A432" s="119" t="s">
        <v>2723</v>
      </c>
      <c r="B432" s="9">
        <f>600/100</f>
        <v>6</v>
      </c>
      <c r="C432" s="7" t="s">
        <v>1623</v>
      </c>
      <c r="D432" s="187">
        <v>100</v>
      </c>
      <c r="E432" s="56">
        <f>22/D432</f>
        <v>0.22</v>
      </c>
    </row>
    <row r="433" spans="1:21" ht="14.25" customHeight="1">
      <c r="A433" s="119" t="s">
        <v>2724</v>
      </c>
      <c r="B433" s="9">
        <f>750/100</f>
        <v>7.5</v>
      </c>
      <c r="C433" s="7" t="s">
        <v>1620</v>
      </c>
      <c r="D433" s="187">
        <v>100</v>
      </c>
      <c r="E433" s="56">
        <f>22/D433</f>
        <v>0.22</v>
      </c>
    </row>
    <row r="434" spans="1:21" ht="14.25" customHeight="1">
      <c r="A434" s="119" t="s">
        <v>2725</v>
      </c>
      <c r="B434" s="9">
        <f>950/100</f>
        <v>9.5</v>
      </c>
      <c r="C434" s="7" t="s">
        <v>1626</v>
      </c>
      <c r="D434" s="187">
        <v>100</v>
      </c>
      <c r="E434" s="56">
        <f>27/D434</f>
        <v>0.27</v>
      </c>
    </row>
    <row r="435" spans="1:21" ht="14.25" customHeight="1">
      <c r="A435" s="119" t="s">
        <v>2726</v>
      </c>
      <c r="B435" s="9">
        <f>900/100</f>
        <v>9</v>
      </c>
      <c r="C435" s="7" t="s">
        <v>1621</v>
      </c>
      <c r="D435" s="187">
        <v>100</v>
      </c>
      <c r="E435" s="56">
        <f>27/D435</f>
        <v>0.27</v>
      </c>
    </row>
    <row r="436" spans="1:21" ht="14.25" customHeight="1">
      <c r="A436" s="119" t="s">
        <v>2727</v>
      </c>
      <c r="B436" s="9">
        <f>1350/100</f>
        <v>13.5</v>
      </c>
      <c r="C436" s="7" t="s">
        <v>1614</v>
      </c>
      <c r="D436" s="187">
        <v>100</v>
      </c>
      <c r="E436" s="56">
        <f>38/D436</f>
        <v>0.38</v>
      </c>
    </row>
    <row r="437" spans="1:21" ht="14.25" customHeight="1">
      <c r="A437" s="119" t="s">
        <v>2728</v>
      </c>
      <c r="B437" s="9">
        <f>1350/100</f>
        <v>13.5</v>
      </c>
      <c r="C437" s="7" t="s">
        <v>1619</v>
      </c>
      <c r="D437" s="187">
        <v>100</v>
      </c>
      <c r="E437" s="56">
        <f>38/D437</f>
        <v>0.38</v>
      </c>
    </row>
    <row r="438" spans="1:21" ht="14.25" customHeight="1">
      <c r="A438" s="128" t="s">
        <v>2631</v>
      </c>
      <c r="B438" s="9">
        <v>25.5</v>
      </c>
      <c r="C438" s="7" t="s">
        <v>1436</v>
      </c>
      <c r="D438" s="187">
        <v>2</v>
      </c>
      <c r="E438" s="7">
        <v>0.8</v>
      </c>
    </row>
    <row r="439" spans="1:21" ht="14.25" customHeight="1">
      <c r="A439" s="128" t="s">
        <v>2632</v>
      </c>
      <c r="B439" s="9">
        <v>25.5</v>
      </c>
      <c r="C439" s="7" t="s">
        <v>1437</v>
      </c>
      <c r="D439" s="187">
        <v>2</v>
      </c>
      <c r="E439" s="7">
        <v>0.8</v>
      </c>
    </row>
    <row r="440" spans="1:21" ht="14.25" customHeight="1">
      <c r="A440" s="128" t="s">
        <v>2633</v>
      </c>
      <c r="B440" s="9">
        <v>25.5</v>
      </c>
      <c r="C440" s="7" t="s">
        <v>1438</v>
      </c>
      <c r="D440" s="187">
        <v>1</v>
      </c>
      <c r="E440" s="7">
        <v>0.8</v>
      </c>
    </row>
    <row r="441" spans="1:21" ht="14.25" customHeight="1">
      <c r="A441" s="128" t="s">
        <v>2634</v>
      </c>
      <c r="B441" s="9">
        <v>25.5</v>
      </c>
      <c r="C441" s="7" t="s">
        <v>1439</v>
      </c>
      <c r="D441" s="187">
        <v>1</v>
      </c>
      <c r="E441" s="7">
        <v>0.8</v>
      </c>
    </row>
    <row r="442" spans="1:21" ht="14.25" customHeight="1">
      <c r="A442" s="128" t="s">
        <v>2635</v>
      </c>
      <c r="B442" s="9">
        <v>25.5</v>
      </c>
      <c r="C442" s="7" t="s">
        <v>1440</v>
      </c>
      <c r="D442" s="187">
        <v>1</v>
      </c>
      <c r="E442" s="7">
        <v>0.8</v>
      </c>
    </row>
    <row r="443" spans="1:21" s="4" customFormat="1" ht="14.25" customHeight="1">
      <c r="A443" s="128" t="s">
        <v>2636</v>
      </c>
      <c r="B443" s="9">
        <v>25.5</v>
      </c>
      <c r="C443" s="7" t="s">
        <v>1441</v>
      </c>
      <c r="D443" s="187">
        <v>1</v>
      </c>
      <c r="E443" s="7">
        <v>0.8</v>
      </c>
      <c r="F443" s="7"/>
      <c r="G443" s="7"/>
      <c r="H443" s="7"/>
      <c r="I443" s="7"/>
      <c r="J443" s="7"/>
      <c r="K443" s="7"/>
      <c r="L443" s="7"/>
      <c r="M443" s="7"/>
      <c r="N443" s="7"/>
      <c r="O443" s="7"/>
      <c r="P443" s="7"/>
      <c r="Q443" s="7"/>
      <c r="R443" s="7"/>
      <c r="S443" s="7"/>
      <c r="T443" s="7"/>
      <c r="U443" s="7"/>
    </row>
    <row r="444" spans="1:21" ht="14.25" customHeight="1">
      <c r="A444" s="128" t="s">
        <v>2637</v>
      </c>
      <c r="B444" s="9">
        <v>40.9</v>
      </c>
      <c r="C444" s="7" t="s">
        <v>1442</v>
      </c>
      <c r="D444" s="187">
        <v>2</v>
      </c>
      <c r="E444" s="7">
        <v>1.2</v>
      </c>
    </row>
    <row r="445" spans="1:21" s="4" customFormat="1" ht="14.25" customHeight="1">
      <c r="A445" s="128" t="s">
        <v>2638</v>
      </c>
      <c r="B445" s="9">
        <v>40.9</v>
      </c>
      <c r="C445" s="7" t="s">
        <v>1443</v>
      </c>
      <c r="D445" s="187">
        <v>2</v>
      </c>
      <c r="E445" s="7">
        <v>1.2</v>
      </c>
      <c r="F445" s="7"/>
      <c r="G445" s="7"/>
      <c r="H445" s="7"/>
      <c r="I445" s="7"/>
      <c r="J445" s="7"/>
      <c r="K445" s="7"/>
      <c r="L445" s="7"/>
      <c r="M445" s="7"/>
      <c r="N445" s="7"/>
      <c r="O445" s="7"/>
      <c r="P445" s="7"/>
      <c r="Q445" s="7"/>
      <c r="R445" s="7"/>
      <c r="S445" s="7"/>
      <c r="T445" s="7"/>
      <c r="U445" s="7"/>
    </row>
    <row r="446" spans="1:21" ht="14.25" customHeight="1">
      <c r="A446" s="128" t="s">
        <v>2639</v>
      </c>
      <c r="B446" s="9">
        <v>40.9</v>
      </c>
      <c r="C446" s="7" t="s">
        <v>1444</v>
      </c>
      <c r="D446" s="187">
        <v>1</v>
      </c>
      <c r="E446" s="7">
        <v>1.2</v>
      </c>
    </row>
    <row r="447" spans="1:21" ht="14.25" customHeight="1">
      <c r="A447" s="128" t="s">
        <v>2640</v>
      </c>
      <c r="B447" s="9">
        <v>40.9</v>
      </c>
      <c r="C447" s="7" t="s">
        <v>1445</v>
      </c>
      <c r="D447" s="187">
        <v>1</v>
      </c>
      <c r="E447" s="7">
        <v>1.2</v>
      </c>
    </row>
    <row r="448" spans="1:21" ht="14.25" customHeight="1">
      <c r="A448" s="128" t="s">
        <v>2641</v>
      </c>
      <c r="B448" s="9">
        <v>40.9</v>
      </c>
      <c r="C448" s="7" t="s">
        <v>1446</v>
      </c>
      <c r="D448" s="187">
        <v>1</v>
      </c>
      <c r="E448" s="7">
        <v>1.2</v>
      </c>
    </row>
    <row r="449" spans="1:21" ht="14.25" customHeight="1">
      <c r="A449" s="128" t="s">
        <v>2642</v>
      </c>
      <c r="B449" s="9">
        <v>40.9</v>
      </c>
      <c r="C449" s="7" t="s">
        <v>1447</v>
      </c>
      <c r="D449" s="187">
        <v>1</v>
      </c>
      <c r="E449" s="7">
        <v>1.2</v>
      </c>
    </row>
    <row r="450" spans="1:21" ht="14.25" customHeight="1">
      <c r="A450" s="128" t="s">
        <v>2643</v>
      </c>
      <c r="B450" s="9">
        <v>40.9</v>
      </c>
      <c r="C450" s="7" t="s">
        <v>1448</v>
      </c>
      <c r="D450" s="187">
        <v>1</v>
      </c>
      <c r="E450" s="7">
        <v>1.5</v>
      </c>
    </row>
    <row r="451" spans="1:21" ht="14.25" customHeight="1">
      <c r="A451" s="128" t="s">
        <v>2644</v>
      </c>
      <c r="B451" s="9">
        <v>40.9</v>
      </c>
      <c r="C451" s="7" t="s">
        <v>1449</v>
      </c>
      <c r="D451" s="187">
        <v>1</v>
      </c>
      <c r="E451" s="7">
        <v>1.5</v>
      </c>
    </row>
    <row r="452" spans="1:21" ht="14.25" customHeight="1">
      <c r="A452" s="128" t="s">
        <v>2645</v>
      </c>
      <c r="B452" s="9">
        <v>54.4</v>
      </c>
      <c r="C452" s="7" t="s">
        <v>1450</v>
      </c>
      <c r="D452" s="187">
        <v>3</v>
      </c>
      <c r="E452" s="7">
        <v>2.1</v>
      </c>
    </row>
    <row r="453" spans="1:21" ht="14.25" customHeight="1">
      <c r="A453" s="128" t="s">
        <v>2646</v>
      </c>
      <c r="B453" s="9">
        <v>54.4</v>
      </c>
      <c r="C453" s="7" t="s">
        <v>1451</v>
      </c>
      <c r="D453" s="187">
        <v>4</v>
      </c>
      <c r="E453" s="7">
        <v>2.1</v>
      </c>
      <c r="U453" s="4"/>
    </row>
    <row r="454" spans="1:21" ht="14.25" customHeight="1">
      <c r="A454" s="128" t="s">
        <v>2647</v>
      </c>
      <c r="B454" s="9">
        <v>54.4</v>
      </c>
      <c r="C454" s="7" t="s">
        <v>1452</v>
      </c>
      <c r="D454" s="187">
        <v>2</v>
      </c>
      <c r="E454" s="7">
        <v>2.1</v>
      </c>
    </row>
    <row r="455" spans="1:21" ht="14.25" customHeight="1">
      <c r="A455" s="128" t="s">
        <v>2648</v>
      </c>
      <c r="B455" s="9">
        <v>54.4</v>
      </c>
      <c r="C455" s="7" t="s">
        <v>1453</v>
      </c>
      <c r="D455" s="187">
        <v>2</v>
      </c>
      <c r="E455" s="7">
        <v>2.1</v>
      </c>
    </row>
    <row r="456" spans="1:21" ht="14.25" customHeight="1">
      <c r="A456" s="128" t="s">
        <v>2649</v>
      </c>
      <c r="B456" s="9">
        <v>54.4</v>
      </c>
      <c r="C456" s="7" t="s">
        <v>1454</v>
      </c>
      <c r="D456" s="187">
        <v>2</v>
      </c>
      <c r="E456" s="7">
        <v>2.1</v>
      </c>
    </row>
    <row r="457" spans="1:21" ht="14.25" customHeight="1">
      <c r="A457" s="128" t="s">
        <v>2650</v>
      </c>
      <c r="B457" s="9">
        <v>54.4</v>
      </c>
      <c r="C457" s="7" t="s">
        <v>1455</v>
      </c>
      <c r="D457" s="187">
        <v>2</v>
      </c>
      <c r="E457" s="7">
        <v>2.1</v>
      </c>
    </row>
    <row r="458" spans="1:21" ht="14.25" customHeight="1">
      <c r="A458" s="128" t="s">
        <v>2651</v>
      </c>
      <c r="B458" s="110">
        <f>222.2/1000</f>
        <v>0.22219999999999998</v>
      </c>
      <c r="C458" s="7" t="s">
        <v>1456</v>
      </c>
      <c r="D458" s="187">
        <v>1000</v>
      </c>
      <c r="E458" s="56">
        <f>8.8/1000</f>
        <v>8.8000000000000005E-3</v>
      </c>
    </row>
    <row r="459" spans="1:21" ht="14.25" customHeight="1">
      <c r="A459" s="128" t="s">
        <v>2652</v>
      </c>
      <c r="B459" s="110">
        <f>269.3/500</f>
        <v>0.53859999999999997</v>
      </c>
      <c r="C459" s="7" t="s">
        <v>1457</v>
      </c>
      <c r="D459" s="187">
        <v>500</v>
      </c>
      <c r="E459" s="80">
        <f>9.2/500</f>
        <v>1.84E-2</v>
      </c>
    </row>
    <row r="460" spans="1:21" ht="14.25" customHeight="1">
      <c r="A460" s="128" t="s">
        <v>2653</v>
      </c>
      <c r="B460" s="110">
        <f>260/250</f>
        <v>1.04</v>
      </c>
      <c r="C460" s="51" t="s">
        <v>3182</v>
      </c>
      <c r="D460" s="187">
        <f>1*10</f>
        <v>10</v>
      </c>
      <c r="E460" s="7">
        <f>10.6/10</f>
        <v>1.06</v>
      </c>
    </row>
    <row r="461" spans="1:21" ht="14.25" customHeight="1">
      <c r="A461" s="115">
        <v>262.41000000000003</v>
      </c>
      <c r="B461" s="9">
        <f>330/10</f>
        <v>33</v>
      </c>
      <c r="C461" s="1" t="s">
        <v>4037</v>
      </c>
      <c r="D461" s="188">
        <v>20</v>
      </c>
      <c r="E461" s="6">
        <v>1.28</v>
      </c>
    </row>
    <row r="462" spans="1:21" ht="14.25" customHeight="1">
      <c r="A462" s="128" t="s">
        <v>2654</v>
      </c>
      <c r="B462" s="110">
        <f>68.6/30</f>
        <v>2.2866666666666666</v>
      </c>
      <c r="C462" s="7" t="s">
        <v>1458</v>
      </c>
      <c r="D462" s="187">
        <v>30</v>
      </c>
      <c r="E462" s="7">
        <v>0.16</v>
      </c>
    </row>
    <row r="463" spans="1:21" ht="14.25" customHeight="1">
      <c r="A463" s="128" t="s">
        <v>2655</v>
      </c>
      <c r="B463" s="110">
        <f>81.6/30</f>
        <v>2.7199999999999998</v>
      </c>
      <c r="C463" s="7" t="s">
        <v>1459</v>
      </c>
      <c r="D463" s="187">
        <v>30</v>
      </c>
      <c r="E463" s="7">
        <v>0.17</v>
      </c>
    </row>
    <row r="464" spans="1:21" ht="14.25" customHeight="1">
      <c r="A464" s="128" t="s">
        <v>2656</v>
      </c>
      <c r="B464" s="110">
        <f>118.3/30</f>
        <v>3.9433333333333334</v>
      </c>
      <c r="C464" s="7" t="s">
        <v>1460</v>
      </c>
      <c r="D464" s="187">
        <v>30</v>
      </c>
      <c r="E464" s="7">
        <v>0.19</v>
      </c>
    </row>
    <row r="465" spans="1:21" ht="14.25" customHeight="1">
      <c r="A465" s="128" t="s">
        <v>2657</v>
      </c>
      <c r="B465" s="110">
        <f>97.5/20</f>
        <v>4.875</v>
      </c>
      <c r="C465" s="7" t="s">
        <v>1461</v>
      </c>
      <c r="D465" s="187">
        <v>20</v>
      </c>
      <c r="E465" s="7">
        <v>0.24</v>
      </c>
    </row>
    <row r="466" spans="1:21" ht="14.25" customHeight="1">
      <c r="A466" s="128" t="s">
        <v>2658</v>
      </c>
      <c r="B466" s="110">
        <f>117/25</f>
        <v>4.68</v>
      </c>
      <c r="C466" s="7" t="s">
        <v>1462</v>
      </c>
      <c r="D466" s="190">
        <v>25</v>
      </c>
      <c r="E466" s="7">
        <f>0.26*20/25</f>
        <v>0.20800000000000002</v>
      </c>
    </row>
    <row r="467" spans="1:21" ht="14.25" customHeight="1">
      <c r="A467" s="128" t="s">
        <v>2659</v>
      </c>
      <c r="B467" s="110">
        <f>119/23</f>
        <v>5.1739130434782608</v>
      </c>
      <c r="C467" s="7" t="s">
        <v>1463</v>
      </c>
      <c r="D467" s="190">
        <v>23</v>
      </c>
      <c r="E467" s="80">
        <f>0.28*20/23</f>
        <v>0.24347826086956523</v>
      </c>
    </row>
    <row r="468" spans="1:21" ht="14.25" customHeight="1">
      <c r="A468" s="128" t="s">
        <v>2660</v>
      </c>
      <c r="B468" s="110">
        <f>181/22</f>
        <v>8.2272727272727266</v>
      </c>
      <c r="C468" s="7" t="s">
        <v>1464</v>
      </c>
      <c r="D468" s="190">
        <v>22</v>
      </c>
      <c r="E468" s="80">
        <f>0.38*15/22</f>
        <v>0.25909090909090909</v>
      </c>
    </row>
    <row r="469" spans="1:21" ht="14.25" customHeight="1">
      <c r="A469" s="128" t="s">
        <v>2605</v>
      </c>
      <c r="B469" s="9">
        <f>53.6/2</f>
        <v>26.8</v>
      </c>
      <c r="C469" s="53" t="s">
        <v>1408</v>
      </c>
      <c r="D469" s="187">
        <f t="shared" ref="D469:D476" si="14">2*2</f>
        <v>4</v>
      </c>
      <c r="E469" s="7">
        <f t="shared" ref="E469:E476" si="15">1.85/2</f>
        <v>0.92500000000000004</v>
      </c>
    </row>
    <row r="470" spans="1:21" ht="14.25" customHeight="1">
      <c r="A470" s="128" t="s">
        <v>2606</v>
      </c>
      <c r="B470" s="9">
        <f>53.6/2</f>
        <v>26.8</v>
      </c>
      <c r="C470" s="53" t="s">
        <v>1409</v>
      </c>
      <c r="D470" s="187">
        <f t="shared" si="14"/>
        <v>4</v>
      </c>
      <c r="E470" s="7">
        <f t="shared" si="15"/>
        <v>0.92500000000000004</v>
      </c>
    </row>
    <row r="471" spans="1:21" ht="14.25" customHeight="1">
      <c r="A471" s="128" t="s">
        <v>2607</v>
      </c>
      <c r="B471" s="9">
        <f>53.3/2</f>
        <v>26.65</v>
      </c>
      <c r="C471" s="53" t="s">
        <v>1410</v>
      </c>
      <c r="D471" s="187">
        <f t="shared" si="14"/>
        <v>4</v>
      </c>
      <c r="E471" s="7">
        <f t="shared" si="15"/>
        <v>0.92500000000000004</v>
      </c>
    </row>
    <row r="472" spans="1:21" s="4" customFormat="1" ht="14.25" customHeight="1">
      <c r="A472" s="128" t="s">
        <v>2608</v>
      </c>
      <c r="B472" s="133">
        <f>55.6/2</f>
        <v>27.8</v>
      </c>
      <c r="C472" s="53" t="s">
        <v>1411</v>
      </c>
      <c r="D472" s="187">
        <f t="shared" si="14"/>
        <v>4</v>
      </c>
      <c r="E472" s="7">
        <f t="shared" si="15"/>
        <v>0.92500000000000004</v>
      </c>
      <c r="F472" s="7"/>
      <c r="G472" s="7"/>
      <c r="H472" s="7"/>
      <c r="I472" s="7"/>
      <c r="J472" s="7"/>
      <c r="K472" s="7"/>
      <c r="L472" s="7"/>
      <c r="M472" s="7"/>
      <c r="N472" s="7"/>
      <c r="O472" s="7"/>
      <c r="P472" s="7"/>
      <c r="Q472" s="7"/>
      <c r="R472" s="7"/>
      <c r="S472" s="7"/>
      <c r="T472" s="7"/>
      <c r="U472" s="7"/>
    </row>
    <row r="473" spans="1:21" ht="14.25" customHeight="1">
      <c r="A473" s="128" t="s">
        <v>2609</v>
      </c>
      <c r="B473" s="9">
        <f>55.1/2</f>
        <v>27.55</v>
      </c>
      <c r="C473" s="53" t="s">
        <v>1412</v>
      </c>
      <c r="D473" s="187">
        <f t="shared" si="14"/>
        <v>4</v>
      </c>
      <c r="E473" s="7">
        <f t="shared" si="15"/>
        <v>0.92500000000000004</v>
      </c>
    </row>
    <row r="474" spans="1:21" ht="14.25" customHeight="1">
      <c r="A474" s="128" t="s">
        <v>2610</v>
      </c>
      <c r="B474" s="9">
        <f>52.6/2</f>
        <v>26.3</v>
      </c>
      <c r="C474" s="53" t="s">
        <v>1413</v>
      </c>
      <c r="D474" s="187">
        <f t="shared" si="14"/>
        <v>4</v>
      </c>
      <c r="E474" s="7">
        <f t="shared" si="15"/>
        <v>0.92500000000000004</v>
      </c>
    </row>
    <row r="475" spans="1:21" ht="14.25" customHeight="1">
      <c r="A475" s="128" t="s">
        <v>2611</v>
      </c>
      <c r="B475" s="9">
        <f>54/2</f>
        <v>27</v>
      </c>
      <c r="C475" s="53" t="s">
        <v>1414</v>
      </c>
      <c r="D475" s="187">
        <f t="shared" si="14"/>
        <v>4</v>
      </c>
      <c r="E475" s="7">
        <f t="shared" si="15"/>
        <v>0.92500000000000004</v>
      </c>
      <c r="U475" s="4"/>
    </row>
    <row r="476" spans="1:21" ht="14.25" customHeight="1">
      <c r="A476" s="128" t="s">
        <v>2612</v>
      </c>
      <c r="B476" s="9">
        <f>52.5/2</f>
        <v>26.25</v>
      </c>
      <c r="C476" s="53" t="s">
        <v>1415</v>
      </c>
      <c r="D476" s="187">
        <f t="shared" si="14"/>
        <v>4</v>
      </c>
      <c r="E476" s="7">
        <f t="shared" si="15"/>
        <v>0.92500000000000004</v>
      </c>
    </row>
    <row r="477" spans="1:21" ht="14.25" customHeight="1">
      <c r="A477" s="128" t="s">
        <v>2613</v>
      </c>
      <c r="B477" s="9">
        <v>14</v>
      </c>
      <c r="C477" s="7" t="s">
        <v>1417</v>
      </c>
      <c r="D477" s="187">
        <v>3</v>
      </c>
      <c r="E477" s="7">
        <v>1.5</v>
      </c>
    </row>
    <row r="478" spans="1:21" ht="14.25" customHeight="1">
      <c r="A478" s="128" t="s">
        <v>2614</v>
      </c>
      <c r="B478" s="9">
        <v>14</v>
      </c>
      <c r="C478" s="7" t="s">
        <v>1416</v>
      </c>
      <c r="D478" s="187">
        <v>3</v>
      </c>
      <c r="E478" s="7">
        <v>1.5</v>
      </c>
    </row>
    <row r="479" spans="1:21" ht="14.25" customHeight="1">
      <c r="A479" s="128" t="s">
        <v>2615</v>
      </c>
      <c r="B479" s="9">
        <v>14</v>
      </c>
      <c r="C479" s="7" t="s">
        <v>1419</v>
      </c>
      <c r="D479" s="187">
        <v>3</v>
      </c>
      <c r="E479" s="7">
        <v>1.5</v>
      </c>
    </row>
    <row r="480" spans="1:21" ht="14.25" customHeight="1">
      <c r="A480" s="128" t="s">
        <v>2616</v>
      </c>
      <c r="B480" s="9">
        <v>14</v>
      </c>
      <c r="C480" s="7" t="s">
        <v>1420</v>
      </c>
      <c r="D480" s="187">
        <v>3</v>
      </c>
      <c r="E480" s="7">
        <v>1.5</v>
      </c>
    </row>
    <row r="481" spans="1:21" ht="14.25" customHeight="1">
      <c r="A481" s="128" t="s">
        <v>2617</v>
      </c>
      <c r="B481" s="9">
        <v>14</v>
      </c>
      <c r="C481" s="7" t="s">
        <v>1421</v>
      </c>
      <c r="D481" s="187">
        <v>3</v>
      </c>
      <c r="E481" s="7">
        <v>1.5</v>
      </c>
    </row>
    <row r="482" spans="1:21" ht="14.25" customHeight="1">
      <c r="A482" s="128" t="s">
        <v>2618</v>
      </c>
      <c r="B482" s="9">
        <v>14</v>
      </c>
      <c r="C482" s="7" t="s">
        <v>1418</v>
      </c>
      <c r="D482" s="187">
        <v>3</v>
      </c>
      <c r="E482" s="7">
        <v>1.5</v>
      </c>
    </row>
    <row r="483" spans="1:21" ht="14.25" customHeight="1">
      <c r="A483" s="128" t="s">
        <v>2619</v>
      </c>
      <c r="B483" s="9">
        <v>14</v>
      </c>
      <c r="C483" s="7" t="s">
        <v>1422</v>
      </c>
      <c r="D483" s="187">
        <v>3</v>
      </c>
      <c r="E483" s="7">
        <v>1.5</v>
      </c>
    </row>
    <row r="484" spans="1:21" ht="14.25" customHeight="1">
      <c r="A484" s="128" t="s">
        <v>2620</v>
      </c>
      <c r="B484" s="9">
        <v>13</v>
      </c>
      <c r="C484" s="7" t="s">
        <v>1423</v>
      </c>
      <c r="D484" s="187">
        <v>3</v>
      </c>
      <c r="E484" s="7">
        <v>0.9</v>
      </c>
    </row>
    <row r="485" spans="1:21" ht="14.25" customHeight="1">
      <c r="A485" s="128" t="s">
        <v>2621</v>
      </c>
      <c r="B485" s="9">
        <v>13</v>
      </c>
      <c r="C485" s="7" t="s">
        <v>1424</v>
      </c>
      <c r="D485" s="187">
        <v>3</v>
      </c>
      <c r="E485" s="7">
        <v>0.9</v>
      </c>
    </row>
    <row r="486" spans="1:21" ht="14.25" customHeight="1">
      <c r="A486" s="128" t="s">
        <v>2622</v>
      </c>
      <c r="B486" s="9">
        <v>13</v>
      </c>
      <c r="C486" s="7" t="s">
        <v>1425</v>
      </c>
      <c r="D486" s="187">
        <v>3</v>
      </c>
      <c r="E486" s="7">
        <v>0.9</v>
      </c>
      <c r="U486" s="4"/>
    </row>
    <row r="487" spans="1:21" ht="14.25" customHeight="1">
      <c r="A487" s="128" t="s">
        <v>2623</v>
      </c>
      <c r="B487" s="9">
        <v>13</v>
      </c>
      <c r="C487" s="7" t="s">
        <v>1426</v>
      </c>
      <c r="D487" s="187">
        <v>3</v>
      </c>
      <c r="E487" s="7">
        <v>0.9</v>
      </c>
    </row>
    <row r="488" spans="1:21" ht="14.25" customHeight="1">
      <c r="A488" s="128" t="s">
        <v>2624</v>
      </c>
      <c r="B488" s="9">
        <v>13</v>
      </c>
      <c r="C488" s="7" t="s">
        <v>1427</v>
      </c>
      <c r="D488" s="187">
        <v>3</v>
      </c>
      <c r="E488" s="7">
        <v>0.9</v>
      </c>
    </row>
    <row r="489" spans="1:21" ht="14.25" customHeight="1">
      <c r="A489" s="128" t="s">
        <v>2625</v>
      </c>
      <c r="B489" s="9">
        <v>13</v>
      </c>
      <c r="C489" s="7" t="s">
        <v>1428</v>
      </c>
      <c r="D489" s="187">
        <v>3</v>
      </c>
      <c r="E489" s="7">
        <v>0.9</v>
      </c>
    </row>
    <row r="490" spans="1:21" ht="14.25" customHeight="1">
      <c r="A490" s="128" t="s">
        <v>2626</v>
      </c>
      <c r="B490" s="9">
        <v>6</v>
      </c>
      <c r="C490" s="7" t="s">
        <v>1429</v>
      </c>
      <c r="D490" s="187">
        <v>3</v>
      </c>
      <c r="E490" s="7">
        <v>1.6</v>
      </c>
    </row>
    <row r="491" spans="1:21" ht="14.25" customHeight="1">
      <c r="A491" s="128" t="s">
        <v>2627</v>
      </c>
      <c r="B491" s="9">
        <v>6</v>
      </c>
      <c r="C491" s="7" t="s">
        <v>1430</v>
      </c>
      <c r="D491" s="187">
        <v>3</v>
      </c>
      <c r="E491" s="7">
        <v>1.6</v>
      </c>
    </row>
    <row r="492" spans="1:21" ht="14.25" customHeight="1">
      <c r="A492" s="128" t="s">
        <v>2628</v>
      </c>
      <c r="B492" s="9">
        <v>6</v>
      </c>
      <c r="C492" s="7" t="s">
        <v>1431</v>
      </c>
      <c r="D492" s="187">
        <v>3</v>
      </c>
      <c r="E492" s="7">
        <v>1.6</v>
      </c>
    </row>
    <row r="493" spans="1:21" s="4" customFormat="1" ht="14.25" customHeight="1">
      <c r="A493" s="128" t="s">
        <v>2629</v>
      </c>
      <c r="B493" s="9">
        <v>6</v>
      </c>
      <c r="C493" s="7" t="s">
        <v>1433</v>
      </c>
      <c r="D493" s="187">
        <v>3</v>
      </c>
      <c r="E493" s="7">
        <v>1.6</v>
      </c>
      <c r="F493" s="7"/>
      <c r="G493" s="7"/>
      <c r="H493" s="7"/>
      <c r="I493" s="7"/>
      <c r="J493" s="7"/>
      <c r="K493" s="7"/>
      <c r="L493" s="7"/>
      <c r="M493" s="7"/>
      <c r="N493" s="7"/>
      <c r="O493" s="7"/>
      <c r="P493" s="7"/>
      <c r="Q493" s="7"/>
      <c r="R493" s="7"/>
      <c r="S493" s="7"/>
      <c r="T493" s="7"/>
      <c r="U493" s="7"/>
    </row>
    <row r="494" spans="1:21" ht="14.25" customHeight="1">
      <c r="A494" s="128" t="s">
        <v>2630</v>
      </c>
      <c r="B494" s="9">
        <v>6</v>
      </c>
      <c r="C494" s="7" t="s">
        <v>1432</v>
      </c>
      <c r="D494" s="187">
        <v>3</v>
      </c>
      <c r="E494" s="7">
        <v>1.6</v>
      </c>
    </row>
    <row r="495" spans="1:21" ht="14.25" customHeight="1">
      <c r="A495" s="137" t="s">
        <v>2435</v>
      </c>
      <c r="B495" s="9">
        <v>57.6</v>
      </c>
      <c r="C495" s="7" t="s">
        <v>1262</v>
      </c>
      <c r="D495" s="187">
        <v>20</v>
      </c>
      <c r="E495" s="7">
        <v>1.2</v>
      </c>
    </row>
    <row r="496" spans="1:21" ht="14.25" customHeight="1">
      <c r="A496" s="137" t="s">
        <v>2436</v>
      </c>
      <c r="B496" s="9">
        <v>61.9</v>
      </c>
      <c r="C496" s="7" t="s">
        <v>1263</v>
      </c>
      <c r="D496" s="187">
        <v>20</v>
      </c>
      <c r="E496" s="7">
        <v>1.2</v>
      </c>
    </row>
    <row r="497" spans="1:21" ht="14.25" customHeight="1">
      <c r="A497" s="137" t="s">
        <v>2437</v>
      </c>
      <c r="B497" s="9">
        <v>80.900000000000006</v>
      </c>
      <c r="C497" s="7" t="s">
        <v>1264</v>
      </c>
      <c r="D497" s="187">
        <v>20</v>
      </c>
      <c r="E497" s="7">
        <v>1.4</v>
      </c>
    </row>
    <row r="498" spans="1:21" ht="14.25" customHeight="1">
      <c r="A498" s="137" t="s">
        <v>2438</v>
      </c>
      <c r="B498" s="9">
        <v>81.8</v>
      </c>
      <c r="C498" s="7" t="s">
        <v>1265</v>
      </c>
      <c r="D498" s="187">
        <v>20</v>
      </c>
      <c r="E498" s="7">
        <v>1.4</v>
      </c>
    </row>
    <row r="499" spans="1:21" ht="14.25" customHeight="1">
      <c r="A499" s="128">
        <v>266.01</v>
      </c>
      <c r="B499" s="9">
        <v>10</v>
      </c>
      <c r="C499" s="7" t="s">
        <v>1259</v>
      </c>
      <c r="D499" s="187">
        <v>30</v>
      </c>
      <c r="E499" s="7">
        <v>0.57999999999999996</v>
      </c>
      <c r="U499" s="4"/>
    </row>
    <row r="500" spans="1:21" ht="14.25" customHeight="1">
      <c r="A500" s="128">
        <v>266.02</v>
      </c>
      <c r="B500" s="9">
        <v>4</v>
      </c>
      <c r="C500" s="7" t="s">
        <v>1260</v>
      </c>
      <c r="D500" s="187">
        <v>50</v>
      </c>
      <c r="E500" s="7">
        <v>0.25</v>
      </c>
    </row>
    <row r="501" spans="1:21" ht="14.25" customHeight="1">
      <c r="A501" s="128" t="s">
        <v>2579</v>
      </c>
      <c r="B501" s="9">
        <v>13.5</v>
      </c>
      <c r="C501" s="7" t="s">
        <v>1552</v>
      </c>
      <c r="D501" s="187">
        <v>6</v>
      </c>
      <c r="E501" s="7">
        <v>0.5</v>
      </c>
    </row>
    <row r="502" spans="1:21" ht="14.25" customHeight="1">
      <c r="A502" s="128" t="s">
        <v>2580</v>
      </c>
      <c r="B502" s="9">
        <v>14.5</v>
      </c>
      <c r="C502" s="7" t="s">
        <v>1553</v>
      </c>
      <c r="D502" s="187">
        <v>6</v>
      </c>
      <c r="E502" s="7">
        <v>0.5</v>
      </c>
    </row>
    <row r="503" spans="1:21" ht="14.25" customHeight="1">
      <c r="A503" s="128" t="s">
        <v>2581</v>
      </c>
      <c r="B503" s="9">
        <v>20.399999999999999</v>
      </c>
      <c r="C503" s="7" t="s">
        <v>1554</v>
      </c>
      <c r="D503" s="187">
        <v>3</v>
      </c>
      <c r="E503" s="7">
        <v>0.52</v>
      </c>
    </row>
    <row r="504" spans="1:21" s="4" customFormat="1" ht="14.25" customHeight="1">
      <c r="A504" s="128" t="s">
        <v>2582</v>
      </c>
      <c r="B504" s="9">
        <v>20.399999999999999</v>
      </c>
      <c r="C504" s="7" t="s">
        <v>1555</v>
      </c>
      <c r="D504" s="187">
        <v>3</v>
      </c>
      <c r="E504" s="7">
        <v>0.52</v>
      </c>
      <c r="F504" s="7"/>
      <c r="G504" s="7"/>
      <c r="H504" s="7"/>
      <c r="I504" s="7"/>
      <c r="J504" s="7"/>
      <c r="K504" s="7"/>
      <c r="L504" s="7"/>
      <c r="M504" s="7"/>
      <c r="N504" s="7"/>
      <c r="O504" s="7"/>
      <c r="P504" s="7"/>
      <c r="Q504" s="7"/>
      <c r="R504" s="7"/>
      <c r="S504" s="7"/>
      <c r="T504" s="7"/>
      <c r="U504" s="7"/>
    </row>
    <row r="505" spans="1:21" ht="14.25" customHeight="1">
      <c r="A505" s="128" t="s">
        <v>2583</v>
      </c>
      <c r="B505" s="9">
        <v>20.399999999999999</v>
      </c>
      <c r="C505" s="7" t="s">
        <v>1556</v>
      </c>
      <c r="D505" s="187">
        <v>3</v>
      </c>
      <c r="E505" s="7">
        <v>0.52</v>
      </c>
    </row>
    <row r="506" spans="1:21" ht="14.25" customHeight="1">
      <c r="A506" s="128" t="s">
        <v>2584</v>
      </c>
      <c r="B506" s="9">
        <v>41.5</v>
      </c>
      <c r="C506" s="7" t="s">
        <v>1558</v>
      </c>
      <c r="D506" s="187">
        <v>3</v>
      </c>
      <c r="E506" s="7">
        <v>2.4</v>
      </c>
    </row>
    <row r="507" spans="1:21" ht="14.25" customHeight="1">
      <c r="A507" s="128" t="s">
        <v>2585</v>
      </c>
      <c r="B507" s="9">
        <v>42.9</v>
      </c>
      <c r="C507" s="7" t="s">
        <v>1559</v>
      </c>
      <c r="D507" s="187">
        <v>3</v>
      </c>
      <c r="E507" s="7">
        <v>2.4</v>
      </c>
    </row>
    <row r="508" spans="1:21" ht="14.25" customHeight="1">
      <c r="A508" s="128" t="s">
        <v>2586</v>
      </c>
      <c r="B508" s="9">
        <v>65.400000000000006</v>
      </c>
      <c r="C508" s="7" t="s">
        <v>1557</v>
      </c>
      <c r="D508" s="187">
        <v>3</v>
      </c>
      <c r="E508" s="7">
        <v>3.2</v>
      </c>
    </row>
    <row r="509" spans="1:21" ht="14.25" customHeight="1">
      <c r="A509" s="128" t="s">
        <v>2587</v>
      </c>
      <c r="B509" s="9">
        <v>43</v>
      </c>
      <c r="C509" s="7" t="s">
        <v>1560</v>
      </c>
      <c r="D509" s="187">
        <v>3</v>
      </c>
      <c r="E509" s="7">
        <v>0.9</v>
      </c>
    </row>
    <row r="510" spans="1:21" ht="14.25" customHeight="1">
      <c r="A510" s="128" t="s">
        <v>2588</v>
      </c>
      <c r="B510" s="9">
        <v>43</v>
      </c>
      <c r="C510" s="7" t="s">
        <v>1561</v>
      </c>
      <c r="D510" s="187">
        <v>3</v>
      </c>
      <c r="E510" s="7">
        <v>0.9</v>
      </c>
    </row>
    <row r="511" spans="1:21" ht="14.25" customHeight="1">
      <c r="A511" s="128" t="s">
        <v>2589</v>
      </c>
      <c r="B511" s="9">
        <v>43</v>
      </c>
      <c r="C511" s="7" t="s">
        <v>1562</v>
      </c>
      <c r="D511" s="187">
        <v>3</v>
      </c>
      <c r="E511" s="7">
        <v>0.9</v>
      </c>
    </row>
    <row r="512" spans="1:21" ht="14.25" customHeight="1">
      <c r="A512" s="128" t="s">
        <v>2590</v>
      </c>
      <c r="B512" s="9">
        <v>43</v>
      </c>
      <c r="C512" s="7" t="s">
        <v>1563</v>
      </c>
      <c r="D512" s="187">
        <v>3</v>
      </c>
      <c r="E512" s="7">
        <v>0.9</v>
      </c>
    </row>
    <row r="513" spans="1:5" ht="14.25" customHeight="1">
      <c r="A513" s="128" t="s">
        <v>2591</v>
      </c>
      <c r="B513" s="9">
        <v>43</v>
      </c>
      <c r="C513" s="7" t="s">
        <v>1564</v>
      </c>
      <c r="D513" s="187">
        <v>3</v>
      </c>
      <c r="E513" s="7">
        <v>0.9</v>
      </c>
    </row>
    <row r="514" spans="1:5" ht="14.25" customHeight="1">
      <c r="A514" s="128" t="s">
        <v>2592</v>
      </c>
      <c r="B514" s="9">
        <v>43</v>
      </c>
      <c r="C514" s="7" t="s">
        <v>1565</v>
      </c>
      <c r="D514" s="187">
        <v>3</v>
      </c>
      <c r="E514" s="7">
        <v>0.9</v>
      </c>
    </row>
    <row r="515" spans="1:5" ht="14.25" customHeight="1">
      <c r="A515" s="128" t="s">
        <v>2593</v>
      </c>
      <c r="B515" s="9">
        <v>43</v>
      </c>
      <c r="C515" s="7" t="s">
        <v>1566</v>
      </c>
      <c r="D515" s="187">
        <v>3</v>
      </c>
      <c r="E515" s="7">
        <v>0.9</v>
      </c>
    </row>
    <row r="516" spans="1:5" ht="14.25" customHeight="1">
      <c r="A516" s="128" t="s">
        <v>2594</v>
      </c>
      <c r="B516" s="9">
        <v>43</v>
      </c>
      <c r="C516" s="7" t="s">
        <v>1567</v>
      </c>
      <c r="D516" s="187">
        <v>3</v>
      </c>
      <c r="E516" s="7">
        <v>0.9</v>
      </c>
    </row>
    <row r="517" spans="1:5" ht="14.25" customHeight="1">
      <c r="A517" s="119" t="s">
        <v>2595</v>
      </c>
      <c r="B517" s="9">
        <v>20</v>
      </c>
      <c r="C517" s="7" t="s">
        <v>1392</v>
      </c>
      <c r="D517" s="187">
        <v>3</v>
      </c>
      <c r="E517" s="7">
        <v>0.9</v>
      </c>
    </row>
    <row r="518" spans="1:5" ht="14.25" customHeight="1">
      <c r="A518" s="119" t="s">
        <v>2596</v>
      </c>
      <c r="B518" s="9">
        <v>20</v>
      </c>
      <c r="C518" s="7" t="s">
        <v>1393</v>
      </c>
      <c r="D518" s="187">
        <v>3</v>
      </c>
      <c r="E518" s="7">
        <v>0.9</v>
      </c>
    </row>
    <row r="519" spans="1:5" ht="14.25" customHeight="1">
      <c r="A519" s="119" t="s">
        <v>2597</v>
      </c>
      <c r="B519" s="9">
        <v>20</v>
      </c>
      <c r="C519" s="7" t="s">
        <v>1399</v>
      </c>
      <c r="D519" s="187">
        <v>3</v>
      </c>
      <c r="E519" s="7">
        <v>0.9</v>
      </c>
    </row>
    <row r="520" spans="1:5" ht="14.25" customHeight="1">
      <c r="A520" s="119" t="s">
        <v>2598</v>
      </c>
      <c r="B520" s="9">
        <v>20</v>
      </c>
      <c r="C520" s="7" t="s">
        <v>1394</v>
      </c>
      <c r="D520" s="187">
        <v>3</v>
      </c>
      <c r="E520" s="7">
        <v>0.9</v>
      </c>
    </row>
    <row r="521" spans="1:5" ht="14.25" customHeight="1">
      <c r="A521" s="119" t="s">
        <v>2599</v>
      </c>
      <c r="B521" s="9">
        <v>20</v>
      </c>
      <c r="C521" s="7" t="s">
        <v>1395</v>
      </c>
      <c r="D521" s="187">
        <v>3</v>
      </c>
      <c r="E521" s="7">
        <v>0.9</v>
      </c>
    </row>
    <row r="522" spans="1:5" ht="14.25" customHeight="1">
      <c r="A522" s="119" t="s">
        <v>2600</v>
      </c>
      <c r="B522" s="9">
        <v>20</v>
      </c>
      <c r="C522" s="7" t="s">
        <v>1396</v>
      </c>
      <c r="D522" s="187">
        <v>3</v>
      </c>
      <c r="E522" s="7">
        <v>0.9</v>
      </c>
    </row>
    <row r="523" spans="1:5" ht="14.25" customHeight="1">
      <c r="A523" s="119" t="s">
        <v>2601</v>
      </c>
      <c r="B523" s="9">
        <v>20</v>
      </c>
      <c r="C523" s="7" t="s">
        <v>1397</v>
      </c>
      <c r="D523" s="187">
        <v>3</v>
      </c>
      <c r="E523" s="7">
        <v>0.9</v>
      </c>
    </row>
    <row r="524" spans="1:5" ht="14.25" customHeight="1">
      <c r="A524" s="119" t="s">
        <v>2602</v>
      </c>
      <c r="B524" s="9">
        <v>20</v>
      </c>
      <c r="C524" s="7" t="s">
        <v>1398</v>
      </c>
      <c r="D524" s="187">
        <v>3</v>
      </c>
      <c r="E524" s="7">
        <v>0.9</v>
      </c>
    </row>
    <row r="525" spans="1:5" ht="14.25" customHeight="1">
      <c r="A525" s="119" t="s">
        <v>2603</v>
      </c>
      <c r="B525" s="9">
        <v>20</v>
      </c>
      <c r="C525" s="7" t="s">
        <v>1400</v>
      </c>
      <c r="D525" s="187">
        <v>3</v>
      </c>
      <c r="E525" s="7">
        <v>0.9</v>
      </c>
    </row>
    <row r="526" spans="1:5" ht="14.25" customHeight="1">
      <c r="A526" s="119" t="s">
        <v>2604</v>
      </c>
      <c r="B526" s="9">
        <v>20</v>
      </c>
      <c r="C526" s="7" t="s">
        <v>1401</v>
      </c>
      <c r="D526" s="187">
        <v>3</v>
      </c>
      <c r="E526" s="7">
        <v>0.9</v>
      </c>
    </row>
    <row r="527" spans="1:5" ht="14.25" customHeight="1">
      <c r="A527" s="115">
        <v>268.01</v>
      </c>
      <c r="B527" s="9">
        <f>87.6/20</f>
        <v>4.38</v>
      </c>
      <c r="C527" s="1" t="s">
        <v>1825</v>
      </c>
      <c r="D527" s="188">
        <v>20</v>
      </c>
      <c r="E527" s="6">
        <v>0.44</v>
      </c>
    </row>
    <row r="528" spans="1:5" ht="14.25" customHeight="1">
      <c r="A528" s="115">
        <v>268.02</v>
      </c>
      <c r="B528" s="110">
        <f>92.7/20</f>
        <v>4.6349999999999998</v>
      </c>
      <c r="C528" s="1" t="s">
        <v>1828</v>
      </c>
      <c r="D528" s="188">
        <v>20</v>
      </c>
      <c r="E528" s="6">
        <v>0.44</v>
      </c>
    </row>
    <row r="529" spans="1:21" ht="14.25" customHeight="1">
      <c r="A529" s="115">
        <v>268.02999999999997</v>
      </c>
      <c r="B529" s="9">
        <f>94.6/20</f>
        <v>4.7299999999999995</v>
      </c>
      <c r="C529" s="1" t="s">
        <v>1826</v>
      </c>
      <c r="D529" s="188">
        <v>20</v>
      </c>
      <c r="E529" s="6">
        <v>0.44</v>
      </c>
    </row>
    <row r="530" spans="1:21" ht="14.25" customHeight="1">
      <c r="A530" s="115">
        <v>268.04000000000002</v>
      </c>
      <c r="B530" s="110">
        <f>99.3/20</f>
        <v>4.9649999999999999</v>
      </c>
      <c r="C530" s="1" t="s">
        <v>1827</v>
      </c>
      <c r="D530" s="188">
        <v>20</v>
      </c>
      <c r="E530" s="6">
        <v>0.44</v>
      </c>
    </row>
    <row r="531" spans="1:21" ht="14.25" customHeight="1">
      <c r="A531" s="115">
        <v>268.05</v>
      </c>
      <c r="B531" s="9">
        <v>8.6</v>
      </c>
      <c r="C531" s="1" t="s">
        <v>1811</v>
      </c>
      <c r="D531" s="188">
        <v>3</v>
      </c>
      <c r="E531" s="6">
        <v>0.6</v>
      </c>
      <c r="U531" s="4"/>
    </row>
    <row r="532" spans="1:21" ht="14.25" customHeight="1">
      <c r="A532" s="115">
        <v>268.06</v>
      </c>
      <c r="B532" s="9">
        <v>8.6</v>
      </c>
      <c r="C532" s="1" t="s">
        <v>1812</v>
      </c>
      <c r="D532" s="188">
        <v>3</v>
      </c>
      <c r="E532" s="6">
        <v>0.6</v>
      </c>
    </row>
    <row r="533" spans="1:21" ht="14.25" customHeight="1">
      <c r="A533" s="115">
        <v>268.07</v>
      </c>
      <c r="B533" s="9">
        <v>8.6</v>
      </c>
      <c r="C533" s="1" t="s">
        <v>1813</v>
      </c>
      <c r="D533" s="188">
        <v>3</v>
      </c>
      <c r="E533" s="6">
        <v>0.6</v>
      </c>
    </row>
    <row r="534" spans="1:21" ht="14.25" customHeight="1">
      <c r="A534" s="115">
        <v>268.08</v>
      </c>
      <c r="B534" s="9">
        <v>8.6</v>
      </c>
      <c r="C534" s="1" t="s">
        <v>1814</v>
      </c>
      <c r="D534" s="188">
        <v>3</v>
      </c>
      <c r="E534" s="6">
        <v>0.6</v>
      </c>
    </row>
    <row r="535" spans="1:21" ht="14.25" customHeight="1">
      <c r="A535" s="115">
        <v>268.08999999999997</v>
      </c>
      <c r="B535" s="9">
        <v>8.6</v>
      </c>
      <c r="C535" s="1" t="s">
        <v>1815</v>
      </c>
      <c r="D535" s="188">
        <v>3</v>
      </c>
      <c r="E535" s="6">
        <v>0.6</v>
      </c>
    </row>
    <row r="536" spans="1:21" ht="14.25" customHeight="1">
      <c r="A536" s="117" t="s">
        <v>2325</v>
      </c>
      <c r="B536" s="9">
        <v>8.6</v>
      </c>
      <c r="C536" s="1" t="s">
        <v>1816</v>
      </c>
      <c r="D536" s="188">
        <v>3</v>
      </c>
      <c r="E536" s="6">
        <v>0.6</v>
      </c>
    </row>
    <row r="537" spans="1:21" ht="14.25" customHeight="1">
      <c r="A537" s="117" t="s">
        <v>2326</v>
      </c>
      <c r="B537" s="9">
        <v>8.6</v>
      </c>
      <c r="C537" s="1" t="s">
        <v>1817</v>
      </c>
      <c r="D537" s="188">
        <v>3</v>
      </c>
      <c r="E537" s="6">
        <v>0.6</v>
      </c>
    </row>
    <row r="538" spans="1:21" ht="14.25" customHeight="1">
      <c r="A538" s="117" t="s">
        <v>2327</v>
      </c>
      <c r="B538" s="9">
        <v>8.6</v>
      </c>
      <c r="C538" s="1" t="s">
        <v>1818</v>
      </c>
      <c r="D538" s="188">
        <v>3</v>
      </c>
      <c r="E538" s="6">
        <v>0.6</v>
      </c>
    </row>
    <row r="539" spans="1:21" ht="14.25" customHeight="1">
      <c r="A539" s="117" t="s">
        <v>2328</v>
      </c>
      <c r="B539" s="9">
        <v>8.6</v>
      </c>
      <c r="C539" s="1" t="s">
        <v>1819</v>
      </c>
      <c r="D539" s="188">
        <v>3</v>
      </c>
      <c r="E539" s="6">
        <v>0.6</v>
      </c>
    </row>
    <row r="540" spans="1:21" ht="14.25" customHeight="1">
      <c r="A540" s="117" t="s">
        <v>2329</v>
      </c>
      <c r="B540" s="9">
        <v>8.6</v>
      </c>
      <c r="C540" s="1" t="s">
        <v>1820</v>
      </c>
      <c r="D540" s="188">
        <v>3</v>
      </c>
      <c r="E540" s="6">
        <v>0.6</v>
      </c>
    </row>
    <row r="541" spans="1:21" ht="14.25" customHeight="1">
      <c r="A541" s="117" t="s">
        <v>2330</v>
      </c>
      <c r="B541" s="9">
        <v>8.6</v>
      </c>
      <c r="C541" s="1" t="s">
        <v>1821</v>
      </c>
      <c r="D541" s="188">
        <v>3</v>
      </c>
      <c r="E541" s="6">
        <v>0.6</v>
      </c>
    </row>
    <row r="542" spans="1:21" ht="14.25" customHeight="1">
      <c r="A542" s="117" t="s">
        <v>2331</v>
      </c>
      <c r="B542" s="9">
        <v>8.6</v>
      </c>
      <c r="C542" s="1" t="s">
        <v>1822</v>
      </c>
      <c r="D542" s="188">
        <v>3</v>
      </c>
      <c r="E542" s="6">
        <v>0.6</v>
      </c>
    </row>
    <row r="543" spans="1:21" ht="14.25" customHeight="1">
      <c r="A543" s="117" t="s">
        <v>2332</v>
      </c>
      <c r="B543" s="9">
        <v>8.6</v>
      </c>
      <c r="C543" s="1" t="s">
        <v>1823</v>
      </c>
      <c r="D543" s="188">
        <v>3</v>
      </c>
      <c r="E543" s="6">
        <v>0.6</v>
      </c>
    </row>
    <row r="544" spans="1:21" ht="14.25" customHeight="1">
      <c r="A544" s="117" t="s">
        <v>2333</v>
      </c>
      <c r="B544" s="9">
        <v>8.6</v>
      </c>
      <c r="C544" s="1" t="s">
        <v>1824</v>
      </c>
      <c r="D544" s="188">
        <v>3</v>
      </c>
      <c r="E544" s="6">
        <v>0.6</v>
      </c>
    </row>
    <row r="545" spans="1:21" ht="14.25" customHeight="1">
      <c r="A545" s="117" t="s">
        <v>2334</v>
      </c>
      <c r="B545" s="9">
        <v>19.100000000000001</v>
      </c>
      <c r="C545" s="1" t="s">
        <v>1829</v>
      </c>
      <c r="D545" s="188">
        <v>2</v>
      </c>
      <c r="E545" s="6">
        <v>1.95</v>
      </c>
    </row>
    <row r="546" spans="1:21" ht="14.25" customHeight="1">
      <c r="A546" s="117" t="s">
        <v>2335</v>
      </c>
      <c r="B546" s="9">
        <v>19.100000000000001</v>
      </c>
      <c r="C546" s="1" t="s">
        <v>1830</v>
      </c>
      <c r="D546" s="188">
        <v>2</v>
      </c>
      <c r="E546" s="6">
        <v>1.95</v>
      </c>
    </row>
    <row r="547" spans="1:21" ht="14.25" customHeight="1">
      <c r="A547" s="117" t="s">
        <v>2336</v>
      </c>
      <c r="B547" s="9">
        <v>19.100000000000001</v>
      </c>
      <c r="C547" s="1" t="s">
        <v>1831</v>
      </c>
      <c r="D547" s="188">
        <v>2</v>
      </c>
      <c r="E547" s="6">
        <v>1.95</v>
      </c>
    </row>
    <row r="548" spans="1:21" ht="14.25" customHeight="1">
      <c r="A548" s="117" t="s">
        <v>2337</v>
      </c>
      <c r="B548" s="9">
        <v>19.100000000000001</v>
      </c>
      <c r="C548" s="1" t="s">
        <v>1832</v>
      </c>
      <c r="D548" s="188">
        <v>2</v>
      </c>
      <c r="E548" s="6">
        <v>1.95</v>
      </c>
    </row>
    <row r="549" spans="1:21" ht="14.25" customHeight="1">
      <c r="A549" s="117" t="s">
        <v>2338</v>
      </c>
      <c r="B549" s="9">
        <v>19.100000000000001</v>
      </c>
      <c r="C549" s="1" t="s">
        <v>1833</v>
      </c>
      <c r="D549" s="188">
        <v>2</v>
      </c>
      <c r="E549" s="6">
        <v>1.95</v>
      </c>
    </row>
    <row r="550" spans="1:21" ht="14.25" customHeight="1">
      <c r="A550" s="117" t="s">
        <v>2339</v>
      </c>
      <c r="B550" s="9">
        <v>19.100000000000001</v>
      </c>
      <c r="C550" s="1" t="s">
        <v>1834</v>
      </c>
      <c r="D550" s="188">
        <v>2</v>
      </c>
      <c r="E550" s="6">
        <v>1.95</v>
      </c>
      <c r="U550" s="4"/>
    </row>
    <row r="551" spans="1:21" ht="14.25" customHeight="1">
      <c r="A551" s="117" t="s">
        <v>2340</v>
      </c>
      <c r="B551" s="9">
        <v>19.100000000000001</v>
      </c>
      <c r="C551" s="1" t="s">
        <v>1846</v>
      </c>
      <c r="D551" s="188">
        <v>2</v>
      </c>
      <c r="E551" s="6">
        <v>1.95</v>
      </c>
    </row>
    <row r="552" spans="1:21" ht="14.25" customHeight="1">
      <c r="A552" s="117" t="s">
        <v>2341</v>
      </c>
      <c r="B552" s="9">
        <v>19.100000000000001</v>
      </c>
      <c r="C552" s="1" t="s">
        <v>1835</v>
      </c>
      <c r="D552" s="188">
        <v>2</v>
      </c>
      <c r="E552" s="6">
        <v>1.95</v>
      </c>
    </row>
    <row r="553" spans="1:21" ht="14.25" customHeight="1">
      <c r="A553" s="117" t="s">
        <v>2342</v>
      </c>
      <c r="B553" s="9">
        <v>19.100000000000001</v>
      </c>
      <c r="C553" s="1" t="s">
        <v>1836</v>
      </c>
      <c r="D553" s="188">
        <v>2</v>
      </c>
      <c r="E553" s="6">
        <v>1.95</v>
      </c>
    </row>
    <row r="554" spans="1:21" ht="14.25" customHeight="1">
      <c r="A554" s="117" t="s">
        <v>2343</v>
      </c>
      <c r="B554" s="9">
        <v>19.100000000000001</v>
      </c>
      <c r="C554" s="1" t="s">
        <v>1837</v>
      </c>
      <c r="D554" s="188">
        <v>2</v>
      </c>
      <c r="E554" s="6">
        <v>1.95</v>
      </c>
    </row>
    <row r="555" spans="1:21" ht="14.25" customHeight="1">
      <c r="A555" s="117" t="s">
        <v>2344</v>
      </c>
      <c r="B555" s="9">
        <v>19.100000000000001</v>
      </c>
      <c r="C555" s="1" t="s">
        <v>1838</v>
      </c>
      <c r="D555" s="188">
        <v>2</v>
      </c>
      <c r="E555" s="6">
        <v>1.95</v>
      </c>
    </row>
    <row r="556" spans="1:21" ht="14.25" customHeight="1">
      <c r="A556" s="117" t="s">
        <v>2345</v>
      </c>
      <c r="B556" s="9">
        <v>19.100000000000001</v>
      </c>
      <c r="C556" s="1" t="s">
        <v>1845</v>
      </c>
      <c r="D556" s="188">
        <v>2</v>
      </c>
      <c r="E556" s="6">
        <v>1.95</v>
      </c>
    </row>
    <row r="557" spans="1:21" s="4" customFormat="1" ht="14.25" customHeight="1">
      <c r="A557" s="117" t="s">
        <v>2346</v>
      </c>
      <c r="B557" s="9">
        <v>19.100000000000001</v>
      </c>
      <c r="C557" s="1" t="s">
        <v>1844</v>
      </c>
      <c r="D557" s="188">
        <v>2</v>
      </c>
      <c r="E557" s="6">
        <v>1.95</v>
      </c>
      <c r="F557" s="7"/>
      <c r="G557" s="7"/>
      <c r="H557" s="7"/>
      <c r="I557" s="7"/>
      <c r="J557" s="7"/>
      <c r="K557" s="7"/>
      <c r="L557" s="7"/>
      <c r="M557" s="7"/>
      <c r="N557" s="7"/>
      <c r="O557" s="7"/>
      <c r="P557" s="7"/>
      <c r="Q557" s="7"/>
      <c r="R557" s="7"/>
      <c r="S557" s="7"/>
      <c r="T557" s="7"/>
      <c r="U557" s="7"/>
    </row>
    <row r="558" spans="1:21" ht="14.25" customHeight="1">
      <c r="A558" s="117" t="s">
        <v>2347</v>
      </c>
      <c r="B558" s="9">
        <v>19.100000000000001</v>
      </c>
      <c r="C558" s="1" t="s">
        <v>1843</v>
      </c>
      <c r="D558" s="188">
        <v>2</v>
      </c>
      <c r="E558" s="6">
        <v>1.95</v>
      </c>
    </row>
    <row r="559" spans="1:21" ht="14.25" customHeight="1">
      <c r="A559" s="117" t="s">
        <v>2348</v>
      </c>
      <c r="B559" s="9">
        <v>19.100000000000001</v>
      </c>
      <c r="C559" s="1" t="s">
        <v>1842</v>
      </c>
      <c r="D559" s="188">
        <v>2</v>
      </c>
      <c r="E559" s="6">
        <v>1.95</v>
      </c>
    </row>
    <row r="560" spans="1:21" ht="14.25" customHeight="1">
      <c r="A560" s="117" t="s">
        <v>2349</v>
      </c>
      <c r="B560" s="9">
        <v>19.100000000000001</v>
      </c>
      <c r="C560" s="1" t="s">
        <v>1841</v>
      </c>
      <c r="D560" s="188">
        <v>2</v>
      </c>
      <c r="E560" s="6">
        <v>1.95</v>
      </c>
    </row>
    <row r="561" spans="1:21" ht="14.25" customHeight="1">
      <c r="A561" s="117" t="s">
        <v>2350</v>
      </c>
      <c r="B561" s="9">
        <v>19.100000000000001</v>
      </c>
      <c r="C561" s="1" t="s">
        <v>1840</v>
      </c>
      <c r="D561" s="188">
        <v>2</v>
      </c>
      <c r="E561" s="6">
        <v>1.95</v>
      </c>
    </row>
    <row r="562" spans="1:21" ht="14.25" customHeight="1">
      <c r="A562" s="117" t="s">
        <v>2351</v>
      </c>
      <c r="B562" s="9">
        <v>19.100000000000001</v>
      </c>
      <c r="C562" s="1" t="s">
        <v>1839</v>
      </c>
      <c r="D562" s="188">
        <v>2</v>
      </c>
      <c r="E562" s="6">
        <v>1.95</v>
      </c>
    </row>
    <row r="563" spans="1:21" ht="14.25" customHeight="1">
      <c r="A563" s="152" t="s">
        <v>3382</v>
      </c>
      <c r="B563" s="9">
        <v>75.5</v>
      </c>
      <c r="C563" s="141" t="s">
        <v>3653</v>
      </c>
      <c r="D563" s="187">
        <v>5</v>
      </c>
      <c r="E563" s="7">
        <v>0.75</v>
      </c>
    </row>
    <row r="564" spans="1:21" ht="14.25" customHeight="1">
      <c r="A564" s="120" t="s">
        <v>2454</v>
      </c>
      <c r="B564" s="9">
        <v>36.299999999999997</v>
      </c>
      <c r="C564" s="7" t="s">
        <v>1497</v>
      </c>
      <c r="D564" s="187">
        <v>3</v>
      </c>
      <c r="E564" s="7">
        <v>2.5</v>
      </c>
    </row>
    <row r="565" spans="1:21" ht="14.25" customHeight="1">
      <c r="A565" s="120" t="s">
        <v>2455</v>
      </c>
      <c r="B565" s="9">
        <v>36.299999999999997</v>
      </c>
      <c r="C565" s="7" t="s">
        <v>1498</v>
      </c>
      <c r="D565" s="187">
        <v>3</v>
      </c>
      <c r="E565" s="7">
        <v>2.5</v>
      </c>
      <c r="U565" s="4"/>
    </row>
    <row r="566" spans="1:21" ht="14.25" customHeight="1">
      <c r="A566" s="120" t="s">
        <v>2456</v>
      </c>
      <c r="B566" s="9">
        <v>36.299999999999997</v>
      </c>
      <c r="C566" s="7" t="s">
        <v>1499</v>
      </c>
      <c r="D566" s="187">
        <v>3</v>
      </c>
      <c r="E566" s="7">
        <v>2.5</v>
      </c>
    </row>
    <row r="567" spans="1:21" ht="14.25" customHeight="1">
      <c r="A567" s="120" t="s">
        <v>2457</v>
      </c>
      <c r="B567" s="9">
        <v>36.299999999999997</v>
      </c>
      <c r="C567" s="7" t="s">
        <v>1500</v>
      </c>
      <c r="D567" s="187">
        <v>3</v>
      </c>
      <c r="E567" s="7">
        <v>2.5</v>
      </c>
    </row>
    <row r="568" spans="1:21" ht="14.25" customHeight="1">
      <c r="A568" s="120" t="s">
        <v>2458</v>
      </c>
      <c r="B568" s="9">
        <v>36.299999999999997</v>
      </c>
      <c r="C568" s="7" t="s">
        <v>1369</v>
      </c>
      <c r="D568" s="187">
        <v>3</v>
      </c>
      <c r="E568" s="7">
        <v>2.5</v>
      </c>
    </row>
    <row r="569" spans="1:21" ht="14.25" customHeight="1">
      <c r="A569" s="120" t="s">
        <v>2459</v>
      </c>
      <c r="B569" s="9">
        <v>36.299999999999997</v>
      </c>
      <c r="C569" s="7" t="s">
        <v>1501</v>
      </c>
      <c r="D569" s="187">
        <v>3</v>
      </c>
      <c r="E569" s="7">
        <v>2.5</v>
      </c>
    </row>
    <row r="570" spans="1:21" ht="14.25" customHeight="1">
      <c r="A570" s="120" t="s">
        <v>2460</v>
      </c>
      <c r="B570" s="9">
        <v>36.299999999999997</v>
      </c>
      <c r="C570" s="7" t="s">
        <v>1502</v>
      </c>
      <c r="D570" s="187">
        <v>3</v>
      </c>
      <c r="E570" s="7">
        <v>2.5</v>
      </c>
    </row>
    <row r="571" spans="1:21" ht="14.25" customHeight="1">
      <c r="A571" s="120" t="s">
        <v>2461</v>
      </c>
      <c r="B571" s="9">
        <v>36.299999999999997</v>
      </c>
      <c r="C571" s="7" t="s">
        <v>1503</v>
      </c>
      <c r="D571" s="187">
        <v>3</v>
      </c>
      <c r="E571" s="7">
        <v>2.5</v>
      </c>
    </row>
    <row r="572" spans="1:21" s="4" customFormat="1" ht="14.25" customHeight="1">
      <c r="A572" s="120" t="s">
        <v>2462</v>
      </c>
      <c r="B572" s="9">
        <v>36.299999999999997</v>
      </c>
      <c r="C572" s="7" t="s">
        <v>1504</v>
      </c>
      <c r="D572" s="187">
        <v>3</v>
      </c>
      <c r="E572" s="7">
        <v>2.5</v>
      </c>
      <c r="F572" s="7"/>
      <c r="G572" s="7"/>
      <c r="H572" s="7"/>
      <c r="I572" s="7"/>
      <c r="J572" s="7"/>
      <c r="K572" s="7"/>
      <c r="L572" s="7"/>
      <c r="M572" s="7"/>
      <c r="N572" s="7"/>
      <c r="O572" s="7"/>
      <c r="P572" s="7"/>
      <c r="Q572" s="7"/>
      <c r="R572" s="7"/>
      <c r="S572" s="7"/>
      <c r="T572" s="7"/>
      <c r="U572" s="7"/>
    </row>
    <row r="573" spans="1:21" ht="14.25" customHeight="1">
      <c r="A573" s="120" t="s">
        <v>2463</v>
      </c>
      <c r="B573" s="9">
        <v>36.299999999999997</v>
      </c>
      <c r="C573" s="7" t="s">
        <v>1505</v>
      </c>
      <c r="D573" s="187">
        <v>3</v>
      </c>
      <c r="E573" s="7">
        <v>2.5</v>
      </c>
    </row>
    <row r="574" spans="1:21" ht="14.25" customHeight="1">
      <c r="A574" s="120" t="s">
        <v>2464</v>
      </c>
      <c r="B574" s="9">
        <v>36.299999999999997</v>
      </c>
      <c r="C574" s="7" t="s">
        <v>1506</v>
      </c>
      <c r="D574" s="187">
        <v>3</v>
      </c>
      <c r="E574" s="7">
        <v>2.5</v>
      </c>
    </row>
    <row r="575" spans="1:21" ht="14.25" customHeight="1">
      <c r="A575" s="120" t="s">
        <v>2465</v>
      </c>
      <c r="B575" s="9">
        <v>36.299999999999997</v>
      </c>
      <c r="C575" s="7" t="s">
        <v>1507</v>
      </c>
      <c r="D575" s="187">
        <v>3</v>
      </c>
      <c r="E575" s="7">
        <v>2.5</v>
      </c>
    </row>
    <row r="576" spans="1:21" ht="14.25" customHeight="1">
      <c r="A576" s="120" t="s">
        <v>2466</v>
      </c>
      <c r="B576" s="9">
        <v>9.5</v>
      </c>
      <c r="C576" s="1" t="s">
        <v>1270</v>
      </c>
      <c r="D576" s="187">
        <v>5</v>
      </c>
      <c r="E576" s="7">
        <v>0.55000000000000004</v>
      </c>
    </row>
    <row r="577" spans="1:21" ht="14.25" customHeight="1">
      <c r="A577" s="120" t="s">
        <v>2467</v>
      </c>
      <c r="B577" s="9">
        <v>9.5</v>
      </c>
      <c r="C577" s="1" t="s">
        <v>1283</v>
      </c>
      <c r="D577" s="187">
        <v>5</v>
      </c>
      <c r="E577" s="7">
        <v>0.55000000000000004</v>
      </c>
    </row>
    <row r="578" spans="1:21" ht="14.25" customHeight="1">
      <c r="A578" s="120" t="s">
        <v>2468</v>
      </c>
      <c r="B578" s="9">
        <v>9.5</v>
      </c>
      <c r="C578" s="1" t="s">
        <v>1271</v>
      </c>
      <c r="D578" s="187">
        <v>5</v>
      </c>
      <c r="E578" s="7">
        <v>0.55000000000000004</v>
      </c>
    </row>
    <row r="579" spans="1:21" ht="14.25" customHeight="1">
      <c r="A579" s="120" t="s">
        <v>2469</v>
      </c>
      <c r="B579" s="9">
        <v>9.5</v>
      </c>
      <c r="C579" s="1" t="s">
        <v>1272</v>
      </c>
      <c r="D579" s="187">
        <v>5</v>
      </c>
      <c r="E579" s="7">
        <v>0.55000000000000004</v>
      </c>
    </row>
    <row r="580" spans="1:21" ht="14.25" customHeight="1">
      <c r="A580" s="120" t="s">
        <v>2470</v>
      </c>
      <c r="B580" s="9">
        <v>9.5</v>
      </c>
      <c r="C580" s="1" t="s">
        <v>1273</v>
      </c>
      <c r="D580" s="187">
        <v>5</v>
      </c>
      <c r="E580" s="7">
        <v>0.55000000000000004</v>
      </c>
      <c r="U580" s="4"/>
    </row>
    <row r="581" spans="1:21" ht="14.25" customHeight="1">
      <c r="A581" s="120" t="s">
        <v>2471</v>
      </c>
      <c r="B581" s="9">
        <v>9.5</v>
      </c>
      <c r="C581" s="1" t="s">
        <v>1370</v>
      </c>
      <c r="D581" s="187">
        <v>5</v>
      </c>
      <c r="E581" s="7">
        <v>0.55000000000000004</v>
      </c>
    </row>
    <row r="582" spans="1:21" ht="14.25" customHeight="1">
      <c r="A582" s="120" t="s">
        <v>2472</v>
      </c>
      <c r="B582" s="9">
        <v>9.5</v>
      </c>
      <c r="C582" s="1" t="s">
        <v>1274</v>
      </c>
      <c r="D582" s="187">
        <v>5</v>
      </c>
      <c r="E582" s="7">
        <v>0.55000000000000004</v>
      </c>
    </row>
    <row r="583" spans="1:21" ht="14.25" customHeight="1">
      <c r="A583" s="120" t="s">
        <v>3153</v>
      </c>
      <c r="B583" s="9">
        <v>9.5</v>
      </c>
      <c r="C583" s="1" t="s">
        <v>1275</v>
      </c>
      <c r="D583" s="187">
        <v>5</v>
      </c>
      <c r="E583" s="7">
        <v>0.55000000000000004</v>
      </c>
    </row>
    <row r="584" spans="1:21" ht="14.25" customHeight="1">
      <c r="A584" s="120" t="s">
        <v>2473</v>
      </c>
      <c r="B584" s="9">
        <v>9.5</v>
      </c>
      <c r="C584" s="1" t="s">
        <v>1276</v>
      </c>
      <c r="D584" s="187">
        <v>5</v>
      </c>
      <c r="E584" s="7">
        <v>0.55000000000000004</v>
      </c>
    </row>
    <row r="585" spans="1:21" ht="14.25" customHeight="1">
      <c r="A585" s="120" t="s">
        <v>2474</v>
      </c>
      <c r="B585" s="9">
        <v>9.5</v>
      </c>
      <c r="C585" s="1" t="s">
        <v>1298</v>
      </c>
      <c r="D585" s="187">
        <v>5</v>
      </c>
      <c r="E585" s="7">
        <v>0.55000000000000004</v>
      </c>
    </row>
    <row r="586" spans="1:21" ht="14.25" customHeight="1">
      <c r="A586" s="120" t="s">
        <v>2475</v>
      </c>
      <c r="B586" s="9">
        <v>9.5</v>
      </c>
      <c r="C586" s="1" t="s">
        <v>1277</v>
      </c>
      <c r="D586" s="187">
        <v>5</v>
      </c>
      <c r="E586" s="7">
        <v>0.55000000000000004</v>
      </c>
    </row>
    <row r="587" spans="1:21" s="4" customFormat="1" ht="14.25" customHeight="1">
      <c r="A587" s="120" t="s">
        <v>2476</v>
      </c>
      <c r="B587" s="9">
        <v>9.5</v>
      </c>
      <c r="C587" s="1" t="s">
        <v>1278</v>
      </c>
      <c r="D587" s="187">
        <v>5</v>
      </c>
      <c r="E587" s="7">
        <v>0.55000000000000004</v>
      </c>
      <c r="F587" s="7"/>
      <c r="G587" s="7"/>
      <c r="H587" s="7"/>
      <c r="I587" s="7"/>
      <c r="J587" s="7"/>
      <c r="K587" s="7"/>
      <c r="L587" s="7"/>
      <c r="M587" s="7"/>
      <c r="N587" s="7"/>
      <c r="O587" s="7"/>
      <c r="P587" s="7"/>
      <c r="Q587" s="7"/>
      <c r="R587" s="7"/>
      <c r="S587" s="7"/>
      <c r="T587" s="7"/>
      <c r="U587" s="7"/>
    </row>
    <row r="588" spans="1:21" ht="14.25" customHeight="1">
      <c r="A588" s="120" t="s">
        <v>2477</v>
      </c>
      <c r="B588" s="9">
        <v>9.5</v>
      </c>
      <c r="C588" s="1" t="s">
        <v>1279</v>
      </c>
      <c r="D588" s="187">
        <v>5</v>
      </c>
      <c r="E588" s="7">
        <v>0.55000000000000004</v>
      </c>
    </row>
    <row r="589" spans="1:21" ht="14.25" customHeight="1">
      <c r="A589" s="120" t="s">
        <v>2478</v>
      </c>
      <c r="B589" s="9">
        <v>9.5</v>
      </c>
      <c r="C589" s="1" t="s">
        <v>1280</v>
      </c>
      <c r="D589" s="187">
        <v>5</v>
      </c>
      <c r="E589" s="7">
        <v>0.55000000000000004</v>
      </c>
    </row>
    <row r="590" spans="1:21" ht="14.25" customHeight="1">
      <c r="A590" s="120" t="s">
        <v>2479</v>
      </c>
      <c r="B590" s="9">
        <v>9.5</v>
      </c>
      <c r="C590" s="1" t="s">
        <v>1282</v>
      </c>
      <c r="D590" s="187">
        <v>5</v>
      </c>
      <c r="E590" s="7">
        <v>0.55000000000000004</v>
      </c>
    </row>
    <row r="591" spans="1:21" ht="14.25" customHeight="1">
      <c r="A591" s="120" t="s">
        <v>2480</v>
      </c>
      <c r="B591" s="9">
        <v>9.5</v>
      </c>
      <c r="C591" s="1" t="s">
        <v>1281</v>
      </c>
      <c r="D591" s="187">
        <v>5</v>
      </c>
      <c r="E591" s="7">
        <v>0.55000000000000004</v>
      </c>
    </row>
    <row r="592" spans="1:21" ht="14.25" customHeight="1">
      <c r="A592" s="120" t="s">
        <v>2481</v>
      </c>
      <c r="B592" s="9">
        <v>9.5</v>
      </c>
      <c r="C592" s="1" t="s">
        <v>1371</v>
      </c>
      <c r="D592" s="187">
        <v>5</v>
      </c>
      <c r="E592" s="7">
        <v>0.55000000000000004</v>
      </c>
    </row>
    <row r="593" spans="1:21" ht="14.25" customHeight="1">
      <c r="A593" s="120" t="s">
        <v>2482</v>
      </c>
      <c r="B593" s="9">
        <v>9.5</v>
      </c>
      <c r="C593" s="1" t="s">
        <v>1284</v>
      </c>
      <c r="D593" s="187">
        <v>5</v>
      </c>
      <c r="E593" s="7">
        <v>0.55000000000000004</v>
      </c>
    </row>
    <row r="594" spans="1:21" ht="14.25" customHeight="1">
      <c r="A594" s="120" t="s">
        <v>2483</v>
      </c>
      <c r="B594" s="9">
        <v>20</v>
      </c>
      <c r="C594" s="1" t="s">
        <v>1299</v>
      </c>
      <c r="D594" s="187">
        <v>3</v>
      </c>
      <c r="E594" s="7">
        <v>1.1000000000000001</v>
      </c>
    </row>
    <row r="595" spans="1:21" ht="14.25" customHeight="1">
      <c r="A595" s="120" t="s">
        <v>2484</v>
      </c>
      <c r="B595" s="9">
        <v>20</v>
      </c>
      <c r="C595" s="1" t="s">
        <v>3152</v>
      </c>
      <c r="D595" s="187">
        <v>3</v>
      </c>
      <c r="E595" s="7">
        <v>1.1000000000000001</v>
      </c>
      <c r="U595" s="4"/>
    </row>
    <row r="596" spans="1:21" ht="14.25" customHeight="1">
      <c r="A596" s="120" t="s">
        <v>2485</v>
      </c>
      <c r="B596" s="9">
        <v>20</v>
      </c>
      <c r="C596" s="1" t="s">
        <v>1285</v>
      </c>
      <c r="D596" s="187">
        <v>3</v>
      </c>
      <c r="E596" s="7">
        <v>1.1000000000000001</v>
      </c>
    </row>
    <row r="597" spans="1:21" ht="14.25" customHeight="1">
      <c r="A597" s="120" t="s">
        <v>2486</v>
      </c>
      <c r="B597" s="9">
        <v>20</v>
      </c>
      <c r="C597" s="1" t="s">
        <v>1286</v>
      </c>
      <c r="D597" s="187">
        <v>3</v>
      </c>
      <c r="E597" s="7">
        <v>1.1000000000000001</v>
      </c>
    </row>
    <row r="598" spans="1:21" ht="14.25" customHeight="1">
      <c r="A598" s="120" t="s">
        <v>2487</v>
      </c>
      <c r="B598" s="9">
        <v>20</v>
      </c>
      <c r="C598" s="1" t="s">
        <v>1287</v>
      </c>
      <c r="D598" s="187">
        <v>3</v>
      </c>
      <c r="E598" s="7">
        <v>1.1000000000000001</v>
      </c>
    </row>
    <row r="599" spans="1:21" ht="14.25" customHeight="1">
      <c r="A599" s="120" t="s">
        <v>2488</v>
      </c>
      <c r="B599" s="9">
        <v>20</v>
      </c>
      <c r="C599" s="1" t="s">
        <v>1373</v>
      </c>
      <c r="D599" s="187">
        <v>3</v>
      </c>
      <c r="E599" s="7">
        <v>1.1000000000000001</v>
      </c>
    </row>
    <row r="600" spans="1:21" ht="14.25" customHeight="1">
      <c r="A600" s="120" t="s">
        <v>2489</v>
      </c>
      <c r="B600" s="9">
        <v>20</v>
      </c>
      <c r="C600" s="1" t="s">
        <v>1288</v>
      </c>
      <c r="D600" s="187">
        <v>3</v>
      </c>
      <c r="E600" s="7">
        <v>1.1000000000000001</v>
      </c>
    </row>
    <row r="601" spans="1:21" ht="14.25" customHeight="1">
      <c r="A601" s="120" t="s">
        <v>2490</v>
      </c>
      <c r="B601" s="9">
        <v>20</v>
      </c>
      <c r="C601" s="1" t="s">
        <v>1289</v>
      </c>
      <c r="D601" s="187">
        <v>3</v>
      </c>
      <c r="E601" s="7">
        <v>1.1000000000000001</v>
      </c>
    </row>
    <row r="602" spans="1:21" s="4" customFormat="1" ht="14.25" customHeight="1">
      <c r="A602" s="120" t="s">
        <v>2491</v>
      </c>
      <c r="B602" s="9">
        <v>20</v>
      </c>
      <c r="C602" s="1" t="s">
        <v>1290</v>
      </c>
      <c r="D602" s="187">
        <v>3</v>
      </c>
      <c r="E602" s="7">
        <v>1.1000000000000001</v>
      </c>
      <c r="F602" s="7"/>
      <c r="G602" s="7"/>
      <c r="H602" s="7"/>
      <c r="I602" s="7"/>
      <c r="J602" s="7"/>
      <c r="K602" s="7"/>
      <c r="L602" s="7"/>
      <c r="M602" s="7"/>
      <c r="N602" s="7"/>
      <c r="O602" s="7"/>
      <c r="P602" s="7"/>
      <c r="Q602" s="7"/>
      <c r="R602" s="7"/>
      <c r="S602" s="7"/>
      <c r="T602" s="7"/>
      <c r="U602" s="7"/>
    </row>
    <row r="603" spans="1:21" ht="14.25" customHeight="1">
      <c r="A603" s="120" t="s">
        <v>2492</v>
      </c>
      <c r="B603" s="9">
        <v>20</v>
      </c>
      <c r="C603" s="1" t="s">
        <v>1300</v>
      </c>
      <c r="D603" s="187">
        <v>3</v>
      </c>
      <c r="E603" s="7">
        <v>1.1000000000000001</v>
      </c>
    </row>
    <row r="604" spans="1:21" ht="14.25" customHeight="1">
      <c r="A604" s="120" t="s">
        <v>2493</v>
      </c>
      <c r="B604" s="9">
        <v>20</v>
      </c>
      <c r="C604" s="1" t="s">
        <v>1372</v>
      </c>
      <c r="D604" s="187">
        <v>3</v>
      </c>
      <c r="E604" s="7">
        <v>1.1000000000000001</v>
      </c>
    </row>
    <row r="605" spans="1:21" ht="14.25" customHeight="1">
      <c r="A605" s="120" t="s">
        <v>2494</v>
      </c>
      <c r="B605" s="9">
        <v>20</v>
      </c>
      <c r="C605" s="1" t="s">
        <v>1292</v>
      </c>
      <c r="D605" s="187">
        <v>3</v>
      </c>
      <c r="E605" s="7">
        <v>1.1000000000000001</v>
      </c>
      <c r="U605" s="4"/>
    </row>
    <row r="606" spans="1:21" ht="14.25" customHeight="1">
      <c r="A606" s="120" t="s">
        <v>2495</v>
      </c>
      <c r="B606" s="9">
        <v>20</v>
      </c>
      <c r="C606" s="1" t="s">
        <v>1293</v>
      </c>
      <c r="D606" s="187">
        <v>3</v>
      </c>
      <c r="E606" s="7">
        <v>1.1000000000000001</v>
      </c>
    </row>
    <row r="607" spans="1:21" ht="14.25" customHeight="1">
      <c r="A607" s="120" t="s">
        <v>2496</v>
      </c>
      <c r="B607" s="9">
        <v>20</v>
      </c>
      <c r="C607" s="1" t="s">
        <v>1294</v>
      </c>
      <c r="D607" s="187">
        <v>3</v>
      </c>
      <c r="E607" s="7">
        <v>1.1000000000000001</v>
      </c>
      <c r="U607" s="4"/>
    </row>
    <row r="608" spans="1:21" ht="14.25" customHeight="1">
      <c r="A608" s="120" t="s">
        <v>2497</v>
      </c>
      <c r="B608" s="9">
        <v>20</v>
      </c>
      <c r="C608" s="1" t="s">
        <v>1295</v>
      </c>
      <c r="D608" s="187">
        <v>3</v>
      </c>
      <c r="E608" s="7">
        <v>1.1000000000000001</v>
      </c>
    </row>
    <row r="609" spans="1:21" ht="14.25" customHeight="1">
      <c r="A609" s="120" t="s">
        <v>2498</v>
      </c>
      <c r="B609" s="9">
        <v>20</v>
      </c>
      <c r="C609" s="1" t="s">
        <v>1296</v>
      </c>
      <c r="D609" s="187">
        <v>3</v>
      </c>
      <c r="E609" s="7">
        <v>1.1000000000000001</v>
      </c>
    </row>
    <row r="610" spans="1:21" ht="14.25" customHeight="1">
      <c r="A610" s="120" t="s">
        <v>2499</v>
      </c>
      <c r="B610" s="9">
        <v>20</v>
      </c>
      <c r="C610" s="1" t="s">
        <v>1291</v>
      </c>
      <c r="D610" s="187">
        <v>3</v>
      </c>
      <c r="E610" s="7">
        <v>1.1000000000000001</v>
      </c>
    </row>
    <row r="611" spans="1:21" ht="14.25" customHeight="1">
      <c r="A611" s="120" t="s">
        <v>2500</v>
      </c>
      <c r="B611" s="9">
        <v>20</v>
      </c>
      <c r="C611" s="1" t="s">
        <v>1297</v>
      </c>
      <c r="D611" s="187">
        <v>3</v>
      </c>
      <c r="E611" s="7">
        <v>1.1000000000000001</v>
      </c>
    </row>
    <row r="612" spans="1:21" s="4" customFormat="1" ht="14.25" customHeight="1">
      <c r="A612" s="119" t="s">
        <v>2824</v>
      </c>
      <c r="B612" s="9">
        <v>16.5</v>
      </c>
      <c r="C612" s="1" t="s">
        <v>1883</v>
      </c>
      <c r="D612" s="188">
        <v>5</v>
      </c>
      <c r="E612" s="6">
        <v>1.2</v>
      </c>
      <c r="F612" s="7"/>
      <c r="G612" s="7"/>
      <c r="H612" s="7"/>
      <c r="I612" s="7"/>
      <c r="J612" s="7"/>
      <c r="K612" s="7"/>
      <c r="L612" s="7"/>
      <c r="M612" s="7"/>
      <c r="N612" s="7"/>
      <c r="O612" s="7"/>
      <c r="P612" s="7"/>
      <c r="Q612" s="7"/>
      <c r="R612" s="7"/>
      <c r="S612" s="7"/>
      <c r="T612" s="7"/>
      <c r="U612" s="7"/>
    </row>
    <row r="613" spans="1:21" ht="14.25" customHeight="1">
      <c r="A613" s="119" t="s">
        <v>2825</v>
      </c>
      <c r="B613" s="9">
        <v>11.7</v>
      </c>
      <c r="C613" s="1" t="s">
        <v>1884</v>
      </c>
      <c r="D613" s="188">
        <v>5</v>
      </c>
      <c r="E613" s="6">
        <v>1.7</v>
      </c>
    </row>
    <row r="614" spans="1:21" s="4" customFormat="1" ht="14.25" customHeight="1">
      <c r="A614" s="119" t="s">
        <v>3157</v>
      </c>
      <c r="B614" s="9">
        <v>60.8</v>
      </c>
      <c r="C614" s="1" t="s">
        <v>1879</v>
      </c>
      <c r="D614" s="188">
        <v>3</v>
      </c>
      <c r="E614" s="6">
        <v>2.15</v>
      </c>
      <c r="F614" s="7"/>
      <c r="G614" s="7"/>
      <c r="H614" s="7"/>
      <c r="I614" s="7"/>
      <c r="J614" s="7"/>
      <c r="K614" s="7"/>
      <c r="L614" s="7"/>
      <c r="M614" s="7"/>
      <c r="N614" s="7"/>
      <c r="O614" s="7"/>
      <c r="P614" s="7"/>
      <c r="Q614" s="7"/>
      <c r="R614" s="7"/>
      <c r="S614" s="7"/>
      <c r="T614" s="7"/>
      <c r="U614" s="7"/>
    </row>
    <row r="615" spans="1:21" ht="14.25" customHeight="1">
      <c r="A615" s="119" t="s">
        <v>3158</v>
      </c>
      <c r="B615" s="9">
        <v>62.2</v>
      </c>
      <c r="C615" s="1" t="s">
        <v>1878</v>
      </c>
      <c r="D615" s="188">
        <v>3</v>
      </c>
      <c r="E615" s="6">
        <v>2.15</v>
      </c>
    </row>
    <row r="616" spans="1:21" ht="14.25" customHeight="1">
      <c r="A616" s="119" t="s">
        <v>3156</v>
      </c>
      <c r="B616" s="9">
        <v>22.3</v>
      </c>
      <c r="C616" s="1" t="s">
        <v>1885</v>
      </c>
      <c r="D616" s="188">
        <v>5</v>
      </c>
      <c r="E616" s="6">
        <f>11.39*2.38/(1.19+1.68+2.38+2.97+3.56)</f>
        <v>2.3012054329371816</v>
      </c>
    </row>
    <row r="617" spans="1:21" ht="14.25" customHeight="1">
      <c r="A617" s="119" t="s">
        <v>2826</v>
      </c>
      <c r="B617" s="9">
        <v>27.5</v>
      </c>
      <c r="C617" s="1" t="s">
        <v>1886</v>
      </c>
      <c r="D617" s="188">
        <v>5</v>
      </c>
      <c r="E617" s="6">
        <f>11.39*2.97/(1.19+1.68+2.38+2.97+3.56)</f>
        <v>2.8716723259762311</v>
      </c>
    </row>
    <row r="618" spans="1:21" ht="14.25" customHeight="1">
      <c r="A618" s="119" t="s">
        <v>2827</v>
      </c>
      <c r="B618" s="9">
        <v>30.5</v>
      </c>
      <c r="C618" s="1" t="s">
        <v>1887</v>
      </c>
      <c r="D618" s="188">
        <v>5</v>
      </c>
      <c r="E618" s="6">
        <f>11.39*3.56/(1.19+1.68+2.38+2.97+3.56)</f>
        <v>3.4421392190152797</v>
      </c>
    </row>
    <row r="619" spans="1:21" ht="14.25" customHeight="1">
      <c r="A619" s="119" t="s">
        <v>2828</v>
      </c>
      <c r="B619" s="9">
        <v>63</v>
      </c>
      <c r="C619" s="1" t="s">
        <v>1877</v>
      </c>
      <c r="D619" s="188">
        <v>3</v>
      </c>
      <c r="E619" s="6">
        <v>2.15</v>
      </c>
    </row>
    <row r="620" spans="1:21" ht="14.25" customHeight="1">
      <c r="A620" s="119" t="s">
        <v>3159</v>
      </c>
      <c r="B620" s="9">
        <v>78.8</v>
      </c>
      <c r="C620" s="1" t="s">
        <v>1882</v>
      </c>
      <c r="D620" s="188">
        <v>3</v>
      </c>
      <c r="E620" s="6">
        <v>2.15</v>
      </c>
    </row>
    <row r="621" spans="1:21" ht="14.25" customHeight="1">
      <c r="A621" s="119" t="s">
        <v>2829</v>
      </c>
      <c r="B621" s="9">
        <v>58.6</v>
      </c>
      <c r="C621" s="1" t="s">
        <v>1880</v>
      </c>
      <c r="D621" s="188">
        <v>3</v>
      </c>
      <c r="E621" s="6">
        <v>2.15</v>
      </c>
    </row>
    <row r="622" spans="1:21" ht="14.25" customHeight="1">
      <c r="A622" s="119" t="s">
        <v>2830</v>
      </c>
      <c r="B622" s="9">
        <v>82.4</v>
      </c>
      <c r="C622" s="1" t="s">
        <v>1881</v>
      </c>
      <c r="D622" s="188">
        <v>3</v>
      </c>
      <c r="E622" s="6">
        <v>2.15</v>
      </c>
    </row>
    <row r="623" spans="1:21" ht="14.25" customHeight="1">
      <c r="A623" s="137" t="s">
        <v>2501</v>
      </c>
      <c r="B623" s="9">
        <v>10</v>
      </c>
      <c r="C623" s="7" t="s">
        <v>1303</v>
      </c>
      <c r="D623" s="187">
        <v>20</v>
      </c>
      <c r="E623" s="7">
        <v>0.68</v>
      </c>
    </row>
    <row r="624" spans="1:21" ht="14.25" customHeight="1">
      <c r="A624" s="137" t="s">
        <v>2502</v>
      </c>
      <c r="B624" s="9">
        <v>10</v>
      </c>
      <c r="C624" s="7" t="s">
        <v>1304</v>
      </c>
      <c r="D624" s="187">
        <v>10</v>
      </c>
      <c r="E624" s="7">
        <v>0.68</v>
      </c>
    </row>
    <row r="625" spans="1:21" ht="14.25" customHeight="1">
      <c r="A625" s="137" t="s">
        <v>2503</v>
      </c>
      <c r="B625" s="9">
        <v>10</v>
      </c>
      <c r="C625" s="7" t="s">
        <v>1305</v>
      </c>
      <c r="D625" s="187">
        <v>10</v>
      </c>
      <c r="E625" s="7">
        <v>0.68</v>
      </c>
      <c r="U625" s="4"/>
    </row>
    <row r="626" spans="1:21" ht="14.25" customHeight="1">
      <c r="A626" s="137" t="s">
        <v>2504</v>
      </c>
      <c r="B626" s="9">
        <v>10</v>
      </c>
      <c r="C626" s="7" t="s">
        <v>1306</v>
      </c>
      <c r="D626" s="187">
        <v>10</v>
      </c>
      <c r="E626" s="7">
        <v>0.68</v>
      </c>
    </row>
    <row r="627" spans="1:21" ht="14.25" customHeight="1">
      <c r="A627" s="137" t="s">
        <v>2505</v>
      </c>
      <c r="B627" s="9">
        <v>10</v>
      </c>
      <c r="C627" s="7" t="s">
        <v>1307</v>
      </c>
      <c r="D627" s="187">
        <v>10</v>
      </c>
      <c r="E627" s="7">
        <v>0.68</v>
      </c>
    </row>
    <row r="628" spans="1:21" ht="14.25" customHeight="1">
      <c r="A628" s="119" t="s">
        <v>2743</v>
      </c>
      <c r="B628" s="9">
        <f>60/30</f>
        <v>2</v>
      </c>
      <c r="C628" s="7" t="s">
        <v>1631</v>
      </c>
      <c r="D628" s="187">
        <v>60</v>
      </c>
      <c r="E628" s="56">
        <f>4.5/30</f>
        <v>0.15</v>
      </c>
    </row>
    <row r="629" spans="1:21" ht="14.25" customHeight="1">
      <c r="A629" s="119" t="s">
        <v>2744</v>
      </c>
      <c r="B629" s="110">
        <f>57.8/30</f>
        <v>1.9266666666666665</v>
      </c>
      <c r="C629" s="7" t="s">
        <v>1630</v>
      </c>
      <c r="D629" s="187">
        <v>60</v>
      </c>
      <c r="E629" s="56">
        <f>4.5/30</f>
        <v>0.15</v>
      </c>
    </row>
    <row r="630" spans="1:21" ht="14.25" customHeight="1">
      <c r="A630" s="119" t="s">
        <v>2745</v>
      </c>
      <c r="B630" s="110">
        <f>68.2/30</f>
        <v>2.2733333333333334</v>
      </c>
      <c r="C630" s="7" t="s">
        <v>1632</v>
      </c>
      <c r="D630" s="187">
        <v>60</v>
      </c>
      <c r="E630" s="56">
        <f>5.5/30</f>
        <v>0.18333333333333332</v>
      </c>
    </row>
    <row r="631" spans="1:21" ht="14.25" customHeight="1">
      <c r="A631" s="119" t="s">
        <v>2746</v>
      </c>
      <c r="B631" s="110">
        <f>69.7/50</f>
        <v>1.3940000000000001</v>
      </c>
      <c r="C631" s="7" t="s">
        <v>1627</v>
      </c>
      <c r="D631" s="187">
        <v>50</v>
      </c>
      <c r="E631" s="56">
        <v>0.08</v>
      </c>
    </row>
    <row r="632" spans="1:21" s="4" customFormat="1" ht="14.25" customHeight="1">
      <c r="A632" s="119" t="s">
        <v>2747</v>
      </c>
      <c r="B632" s="110">
        <f>70.6/50</f>
        <v>1.4119999999999999</v>
      </c>
      <c r="C632" s="7" t="s">
        <v>1628</v>
      </c>
      <c r="D632" s="187">
        <v>50</v>
      </c>
      <c r="E632" s="56">
        <v>0.08</v>
      </c>
      <c r="F632" s="7"/>
      <c r="G632" s="7"/>
      <c r="H632" s="7"/>
      <c r="I632" s="7"/>
      <c r="J632" s="7"/>
      <c r="K632" s="7"/>
      <c r="L632" s="7"/>
      <c r="M632" s="7"/>
      <c r="N632" s="7"/>
      <c r="O632" s="7"/>
      <c r="P632" s="7"/>
      <c r="Q632" s="7"/>
      <c r="R632" s="7"/>
      <c r="S632" s="7"/>
      <c r="T632" s="7"/>
    </row>
    <row r="633" spans="1:21" ht="14.25" customHeight="1">
      <c r="A633" s="119" t="s">
        <v>2748</v>
      </c>
      <c r="B633" s="110">
        <f>123.4/50</f>
        <v>2.468</v>
      </c>
      <c r="C633" s="7" t="s">
        <v>1629</v>
      </c>
      <c r="D633" s="187">
        <v>50</v>
      </c>
      <c r="E633" s="56">
        <v>0.12</v>
      </c>
    </row>
    <row r="634" spans="1:21" ht="14.25" customHeight="1">
      <c r="A634" s="119" t="s">
        <v>2757</v>
      </c>
      <c r="B634" s="110">
        <f>232.5/1000</f>
        <v>0.23250000000000001</v>
      </c>
      <c r="C634" s="7" t="s">
        <v>1657</v>
      </c>
      <c r="D634" s="187">
        <v>1000</v>
      </c>
      <c r="E634" s="56">
        <f>15/D634</f>
        <v>1.4999999999999999E-2</v>
      </c>
    </row>
    <row r="635" spans="1:21" ht="14.25" customHeight="1">
      <c r="A635" s="119" t="s">
        <v>2758</v>
      </c>
      <c r="B635" s="110">
        <f>262.8/1000</f>
        <v>0.26280000000000003</v>
      </c>
      <c r="C635" s="7" t="s">
        <v>1658</v>
      </c>
      <c r="D635" s="187">
        <v>1000</v>
      </c>
      <c r="E635" s="56">
        <f>15/D635</f>
        <v>1.4999999999999999E-2</v>
      </c>
    </row>
    <row r="636" spans="1:21" ht="14.25" customHeight="1">
      <c r="A636" s="119" t="s">
        <v>2759</v>
      </c>
      <c r="B636" s="9">
        <f>5/10</f>
        <v>0.5</v>
      </c>
      <c r="C636" s="7" t="s">
        <v>1659</v>
      </c>
      <c r="D636" s="187">
        <v>1000</v>
      </c>
      <c r="E636" s="56">
        <f>28/D636</f>
        <v>2.8000000000000001E-2</v>
      </c>
    </row>
    <row r="637" spans="1:21" ht="14.25" customHeight="1">
      <c r="A637" s="119" t="s">
        <v>2729</v>
      </c>
      <c r="B637" s="9">
        <f>3.9/5</f>
        <v>0.78</v>
      </c>
      <c r="C637" s="7" t="s">
        <v>1642</v>
      </c>
      <c r="D637" s="187">
        <v>1000</v>
      </c>
      <c r="E637" s="56">
        <f>40/D637</f>
        <v>0.04</v>
      </c>
    </row>
    <row r="638" spans="1:21" ht="14.25" customHeight="1">
      <c r="A638" s="119" t="s">
        <v>2730</v>
      </c>
      <c r="B638" s="9">
        <f>3.6/5</f>
        <v>0.72</v>
      </c>
      <c r="C638" s="7" t="s">
        <v>1643</v>
      </c>
      <c r="D638" s="187">
        <v>1000</v>
      </c>
      <c r="E638" s="56">
        <f>47/D638</f>
        <v>4.7E-2</v>
      </c>
    </row>
    <row r="639" spans="1:21" s="4" customFormat="1" ht="14.25" customHeight="1">
      <c r="A639" s="119" t="s">
        <v>2731</v>
      </c>
      <c r="B639" s="9">
        <f>4.7/5</f>
        <v>0.94000000000000006</v>
      </c>
      <c r="C639" s="7" t="s">
        <v>1644</v>
      </c>
      <c r="D639" s="187">
        <v>500</v>
      </c>
      <c r="E639" s="56">
        <f>42.5/D639</f>
        <v>8.5000000000000006E-2</v>
      </c>
      <c r="F639" s="7"/>
      <c r="G639" s="7"/>
      <c r="H639" s="7"/>
      <c r="I639" s="7"/>
      <c r="J639" s="7"/>
      <c r="K639" s="7"/>
      <c r="L639" s="7"/>
      <c r="M639" s="7"/>
      <c r="N639" s="7"/>
      <c r="O639" s="7"/>
      <c r="P639" s="7"/>
      <c r="Q639" s="7"/>
      <c r="R639" s="7"/>
      <c r="S639" s="7"/>
      <c r="T639" s="7"/>
      <c r="U639" s="7"/>
    </row>
    <row r="640" spans="1:21" ht="14.25" customHeight="1">
      <c r="A640" s="119" t="s">
        <v>2732</v>
      </c>
      <c r="B640" s="110">
        <f>12.9/50</f>
        <v>0.25800000000000001</v>
      </c>
      <c r="C640" s="7" t="s">
        <v>1646</v>
      </c>
      <c r="D640" s="187">
        <v>50</v>
      </c>
      <c r="E640" s="7">
        <v>0.14000000000000001</v>
      </c>
    </row>
    <row r="641" spans="1:21" ht="14.25" customHeight="1">
      <c r="A641" s="119" t="s">
        <v>2733</v>
      </c>
      <c r="B641" s="110">
        <f>41.2/50</f>
        <v>0.82400000000000007</v>
      </c>
      <c r="C641" s="7" t="s">
        <v>1645</v>
      </c>
      <c r="D641" s="187">
        <v>50</v>
      </c>
      <c r="E641" s="7">
        <v>0.11</v>
      </c>
    </row>
    <row r="642" spans="1:21" ht="14.25" customHeight="1">
      <c r="A642" s="119" t="s">
        <v>2734</v>
      </c>
      <c r="B642" s="110">
        <f>48.9/50</f>
        <v>0.97799999999999998</v>
      </c>
      <c r="C642" s="7" t="s">
        <v>1647</v>
      </c>
      <c r="D642" s="187">
        <v>50</v>
      </c>
      <c r="E642" s="7">
        <v>0.14000000000000001</v>
      </c>
    </row>
    <row r="643" spans="1:21" ht="14.25" customHeight="1">
      <c r="A643" s="119" t="s">
        <v>2735</v>
      </c>
      <c r="B643" s="110">
        <f>84.9/50</f>
        <v>1.6980000000000002</v>
      </c>
      <c r="C643" s="7" t="s">
        <v>1648</v>
      </c>
      <c r="D643" s="187">
        <v>50</v>
      </c>
      <c r="E643" s="7">
        <v>0.2</v>
      </c>
    </row>
    <row r="644" spans="1:21" ht="14.25" customHeight="1">
      <c r="A644" s="119" t="s">
        <v>2736</v>
      </c>
      <c r="B644" s="110">
        <f>5/30</f>
        <v>0.16666666666666666</v>
      </c>
      <c r="C644" s="7" t="s">
        <v>1649</v>
      </c>
      <c r="D644" s="187">
        <v>30</v>
      </c>
      <c r="E644" s="7">
        <v>0.27</v>
      </c>
    </row>
    <row r="645" spans="1:21" ht="14.25" customHeight="1">
      <c r="A645" s="119" t="s">
        <v>2737</v>
      </c>
      <c r="B645" s="110">
        <f>9.6/30</f>
        <v>0.32</v>
      </c>
      <c r="C645" s="7" t="s">
        <v>1650</v>
      </c>
      <c r="D645" s="187">
        <v>30</v>
      </c>
      <c r="E645" s="7">
        <v>0.33</v>
      </c>
    </row>
    <row r="646" spans="1:21" ht="14.25" customHeight="1">
      <c r="A646" s="119" t="s">
        <v>2738</v>
      </c>
      <c r="B646" s="110">
        <f>18.7/30</f>
        <v>0.62333333333333329</v>
      </c>
      <c r="C646" s="7" t="s">
        <v>1651</v>
      </c>
      <c r="D646" s="187">
        <v>30</v>
      </c>
      <c r="E646" s="7">
        <v>0.36</v>
      </c>
    </row>
    <row r="647" spans="1:21" ht="14.25" customHeight="1">
      <c r="A647" s="119" t="s">
        <v>2739</v>
      </c>
      <c r="B647" s="110">
        <f>24.5/30</f>
        <v>0.81666666666666665</v>
      </c>
      <c r="C647" s="7" t="s">
        <v>1652</v>
      </c>
      <c r="D647" s="187">
        <v>30</v>
      </c>
      <c r="E647" s="7">
        <v>0.43</v>
      </c>
    </row>
    <row r="648" spans="1:21" ht="14.25" customHeight="1">
      <c r="A648" s="119" t="s">
        <v>2740</v>
      </c>
      <c r="B648" s="9">
        <f>7.2/5</f>
        <v>1.44</v>
      </c>
      <c r="C648" s="7" t="s">
        <v>1653</v>
      </c>
      <c r="D648" s="187">
        <v>50</v>
      </c>
      <c r="E648" s="56">
        <f>5/D648</f>
        <v>0.1</v>
      </c>
      <c r="U648" s="4"/>
    </row>
    <row r="649" spans="1:21" ht="14.25" customHeight="1">
      <c r="A649" s="119" t="s">
        <v>2741</v>
      </c>
      <c r="B649" s="9">
        <f>7.8/5</f>
        <v>1.56</v>
      </c>
      <c r="C649" s="7" t="s">
        <v>1654</v>
      </c>
      <c r="D649" s="187">
        <v>50</v>
      </c>
      <c r="E649" s="56">
        <f>5/D649</f>
        <v>0.1</v>
      </c>
    </row>
    <row r="650" spans="1:21" ht="14.25" customHeight="1">
      <c r="A650" s="119" t="s">
        <v>2742</v>
      </c>
      <c r="B650" s="9">
        <f>9.6/5</f>
        <v>1.92</v>
      </c>
      <c r="C650" s="7" t="s">
        <v>1655</v>
      </c>
      <c r="D650" s="187">
        <v>50</v>
      </c>
      <c r="E650" s="56">
        <f>10/D650</f>
        <v>0.2</v>
      </c>
    </row>
    <row r="651" spans="1:21" ht="14.25" customHeight="1">
      <c r="A651" s="119" t="s">
        <v>2760</v>
      </c>
      <c r="B651" s="9">
        <f>7.8/5</f>
        <v>1.56</v>
      </c>
      <c r="C651" s="7" t="s">
        <v>1660</v>
      </c>
      <c r="D651" s="187">
        <v>60</v>
      </c>
      <c r="E651" s="7">
        <v>0.35</v>
      </c>
    </row>
    <row r="652" spans="1:21" ht="14.25" customHeight="1">
      <c r="A652" s="119" t="s">
        <v>2761</v>
      </c>
      <c r="B652" s="9">
        <f>8.4/5</f>
        <v>1.6800000000000002</v>
      </c>
      <c r="C652" s="7" t="s">
        <v>1661</v>
      </c>
      <c r="D652" s="187">
        <v>60</v>
      </c>
      <c r="E652" s="7">
        <v>0.35</v>
      </c>
    </row>
    <row r="653" spans="1:21" ht="14.25" customHeight="1">
      <c r="A653" s="119" t="s">
        <v>2762</v>
      </c>
      <c r="B653" s="9">
        <f>11/5</f>
        <v>2.2000000000000002</v>
      </c>
      <c r="C653" s="7" t="s">
        <v>1662</v>
      </c>
      <c r="D653" s="187">
        <v>30</v>
      </c>
      <c r="E653" s="7">
        <v>0.6</v>
      </c>
    </row>
    <row r="654" spans="1:21" ht="14.25" customHeight="1">
      <c r="A654" s="119" t="s">
        <v>3180</v>
      </c>
      <c r="B654" s="9">
        <f>8.6/5</f>
        <v>1.72</v>
      </c>
      <c r="C654" s="7" t="s">
        <v>1663</v>
      </c>
      <c r="D654" s="187">
        <v>60</v>
      </c>
      <c r="E654" s="7">
        <v>0.35</v>
      </c>
    </row>
    <row r="655" spans="1:21" s="4" customFormat="1" ht="14.25" customHeight="1">
      <c r="A655" s="119" t="s">
        <v>2763</v>
      </c>
      <c r="B655" s="9">
        <f>9/5</f>
        <v>1.8</v>
      </c>
      <c r="C655" s="7" t="s">
        <v>1664</v>
      </c>
      <c r="D655" s="187">
        <v>60</v>
      </c>
      <c r="E655" s="7">
        <v>0.35</v>
      </c>
      <c r="F655" s="7"/>
      <c r="G655" s="7"/>
      <c r="H655" s="7"/>
      <c r="I655" s="7"/>
      <c r="J655" s="7"/>
      <c r="K655" s="7"/>
      <c r="L655" s="7"/>
      <c r="M655" s="7"/>
      <c r="N655" s="7"/>
      <c r="O655" s="7"/>
      <c r="P655" s="7"/>
      <c r="Q655" s="7"/>
      <c r="R655" s="7"/>
      <c r="S655" s="7"/>
      <c r="T655" s="7"/>
      <c r="U655" s="7"/>
    </row>
    <row r="656" spans="1:21" ht="14.25" customHeight="1">
      <c r="A656" s="119" t="s">
        <v>3181</v>
      </c>
      <c r="B656" s="9">
        <f>10.5/5</f>
        <v>2.1</v>
      </c>
      <c r="C656" s="7" t="s">
        <v>1665</v>
      </c>
      <c r="D656" s="187">
        <v>30</v>
      </c>
      <c r="E656" s="7">
        <v>0.6</v>
      </c>
      <c r="U656" s="4"/>
    </row>
    <row r="657" spans="1:21" ht="14.25" customHeight="1">
      <c r="A657" s="119" t="s">
        <v>2749</v>
      </c>
      <c r="B657" s="110">
        <f>56.8/30</f>
        <v>1.8933333333333333</v>
      </c>
      <c r="C657" s="7" t="s">
        <v>1633</v>
      </c>
      <c r="D657" s="187">
        <v>30</v>
      </c>
      <c r="E657" s="56">
        <v>0.25</v>
      </c>
    </row>
    <row r="658" spans="1:21" ht="14.25" customHeight="1">
      <c r="A658" s="119" t="s">
        <v>2750</v>
      </c>
      <c r="B658" s="110">
        <f>50.5/30</f>
        <v>1.6833333333333333</v>
      </c>
      <c r="C658" s="7" t="s">
        <v>1634</v>
      </c>
      <c r="D658" s="187">
        <v>30</v>
      </c>
      <c r="E658" s="56">
        <v>0.25</v>
      </c>
    </row>
    <row r="659" spans="1:21" ht="14.25" customHeight="1">
      <c r="A659" s="119" t="s">
        <v>2751</v>
      </c>
      <c r="B659" s="9">
        <f>92.1/30</f>
        <v>3.07</v>
      </c>
      <c r="C659" s="7" t="s">
        <v>1635</v>
      </c>
      <c r="D659" s="187">
        <v>30</v>
      </c>
      <c r="E659" s="56">
        <v>0.26</v>
      </c>
    </row>
    <row r="660" spans="1:21" ht="14.25" customHeight="1">
      <c r="A660" s="119" t="s">
        <v>2752</v>
      </c>
      <c r="B660" s="110">
        <f>83.2/30</f>
        <v>2.7733333333333334</v>
      </c>
      <c r="C660" s="7" t="s">
        <v>1636</v>
      </c>
      <c r="D660" s="187">
        <v>30</v>
      </c>
      <c r="E660" s="56">
        <v>0.26</v>
      </c>
    </row>
    <row r="661" spans="1:21" ht="14.25" customHeight="1">
      <c r="A661" s="119" t="s">
        <v>2753</v>
      </c>
      <c r="B661" s="110">
        <f>144.4/30</f>
        <v>4.8133333333333335</v>
      </c>
      <c r="C661" s="7" t="s">
        <v>1637</v>
      </c>
      <c r="D661" s="187">
        <v>30</v>
      </c>
      <c r="E661" s="56">
        <v>0.35</v>
      </c>
    </row>
    <row r="662" spans="1:21" ht="14.25" customHeight="1">
      <c r="A662" s="119" t="s">
        <v>2754</v>
      </c>
      <c r="B662" s="9">
        <f>133.5/30</f>
        <v>4.45</v>
      </c>
      <c r="C662" s="7" t="s">
        <v>1638</v>
      </c>
      <c r="D662" s="187">
        <v>30</v>
      </c>
      <c r="E662" s="56">
        <v>0.35</v>
      </c>
    </row>
    <row r="663" spans="1:21" s="4" customFormat="1" ht="14.25" customHeight="1">
      <c r="A663" s="119" t="s">
        <v>2755</v>
      </c>
      <c r="B663" s="9">
        <f>201.3/30</f>
        <v>6.71</v>
      </c>
      <c r="C663" s="7" t="s">
        <v>1639</v>
      </c>
      <c r="D663" s="187">
        <v>30</v>
      </c>
      <c r="E663" s="56">
        <v>0.5</v>
      </c>
      <c r="F663" s="7"/>
      <c r="G663" s="7"/>
      <c r="H663" s="7"/>
      <c r="I663" s="7"/>
      <c r="J663" s="7"/>
      <c r="K663" s="7"/>
      <c r="L663" s="7"/>
      <c r="M663" s="7"/>
      <c r="N663" s="7"/>
      <c r="O663" s="7"/>
      <c r="P663" s="7"/>
      <c r="Q663" s="7"/>
      <c r="R663" s="7"/>
      <c r="S663" s="7"/>
      <c r="T663" s="7"/>
      <c r="U663" s="7"/>
    </row>
    <row r="664" spans="1:21" ht="14.25" customHeight="1">
      <c r="A664" s="119" t="s">
        <v>2756</v>
      </c>
      <c r="B664" s="110">
        <f>190.3/30</f>
        <v>6.3433333333333337</v>
      </c>
      <c r="C664" s="7" t="s">
        <v>1640</v>
      </c>
      <c r="D664" s="187">
        <v>30</v>
      </c>
      <c r="E664" s="56">
        <v>0.5</v>
      </c>
      <c r="U664" s="4"/>
    </row>
    <row r="665" spans="1:21" ht="14.25" customHeight="1">
      <c r="A665" s="119" t="s">
        <v>3048</v>
      </c>
      <c r="B665" s="9">
        <f>26.7</f>
        <v>26.7</v>
      </c>
      <c r="C665" s="1" t="s">
        <v>3187</v>
      </c>
      <c r="D665" s="188">
        <v>50</v>
      </c>
      <c r="E665" s="6">
        <v>0.12</v>
      </c>
    </row>
    <row r="666" spans="1:21" ht="14.25" customHeight="1">
      <c r="A666" s="119" t="s">
        <v>3163</v>
      </c>
      <c r="B666" s="9">
        <v>24.7</v>
      </c>
      <c r="C666" s="1" t="s">
        <v>3188</v>
      </c>
      <c r="D666" s="188">
        <v>50</v>
      </c>
      <c r="E666" s="6">
        <v>0.12</v>
      </c>
    </row>
    <row r="667" spans="1:21" ht="14.25" customHeight="1">
      <c r="A667" s="119" t="s">
        <v>3164</v>
      </c>
      <c r="B667" s="9">
        <v>25.2</v>
      </c>
      <c r="C667" s="1" t="s">
        <v>3189</v>
      </c>
      <c r="D667" s="188">
        <v>20</v>
      </c>
      <c r="E667" s="6">
        <v>0.12</v>
      </c>
      <c r="U667" s="4"/>
    </row>
    <row r="668" spans="1:21" ht="14.25" customHeight="1">
      <c r="A668" s="119" t="s">
        <v>3165</v>
      </c>
      <c r="B668" s="9">
        <v>23.6</v>
      </c>
      <c r="C668" s="1" t="s">
        <v>3190</v>
      </c>
      <c r="D668" s="188">
        <v>50</v>
      </c>
      <c r="E668" s="6">
        <v>0.12</v>
      </c>
    </row>
    <row r="669" spans="1:21" ht="14.25" customHeight="1">
      <c r="A669" s="119" t="s">
        <v>3166</v>
      </c>
      <c r="B669" s="9">
        <v>25.1</v>
      </c>
      <c r="C669" s="1" t="s">
        <v>3191</v>
      </c>
      <c r="D669" s="188">
        <v>50</v>
      </c>
      <c r="E669" s="6">
        <v>0.12</v>
      </c>
    </row>
    <row r="670" spans="1:21" ht="14.25" customHeight="1">
      <c r="A670" s="119" t="s">
        <v>3167</v>
      </c>
      <c r="B670" s="9">
        <v>24.4</v>
      </c>
      <c r="C670" s="1" t="s">
        <v>3192</v>
      </c>
      <c r="D670" s="188">
        <v>20</v>
      </c>
      <c r="E670" s="6">
        <v>0.12</v>
      </c>
    </row>
    <row r="671" spans="1:21" s="4" customFormat="1" ht="14.25" customHeight="1">
      <c r="A671" s="119" t="s">
        <v>3168</v>
      </c>
      <c r="B671" s="9">
        <v>23.3</v>
      </c>
      <c r="C671" s="1" t="s">
        <v>3193</v>
      </c>
      <c r="D671" s="188">
        <v>50</v>
      </c>
      <c r="E671" s="6">
        <v>0.12</v>
      </c>
      <c r="F671" s="7"/>
      <c r="G671" s="7"/>
      <c r="H671" s="7"/>
      <c r="I671" s="7"/>
      <c r="J671" s="7"/>
      <c r="K671" s="7"/>
      <c r="L671" s="7"/>
      <c r="M671" s="7"/>
      <c r="N671" s="7"/>
      <c r="O671" s="7"/>
      <c r="P671" s="7"/>
      <c r="Q671" s="7"/>
      <c r="R671" s="7"/>
      <c r="S671" s="7"/>
      <c r="T671" s="7"/>
      <c r="U671" s="7"/>
    </row>
    <row r="672" spans="1:21" ht="14.25" customHeight="1">
      <c r="A672" s="119" t="s">
        <v>3169</v>
      </c>
      <c r="B672" s="9">
        <v>10.9</v>
      </c>
      <c r="C672" s="1" t="s">
        <v>3194</v>
      </c>
      <c r="D672" s="188">
        <v>50</v>
      </c>
      <c r="E672" s="6">
        <v>0.12</v>
      </c>
    </row>
    <row r="673" spans="1:21" ht="14.25" customHeight="1">
      <c r="A673" s="119" t="s">
        <v>3170</v>
      </c>
      <c r="B673" s="9">
        <v>10.5</v>
      </c>
      <c r="C673" s="1" t="s">
        <v>3195</v>
      </c>
      <c r="D673" s="188">
        <v>50</v>
      </c>
      <c r="E673" s="6">
        <v>0.12</v>
      </c>
    </row>
    <row r="674" spans="1:21" s="4" customFormat="1" ht="14.25" customHeight="1">
      <c r="A674" s="119" t="s">
        <v>3172</v>
      </c>
      <c r="B674" s="9">
        <v>26.7</v>
      </c>
      <c r="C674" s="1" t="s">
        <v>3207</v>
      </c>
      <c r="D674" s="188">
        <v>20</v>
      </c>
      <c r="E674" s="6">
        <v>0.13</v>
      </c>
      <c r="F674" s="7"/>
      <c r="G674" s="7"/>
      <c r="H674" s="7"/>
      <c r="I674" s="7"/>
      <c r="J674" s="7"/>
      <c r="K674" s="7"/>
      <c r="L674" s="7"/>
      <c r="M674" s="7"/>
      <c r="N674" s="7"/>
      <c r="O674" s="7"/>
      <c r="P674" s="7"/>
      <c r="Q674" s="7"/>
      <c r="R674" s="7"/>
      <c r="S674" s="7"/>
      <c r="T674" s="7"/>
      <c r="U674" s="7"/>
    </row>
    <row r="675" spans="1:21" ht="14.25" customHeight="1">
      <c r="A675" s="119" t="s">
        <v>3173</v>
      </c>
      <c r="B675" s="9">
        <v>28.2</v>
      </c>
      <c r="C675" s="1" t="s">
        <v>3208</v>
      </c>
      <c r="D675" s="188">
        <v>20</v>
      </c>
      <c r="E675" s="6">
        <v>0.1</v>
      </c>
    </row>
    <row r="676" spans="1:21" ht="14.25" customHeight="1">
      <c r="A676" s="119" t="s">
        <v>3174</v>
      </c>
      <c r="B676" s="9">
        <v>64</v>
      </c>
      <c r="C676" s="1" t="s">
        <v>3209</v>
      </c>
      <c r="D676" s="188">
        <v>50</v>
      </c>
      <c r="E676" s="6">
        <v>0.1</v>
      </c>
    </row>
    <row r="677" spans="1:21" ht="14.25" customHeight="1">
      <c r="A677" s="119" t="s">
        <v>3049</v>
      </c>
      <c r="B677" s="9">
        <v>13.2</v>
      </c>
      <c r="C677" s="1" t="s">
        <v>3196</v>
      </c>
      <c r="D677" s="188">
        <v>20</v>
      </c>
      <c r="E677" s="6">
        <v>0.13</v>
      </c>
      <c r="U677" s="4"/>
    </row>
    <row r="678" spans="1:21" ht="14.25" customHeight="1">
      <c r="A678" s="119" t="s">
        <v>3050</v>
      </c>
      <c r="B678" s="9">
        <v>13.7</v>
      </c>
      <c r="C678" s="1" t="s">
        <v>3197</v>
      </c>
      <c r="D678" s="188">
        <v>20</v>
      </c>
      <c r="E678" s="6">
        <v>0.1</v>
      </c>
    </row>
    <row r="679" spans="1:21" ht="14.25" customHeight="1">
      <c r="A679" s="119" t="s">
        <v>3051</v>
      </c>
      <c r="B679" s="9">
        <v>32.9</v>
      </c>
      <c r="C679" s="1" t="s">
        <v>3198</v>
      </c>
      <c r="D679" s="188">
        <v>50</v>
      </c>
      <c r="E679" s="6">
        <v>0.1</v>
      </c>
    </row>
    <row r="680" spans="1:21" ht="14.25" customHeight="1">
      <c r="A680" s="119" t="s">
        <v>3052</v>
      </c>
      <c r="B680" s="9">
        <v>27.9</v>
      </c>
      <c r="C680" s="1" t="s">
        <v>3199</v>
      </c>
      <c r="D680" s="188">
        <v>50</v>
      </c>
      <c r="E680" s="6">
        <v>0.1</v>
      </c>
    </row>
    <row r="681" spans="1:21" ht="14.25" customHeight="1">
      <c r="A681" s="119" t="s">
        <v>3053</v>
      </c>
      <c r="B681" s="9">
        <v>36.1</v>
      </c>
      <c r="C681" s="1" t="s">
        <v>3200</v>
      </c>
      <c r="D681" s="188">
        <v>50</v>
      </c>
      <c r="E681" s="6">
        <v>0.1</v>
      </c>
    </row>
    <row r="682" spans="1:21" ht="14.25" customHeight="1">
      <c r="A682" s="119" t="s">
        <v>3054</v>
      </c>
      <c r="B682" s="9">
        <v>33.9</v>
      </c>
      <c r="C682" s="1" t="s">
        <v>3201</v>
      </c>
      <c r="D682" s="188">
        <v>50</v>
      </c>
      <c r="E682" s="6">
        <v>0.1</v>
      </c>
    </row>
    <row r="683" spans="1:21" ht="14.25" customHeight="1">
      <c r="A683" s="119" t="s">
        <v>3055</v>
      </c>
      <c r="B683" s="9">
        <v>30.7</v>
      </c>
      <c r="C683" s="1" t="s">
        <v>3202</v>
      </c>
      <c r="D683" s="188">
        <v>50</v>
      </c>
      <c r="E683" s="6">
        <v>0.1</v>
      </c>
    </row>
    <row r="684" spans="1:21" s="4" customFormat="1" ht="14.25" customHeight="1">
      <c r="A684" s="119" t="s">
        <v>3056</v>
      </c>
      <c r="B684" s="9">
        <v>29.4</v>
      </c>
      <c r="C684" s="1" t="s">
        <v>3203</v>
      </c>
      <c r="D684" s="188">
        <v>20</v>
      </c>
      <c r="E684" s="6">
        <v>0.1</v>
      </c>
      <c r="F684" s="7"/>
      <c r="G684" s="7"/>
      <c r="H684" s="7"/>
      <c r="I684" s="7"/>
      <c r="J684" s="7"/>
      <c r="K684" s="7"/>
      <c r="L684" s="7"/>
      <c r="M684" s="7"/>
      <c r="N684" s="7"/>
      <c r="O684" s="7"/>
      <c r="P684" s="7"/>
      <c r="Q684" s="7"/>
      <c r="R684" s="7"/>
      <c r="S684" s="7"/>
      <c r="T684" s="7"/>
      <c r="U684" s="7"/>
    </row>
    <row r="685" spans="1:21" ht="14.25" customHeight="1">
      <c r="A685" s="119" t="s">
        <v>3057</v>
      </c>
      <c r="B685" s="9">
        <v>34.1</v>
      </c>
      <c r="C685" s="1" t="s">
        <v>3204</v>
      </c>
      <c r="D685" s="188">
        <v>50</v>
      </c>
      <c r="E685" s="6">
        <v>0.1</v>
      </c>
    </row>
    <row r="686" spans="1:21" ht="14.25" customHeight="1">
      <c r="A686" s="119" t="s">
        <v>3171</v>
      </c>
      <c r="B686" s="9">
        <v>15.9</v>
      </c>
      <c r="C686" s="1" t="s">
        <v>3205</v>
      </c>
      <c r="D686" s="188">
        <v>50</v>
      </c>
      <c r="E686" s="6">
        <v>0.1</v>
      </c>
    </row>
    <row r="687" spans="1:21" ht="14.25" customHeight="1">
      <c r="A687" s="119" t="s">
        <v>2772</v>
      </c>
      <c r="B687" s="9">
        <v>17.3</v>
      </c>
      <c r="C687" s="1" t="s">
        <v>3206</v>
      </c>
      <c r="D687" s="188">
        <v>20</v>
      </c>
      <c r="E687" s="6">
        <v>0.1</v>
      </c>
      <c r="U687" s="4"/>
    </row>
    <row r="688" spans="1:21" ht="14.25" customHeight="1">
      <c r="A688" s="119" t="s">
        <v>3175</v>
      </c>
      <c r="B688" s="9">
        <v>68.900000000000006</v>
      </c>
      <c r="C688" s="1" t="s">
        <v>3210</v>
      </c>
      <c r="D688" s="188">
        <v>50</v>
      </c>
      <c r="E688" s="6">
        <v>0.1</v>
      </c>
    </row>
    <row r="689" spans="1:21" ht="14.25" customHeight="1">
      <c r="A689" s="119" t="s">
        <v>2773</v>
      </c>
      <c r="B689" s="9">
        <v>71.900000000000006</v>
      </c>
      <c r="C689" s="1" t="s">
        <v>3211</v>
      </c>
      <c r="D689" s="188">
        <v>50</v>
      </c>
      <c r="E689" s="6">
        <v>0.1</v>
      </c>
    </row>
    <row r="690" spans="1:21" ht="14.25" customHeight="1">
      <c r="A690" s="119" t="s">
        <v>2774</v>
      </c>
      <c r="B690" s="9">
        <v>71</v>
      </c>
      <c r="C690" s="1" t="s">
        <v>3212</v>
      </c>
      <c r="D690" s="188">
        <v>50</v>
      </c>
      <c r="E690" s="6">
        <v>0.1</v>
      </c>
    </row>
    <row r="691" spans="1:21" ht="14.25" customHeight="1">
      <c r="A691" s="119" t="s">
        <v>2775</v>
      </c>
      <c r="B691" s="9">
        <v>73.400000000000006</v>
      </c>
      <c r="C691" s="1" t="s">
        <v>3213</v>
      </c>
      <c r="D691" s="188">
        <v>50</v>
      </c>
      <c r="E691" s="6">
        <v>0.1</v>
      </c>
    </row>
    <row r="692" spans="1:21" ht="14.25" customHeight="1">
      <c r="A692" s="119" t="s">
        <v>2776</v>
      </c>
      <c r="B692" s="9">
        <v>70.400000000000006</v>
      </c>
      <c r="C692" s="1" t="s">
        <v>3214</v>
      </c>
      <c r="D692" s="188">
        <v>50</v>
      </c>
      <c r="E692" s="6">
        <v>0.1</v>
      </c>
    </row>
    <row r="693" spans="1:21" ht="14.25" customHeight="1">
      <c r="A693" s="119" t="s">
        <v>2777</v>
      </c>
      <c r="B693" s="9">
        <v>69.3</v>
      </c>
      <c r="C693" s="1" t="s">
        <v>3215</v>
      </c>
      <c r="D693" s="188">
        <v>50</v>
      </c>
      <c r="E693" s="6">
        <v>0.1</v>
      </c>
    </row>
    <row r="694" spans="1:21" s="4" customFormat="1" ht="14.25" customHeight="1">
      <c r="A694" s="119" t="s">
        <v>2778</v>
      </c>
      <c r="B694" s="9">
        <v>28.1</v>
      </c>
      <c r="C694" s="1" t="s">
        <v>3216</v>
      </c>
      <c r="D694" s="188">
        <v>20</v>
      </c>
      <c r="E694" s="6">
        <v>0.1</v>
      </c>
      <c r="F694" s="7"/>
      <c r="G694" s="7"/>
      <c r="H694" s="7"/>
      <c r="I694" s="7"/>
      <c r="J694" s="7"/>
      <c r="K694" s="7"/>
      <c r="L694" s="7"/>
      <c r="M694" s="7"/>
      <c r="N694" s="7"/>
      <c r="O694" s="7"/>
      <c r="P694" s="7"/>
      <c r="Q694" s="7"/>
      <c r="R694" s="7"/>
      <c r="S694" s="7"/>
      <c r="T694" s="7"/>
      <c r="U694" s="7"/>
    </row>
    <row r="695" spans="1:21" ht="14.25" customHeight="1">
      <c r="A695" s="119" t="s">
        <v>2779</v>
      </c>
      <c r="B695" s="9">
        <v>28.7</v>
      </c>
      <c r="C695" s="1" t="s">
        <v>3217</v>
      </c>
      <c r="D695" s="188">
        <v>20</v>
      </c>
      <c r="E695" s="6">
        <v>0.1</v>
      </c>
    </row>
    <row r="696" spans="1:21" ht="14.25" customHeight="1">
      <c r="A696" s="119" t="s">
        <v>2780</v>
      </c>
      <c r="B696" s="9">
        <v>26.5</v>
      </c>
      <c r="C696" s="1" t="s">
        <v>3218</v>
      </c>
      <c r="D696" s="188">
        <v>20</v>
      </c>
      <c r="E696" s="6">
        <v>0.12</v>
      </c>
    </row>
    <row r="697" spans="1:21" ht="14.25" customHeight="1">
      <c r="A697" s="119" t="s">
        <v>2794</v>
      </c>
      <c r="B697" s="110">
        <f>16.9/3</f>
        <v>5.6333333333333329</v>
      </c>
      <c r="C697" s="1" t="s">
        <v>3219</v>
      </c>
      <c r="D697" s="188">
        <v>3</v>
      </c>
      <c r="E697" s="6">
        <v>1</v>
      </c>
    </row>
    <row r="698" spans="1:21" ht="14.25" customHeight="1">
      <c r="A698" s="119" t="s">
        <v>2795</v>
      </c>
      <c r="B698" s="110">
        <f>17.1/3</f>
        <v>5.7</v>
      </c>
      <c r="C698" s="1" t="s">
        <v>3220</v>
      </c>
      <c r="D698" s="188">
        <v>3</v>
      </c>
      <c r="E698" s="6">
        <v>1</v>
      </c>
    </row>
    <row r="699" spans="1:21" ht="14.25" customHeight="1">
      <c r="A699" s="119" t="s">
        <v>2796</v>
      </c>
      <c r="B699" s="110">
        <f>20/3</f>
        <v>6.666666666666667</v>
      </c>
      <c r="C699" s="1" t="s">
        <v>3221</v>
      </c>
      <c r="D699" s="188">
        <v>3</v>
      </c>
      <c r="E699" s="6">
        <v>1</v>
      </c>
    </row>
    <row r="700" spans="1:21" ht="14.25" customHeight="1">
      <c r="A700" s="119" t="s">
        <v>2797</v>
      </c>
      <c r="B700" s="110">
        <f>19.2/3</f>
        <v>6.3999999999999995</v>
      </c>
      <c r="C700" s="1" t="s">
        <v>3222</v>
      </c>
      <c r="D700" s="188">
        <v>3</v>
      </c>
      <c r="E700" s="6">
        <v>1</v>
      </c>
    </row>
    <row r="701" spans="1:21" ht="14.25" customHeight="1">
      <c r="A701" s="119" t="s">
        <v>2798</v>
      </c>
      <c r="B701" s="110">
        <f>20.2/3</f>
        <v>6.7333333333333334</v>
      </c>
      <c r="C701" s="1" t="s">
        <v>3223</v>
      </c>
      <c r="D701" s="188">
        <v>3</v>
      </c>
      <c r="E701" s="6">
        <v>1</v>
      </c>
    </row>
    <row r="702" spans="1:21" ht="14.25" customHeight="1">
      <c r="A702" s="119" t="s">
        <v>2799</v>
      </c>
      <c r="B702" s="110">
        <f>18.8/3</f>
        <v>6.2666666666666666</v>
      </c>
      <c r="C702" s="1" t="s">
        <v>3224</v>
      </c>
      <c r="D702" s="188">
        <v>3</v>
      </c>
      <c r="E702" s="6">
        <v>1</v>
      </c>
    </row>
    <row r="703" spans="1:21" ht="14.25" customHeight="1">
      <c r="A703" s="119" t="s">
        <v>2800</v>
      </c>
      <c r="B703" s="110">
        <f>20/3</f>
        <v>6.666666666666667</v>
      </c>
      <c r="C703" s="1" t="s">
        <v>3225</v>
      </c>
      <c r="D703" s="188">
        <v>3</v>
      </c>
      <c r="E703" s="6">
        <v>1</v>
      </c>
    </row>
    <row r="704" spans="1:21" ht="14.25" customHeight="1">
      <c r="A704" s="119" t="s">
        <v>2783</v>
      </c>
      <c r="B704" s="110">
        <f t="shared" ref="B704:B713" si="16">358/500</f>
        <v>0.71599999999999997</v>
      </c>
      <c r="C704" s="1" t="s">
        <v>3226</v>
      </c>
      <c r="D704" s="188">
        <v>100</v>
      </c>
      <c r="E704" s="6">
        <f t="shared" ref="E704:E713" si="17">6/100</f>
        <v>0.06</v>
      </c>
      <c r="U704" s="4"/>
    </row>
    <row r="705" spans="1:21" ht="14.25" customHeight="1">
      <c r="A705" s="119" t="s">
        <v>2784</v>
      </c>
      <c r="B705" s="110">
        <f t="shared" si="16"/>
        <v>0.71599999999999997</v>
      </c>
      <c r="C705" s="1" t="s">
        <v>3227</v>
      </c>
      <c r="D705" s="188">
        <v>100</v>
      </c>
      <c r="E705" s="6">
        <f t="shared" si="17"/>
        <v>0.06</v>
      </c>
    </row>
    <row r="706" spans="1:21" ht="14.25" customHeight="1">
      <c r="A706" s="119" t="s">
        <v>2785</v>
      </c>
      <c r="B706" s="110">
        <f t="shared" si="16"/>
        <v>0.71599999999999997</v>
      </c>
      <c r="C706" s="1" t="s">
        <v>3228</v>
      </c>
      <c r="D706" s="188">
        <v>100</v>
      </c>
      <c r="E706" s="6">
        <f t="shared" si="17"/>
        <v>0.06</v>
      </c>
    </row>
    <row r="707" spans="1:21" ht="14.25" customHeight="1">
      <c r="A707" s="119" t="s">
        <v>2786</v>
      </c>
      <c r="B707" s="110">
        <f t="shared" si="16"/>
        <v>0.71599999999999997</v>
      </c>
      <c r="C707" s="1" t="s">
        <v>3229</v>
      </c>
      <c r="D707" s="188">
        <v>100</v>
      </c>
      <c r="E707" s="6">
        <f t="shared" si="17"/>
        <v>0.06</v>
      </c>
    </row>
    <row r="708" spans="1:21" ht="14.25" customHeight="1">
      <c r="A708" s="119" t="s">
        <v>2787</v>
      </c>
      <c r="B708" s="110">
        <f t="shared" si="16"/>
        <v>0.71599999999999997</v>
      </c>
      <c r="C708" s="1" t="s">
        <v>3230</v>
      </c>
      <c r="D708" s="188">
        <v>100</v>
      </c>
      <c r="E708" s="6">
        <f t="shared" si="17"/>
        <v>0.06</v>
      </c>
    </row>
    <row r="709" spans="1:21" ht="14.25" customHeight="1">
      <c r="A709" s="119" t="s">
        <v>2788</v>
      </c>
      <c r="B709" s="110">
        <f t="shared" si="16"/>
        <v>0.71599999999999997</v>
      </c>
      <c r="C709" s="1" t="s">
        <v>3231</v>
      </c>
      <c r="D709" s="188">
        <v>100</v>
      </c>
      <c r="E709" s="6">
        <f t="shared" si="17"/>
        <v>0.06</v>
      </c>
    </row>
    <row r="710" spans="1:21" ht="14.25" customHeight="1">
      <c r="A710" s="119" t="s">
        <v>2789</v>
      </c>
      <c r="B710" s="110">
        <f t="shared" si="16"/>
        <v>0.71599999999999997</v>
      </c>
      <c r="C710" s="1" t="s">
        <v>3232</v>
      </c>
      <c r="D710" s="188">
        <v>100</v>
      </c>
      <c r="E710" s="6">
        <f t="shared" si="17"/>
        <v>0.06</v>
      </c>
    </row>
    <row r="711" spans="1:21" s="4" customFormat="1" ht="14.25" customHeight="1">
      <c r="A711" s="119" t="s">
        <v>2790</v>
      </c>
      <c r="B711" s="110">
        <f t="shared" si="16"/>
        <v>0.71599999999999997</v>
      </c>
      <c r="C711" s="1" t="s">
        <v>3233</v>
      </c>
      <c r="D711" s="188">
        <v>100</v>
      </c>
      <c r="E711" s="6">
        <f t="shared" si="17"/>
        <v>0.06</v>
      </c>
      <c r="F711" s="7"/>
      <c r="G711" s="7"/>
      <c r="H711" s="7"/>
      <c r="I711" s="7"/>
      <c r="J711" s="7"/>
      <c r="K711" s="7"/>
      <c r="L711" s="7"/>
      <c r="M711" s="7"/>
      <c r="N711" s="7"/>
      <c r="O711" s="7"/>
      <c r="P711" s="7"/>
      <c r="Q711" s="7"/>
      <c r="R711" s="7"/>
      <c r="S711" s="7"/>
      <c r="T711" s="7"/>
      <c r="U711" s="7"/>
    </row>
    <row r="712" spans="1:21" ht="14.25" customHeight="1">
      <c r="A712" s="119" t="s">
        <v>2791</v>
      </c>
      <c r="B712" s="110">
        <f t="shared" si="16"/>
        <v>0.71599999999999997</v>
      </c>
      <c r="C712" s="1" t="s">
        <v>3234</v>
      </c>
      <c r="D712" s="188">
        <v>100</v>
      </c>
      <c r="E712" s="6">
        <f t="shared" si="17"/>
        <v>0.06</v>
      </c>
    </row>
    <row r="713" spans="1:21" ht="14.25" customHeight="1">
      <c r="A713" s="119" t="s">
        <v>2792</v>
      </c>
      <c r="B713" s="110">
        <f t="shared" si="16"/>
        <v>0.71599999999999997</v>
      </c>
      <c r="C713" s="1" t="s">
        <v>3235</v>
      </c>
      <c r="D713" s="188">
        <v>100</v>
      </c>
      <c r="E713" s="6">
        <f t="shared" si="17"/>
        <v>0.06</v>
      </c>
    </row>
    <row r="714" spans="1:21" ht="14.25" customHeight="1">
      <c r="A714" s="119" t="s">
        <v>2801</v>
      </c>
      <c r="B714" s="110">
        <f t="shared" ref="B714:B722" si="18">497/400</f>
        <v>1.2424999999999999</v>
      </c>
      <c r="C714" s="1" t="s">
        <v>3236</v>
      </c>
      <c r="D714" s="188">
        <v>100</v>
      </c>
      <c r="E714" s="6">
        <f t="shared" ref="E714:E722" si="19">7/100</f>
        <v>7.0000000000000007E-2</v>
      </c>
    </row>
    <row r="715" spans="1:21" ht="14.25" customHeight="1">
      <c r="A715" s="119" t="s">
        <v>2802</v>
      </c>
      <c r="B715" s="110">
        <f t="shared" si="18"/>
        <v>1.2424999999999999</v>
      </c>
      <c r="C715" s="1" t="s">
        <v>3237</v>
      </c>
      <c r="D715" s="188">
        <v>100</v>
      </c>
      <c r="E715" s="6">
        <f t="shared" si="19"/>
        <v>7.0000000000000007E-2</v>
      </c>
    </row>
    <row r="716" spans="1:21" ht="14.25" customHeight="1">
      <c r="A716" s="119" t="s">
        <v>2803</v>
      </c>
      <c r="B716" s="110">
        <f t="shared" si="18"/>
        <v>1.2424999999999999</v>
      </c>
      <c r="C716" s="1" t="s">
        <v>3238</v>
      </c>
      <c r="D716" s="188">
        <v>100</v>
      </c>
      <c r="E716" s="6">
        <f t="shared" si="19"/>
        <v>7.0000000000000007E-2</v>
      </c>
    </row>
    <row r="717" spans="1:21" ht="14.25" customHeight="1">
      <c r="A717" s="119" t="s">
        <v>2804</v>
      </c>
      <c r="B717" s="110">
        <f t="shared" si="18"/>
        <v>1.2424999999999999</v>
      </c>
      <c r="C717" s="1" t="s">
        <v>3239</v>
      </c>
      <c r="D717" s="188">
        <v>100</v>
      </c>
      <c r="E717" s="6">
        <f t="shared" si="19"/>
        <v>7.0000000000000007E-2</v>
      </c>
    </row>
    <row r="718" spans="1:21" ht="14.25" customHeight="1">
      <c r="A718" s="119" t="s">
        <v>2805</v>
      </c>
      <c r="B718" s="110">
        <f t="shared" si="18"/>
        <v>1.2424999999999999</v>
      </c>
      <c r="C718" s="1" t="s">
        <v>3240</v>
      </c>
      <c r="D718" s="188">
        <v>100</v>
      </c>
      <c r="E718" s="6">
        <f t="shared" si="19"/>
        <v>7.0000000000000007E-2</v>
      </c>
    </row>
    <row r="719" spans="1:21" ht="14.25" customHeight="1">
      <c r="A719" s="119" t="s">
        <v>2806</v>
      </c>
      <c r="B719" s="110">
        <f t="shared" si="18"/>
        <v>1.2424999999999999</v>
      </c>
      <c r="C719" s="1" t="s">
        <v>3241</v>
      </c>
      <c r="D719" s="188">
        <v>100</v>
      </c>
      <c r="E719" s="6">
        <f t="shared" si="19"/>
        <v>7.0000000000000007E-2</v>
      </c>
    </row>
    <row r="720" spans="1:21" ht="14.25" customHeight="1">
      <c r="A720" s="119" t="s">
        <v>2807</v>
      </c>
      <c r="B720" s="110">
        <f t="shared" si="18"/>
        <v>1.2424999999999999</v>
      </c>
      <c r="C720" s="1" t="s">
        <v>3242</v>
      </c>
      <c r="D720" s="188">
        <v>100</v>
      </c>
      <c r="E720" s="6">
        <f t="shared" si="19"/>
        <v>7.0000000000000007E-2</v>
      </c>
    </row>
    <row r="721" spans="1:21" ht="14.25" customHeight="1">
      <c r="A721" s="119" t="s">
        <v>2808</v>
      </c>
      <c r="B721" s="110">
        <f t="shared" si="18"/>
        <v>1.2424999999999999</v>
      </c>
      <c r="C721" s="1" t="s">
        <v>3243</v>
      </c>
      <c r="D721" s="188">
        <v>100</v>
      </c>
      <c r="E721" s="6">
        <f t="shared" si="19"/>
        <v>7.0000000000000007E-2</v>
      </c>
    </row>
    <row r="722" spans="1:21" ht="14.25" customHeight="1">
      <c r="A722" s="119" t="s">
        <v>2809</v>
      </c>
      <c r="B722" s="110">
        <f t="shared" si="18"/>
        <v>1.2424999999999999</v>
      </c>
      <c r="C722" s="1" t="s">
        <v>3244</v>
      </c>
      <c r="D722" s="188">
        <v>100</v>
      </c>
      <c r="E722" s="6">
        <f t="shared" si="19"/>
        <v>7.0000000000000007E-2</v>
      </c>
    </row>
    <row r="723" spans="1:21" ht="14.25" customHeight="1">
      <c r="A723" s="119" t="s">
        <v>3162</v>
      </c>
      <c r="B723" s="9">
        <f>36.1/5</f>
        <v>7.2200000000000006</v>
      </c>
      <c r="C723" s="1" t="s">
        <v>3245</v>
      </c>
      <c r="D723" s="188">
        <v>5</v>
      </c>
      <c r="E723" s="6">
        <v>1.7</v>
      </c>
      <c r="U723" s="4"/>
    </row>
    <row r="724" spans="1:21" ht="14.25" customHeight="1">
      <c r="A724" s="119" t="s">
        <v>2768</v>
      </c>
      <c r="B724" s="9">
        <f>39.8/5</f>
        <v>7.9599999999999991</v>
      </c>
      <c r="C724" s="1" t="s">
        <v>3246</v>
      </c>
      <c r="D724" s="188">
        <v>5</v>
      </c>
      <c r="E724" s="6">
        <v>1.7</v>
      </c>
    </row>
    <row r="725" spans="1:21" ht="14.25" customHeight="1">
      <c r="A725" s="119" t="s">
        <v>2769</v>
      </c>
      <c r="B725" s="9">
        <f>35.3/5</f>
        <v>7.06</v>
      </c>
      <c r="C725" s="1" t="s">
        <v>3247</v>
      </c>
      <c r="D725" s="188">
        <v>5</v>
      </c>
      <c r="E725" s="6">
        <v>1.7</v>
      </c>
      <c r="U725" s="4"/>
    </row>
    <row r="726" spans="1:21" ht="14.25" customHeight="1">
      <c r="A726" s="113" t="s">
        <v>3310</v>
      </c>
      <c r="B726" s="9">
        <f>39.5/5</f>
        <v>7.9</v>
      </c>
      <c r="C726" s="51" t="s">
        <v>3248</v>
      </c>
      <c r="D726" s="192">
        <f>10+5</f>
        <v>15</v>
      </c>
      <c r="E726" s="6">
        <v>1.7</v>
      </c>
    </row>
    <row r="727" spans="1:21" ht="14.25" customHeight="1">
      <c r="A727" s="119" t="s">
        <v>2770</v>
      </c>
      <c r="B727" s="9">
        <f>48.6/5</f>
        <v>9.7200000000000006</v>
      </c>
      <c r="C727" s="1" t="s">
        <v>3249</v>
      </c>
      <c r="D727" s="188">
        <v>5</v>
      </c>
      <c r="E727" s="6">
        <v>1.7</v>
      </c>
    </row>
    <row r="728" spans="1:21" ht="14.25" customHeight="1">
      <c r="A728" s="119" t="s">
        <v>2771</v>
      </c>
      <c r="B728" s="9">
        <f>53.5/5</f>
        <v>10.7</v>
      </c>
      <c r="C728" s="1" t="s">
        <v>3250</v>
      </c>
      <c r="D728" s="188">
        <v>5</v>
      </c>
      <c r="E728" s="6">
        <v>1.7</v>
      </c>
    </row>
    <row r="729" spans="1:21" s="4" customFormat="1" ht="14.25" customHeight="1">
      <c r="A729" s="119" t="s">
        <v>2781</v>
      </c>
      <c r="B729" s="9">
        <f>11.3/10</f>
        <v>1.1300000000000001</v>
      </c>
      <c r="C729" s="1" t="s">
        <v>3251</v>
      </c>
      <c r="D729" s="188">
        <v>10</v>
      </c>
      <c r="E729" s="6">
        <v>0.9</v>
      </c>
      <c r="F729" s="7"/>
      <c r="G729" s="7"/>
      <c r="H729" s="7"/>
      <c r="I729" s="7"/>
      <c r="J729" s="7"/>
      <c r="K729" s="7"/>
      <c r="L729" s="7"/>
      <c r="M729" s="7"/>
      <c r="N729" s="7"/>
      <c r="O729" s="7"/>
      <c r="P729" s="7"/>
      <c r="Q729" s="7"/>
      <c r="R729" s="7"/>
      <c r="S729" s="7"/>
      <c r="T729" s="7"/>
      <c r="U729" s="7"/>
    </row>
    <row r="730" spans="1:21" s="4" customFormat="1" ht="14.25" customHeight="1">
      <c r="A730" s="119" t="s">
        <v>2782</v>
      </c>
      <c r="B730" s="9">
        <f>90.2/5</f>
        <v>18.04</v>
      </c>
      <c r="C730" s="138" t="s">
        <v>3325</v>
      </c>
      <c r="D730" s="188">
        <f>10+5</f>
        <v>15</v>
      </c>
      <c r="E730" s="6">
        <v>1.5</v>
      </c>
      <c r="F730" s="7"/>
      <c r="G730" s="7"/>
      <c r="H730" s="7"/>
      <c r="I730" s="7"/>
      <c r="J730" s="7"/>
      <c r="K730" s="7"/>
      <c r="L730" s="7"/>
      <c r="M730" s="7"/>
      <c r="N730" s="7"/>
      <c r="O730" s="7"/>
      <c r="P730" s="7"/>
      <c r="Q730" s="7"/>
      <c r="R730" s="7"/>
      <c r="S730" s="7"/>
      <c r="T730" s="7"/>
      <c r="U730" s="7"/>
    </row>
    <row r="731" spans="1:21" ht="14.25" customHeight="1">
      <c r="A731" s="119" t="s">
        <v>2793</v>
      </c>
      <c r="B731" s="110">
        <f>26.9/50</f>
        <v>0.53799999999999992</v>
      </c>
      <c r="C731" s="1" t="s">
        <v>2322</v>
      </c>
      <c r="D731" s="188">
        <v>50</v>
      </c>
      <c r="E731" s="6">
        <v>0.05</v>
      </c>
    </row>
    <row r="732" spans="1:21" ht="14.25" customHeight="1">
      <c r="A732" s="128" t="s">
        <v>3160</v>
      </c>
      <c r="B732" s="9">
        <f>24.7/5</f>
        <v>4.9399999999999995</v>
      </c>
      <c r="C732" s="7" t="s">
        <v>3252</v>
      </c>
      <c r="D732" s="187">
        <v>10</v>
      </c>
      <c r="E732" s="7">
        <f>5.92/10</f>
        <v>0.59199999999999997</v>
      </c>
    </row>
    <row r="733" spans="1:21" ht="14.25" customHeight="1">
      <c r="A733" s="128" t="s">
        <v>3161</v>
      </c>
      <c r="B733" s="9">
        <f>45.7/5</f>
        <v>9.14</v>
      </c>
      <c r="C733" s="7" t="s">
        <v>3253</v>
      </c>
      <c r="D733" s="187">
        <v>10</v>
      </c>
      <c r="E733" s="7">
        <f>6.91/10</f>
        <v>0.69100000000000006</v>
      </c>
    </row>
    <row r="734" spans="1:21" ht="14.25" customHeight="1">
      <c r="A734" s="171" t="s">
        <v>3527</v>
      </c>
      <c r="B734" s="169">
        <f>92.5/3</f>
        <v>30.833333333333332</v>
      </c>
      <c r="C734" s="170" t="s">
        <v>3891</v>
      </c>
      <c r="D734" s="187">
        <v>3</v>
      </c>
      <c r="E734" s="7">
        <v>0.5</v>
      </c>
      <c r="F734"/>
      <c r="G734"/>
      <c r="H734"/>
      <c r="I734"/>
      <c r="J734"/>
      <c r="K734"/>
      <c r="L734"/>
      <c r="M734"/>
      <c r="N734"/>
      <c r="O734"/>
      <c r="P734"/>
      <c r="Q734"/>
      <c r="R734"/>
      <c r="S734"/>
    </row>
    <row r="735" spans="1:21" ht="14.25" customHeight="1">
      <c r="A735" s="171" t="s">
        <v>3528</v>
      </c>
      <c r="B735" s="169">
        <v>81.3</v>
      </c>
      <c r="C735" s="173" t="s">
        <v>3889</v>
      </c>
      <c r="D735" s="187">
        <v>3</v>
      </c>
      <c r="E735" s="7">
        <v>2</v>
      </c>
      <c r="F735"/>
      <c r="G735"/>
      <c r="H735"/>
      <c r="I735"/>
      <c r="J735"/>
      <c r="K735"/>
      <c r="L735"/>
      <c r="M735"/>
      <c r="N735"/>
      <c r="O735"/>
      <c r="P735"/>
      <c r="Q735"/>
      <c r="R735"/>
      <c r="S735"/>
    </row>
    <row r="736" spans="1:21" ht="14.25" customHeight="1">
      <c r="A736" s="171" t="s">
        <v>3529</v>
      </c>
      <c r="B736" s="169">
        <v>84.5</v>
      </c>
      <c r="C736" s="173" t="s">
        <v>3890</v>
      </c>
      <c r="D736" s="187">
        <v>3</v>
      </c>
      <c r="E736" s="7">
        <v>2</v>
      </c>
      <c r="F736"/>
      <c r="G736"/>
      <c r="H736"/>
      <c r="I736"/>
      <c r="J736"/>
      <c r="K736"/>
      <c r="L736"/>
      <c r="M736"/>
      <c r="N736"/>
      <c r="O736"/>
      <c r="P736"/>
      <c r="Q736"/>
      <c r="R736"/>
      <c r="S736"/>
    </row>
    <row r="737" spans="1:19" ht="14.25" customHeight="1">
      <c r="A737" s="175" t="s">
        <v>3909</v>
      </c>
      <c r="B737" s="169">
        <v>13</v>
      </c>
      <c r="C737" s="170" t="s">
        <v>3916</v>
      </c>
      <c r="D737" s="187">
        <v>3</v>
      </c>
      <c r="E737" s="7">
        <v>0.18</v>
      </c>
      <c r="F737"/>
      <c r="G737"/>
      <c r="H737"/>
      <c r="I737"/>
      <c r="J737"/>
      <c r="K737"/>
      <c r="L737"/>
      <c r="M737"/>
      <c r="N737"/>
      <c r="O737"/>
      <c r="P737"/>
      <c r="Q737"/>
      <c r="R737"/>
      <c r="S737"/>
    </row>
    <row r="738" spans="1:19" ht="14.25" customHeight="1">
      <c r="A738" s="175" t="s">
        <v>3910</v>
      </c>
      <c r="B738" s="169">
        <v>22.2</v>
      </c>
      <c r="C738" s="170" t="s">
        <v>3915</v>
      </c>
      <c r="D738" s="187">
        <v>3</v>
      </c>
      <c r="E738" s="7">
        <v>0.3</v>
      </c>
      <c r="F738"/>
      <c r="G738"/>
      <c r="H738"/>
      <c r="I738"/>
      <c r="J738"/>
      <c r="K738"/>
      <c r="L738"/>
      <c r="M738"/>
      <c r="N738"/>
      <c r="O738"/>
      <c r="P738"/>
      <c r="Q738"/>
      <c r="R738"/>
      <c r="S738"/>
    </row>
    <row r="739" spans="1:19" ht="14.25" customHeight="1">
      <c r="A739" s="175" t="s">
        <v>3530</v>
      </c>
      <c r="B739" s="169">
        <v>32.700000000000003</v>
      </c>
      <c r="C739" s="173" t="s">
        <v>3892</v>
      </c>
      <c r="D739" s="187">
        <v>3</v>
      </c>
      <c r="E739" s="7">
        <v>0.8</v>
      </c>
      <c r="F739"/>
      <c r="G739"/>
      <c r="H739"/>
      <c r="I739"/>
      <c r="J739"/>
      <c r="K739"/>
      <c r="L739"/>
      <c r="M739"/>
      <c r="N739"/>
      <c r="O739"/>
      <c r="P739"/>
      <c r="Q739"/>
      <c r="R739"/>
      <c r="S739"/>
    </row>
    <row r="740" spans="1:19" ht="14.25" customHeight="1">
      <c r="A740" s="175" t="s">
        <v>3531</v>
      </c>
      <c r="B740" s="169">
        <v>32</v>
      </c>
      <c r="C740" s="173" t="s">
        <v>3893</v>
      </c>
      <c r="D740" s="187">
        <v>3</v>
      </c>
      <c r="E740" s="7">
        <v>0.8</v>
      </c>
      <c r="F740"/>
      <c r="G740"/>
      <c r="H740"/>
      <c r="I740"/>
      <c r="J740"/>
      <c r="K740"/>
      <c r="L740"/>
      <c r="M740"/>
      <c r="N740"/>
      <c r="O740"/>
      <c r="P740"/>
      <c r="Q740"/>
      <c r="R740"/>
      <c r="S740"/>
    </row>
    <row r="741" spans="1:19" ht="14.25" customHeight="1">
      <c r="A741" s="176" t="s">
        <v>3479</v>
      </c>
      <c r="B741" s="169">
        <f>29.4/5</f>
        <v>5.88</v>
      </c>
      <c r="C741" s="170" t="s">
        <v>3407</v>
      </c>
      <c r="D741" s="187">
        <v>5</v>
      </c>
      <c r="E741" s="7">
        <v>0.5</v>
      </c>
      <c r="F741"/>
      <c r="G741"/>
      <c r="H741"/>
      <c r="I741"/>
      <c r="J741"/>
      <c r="K741"/>
      <c r="L741"/>
      <c r="M741"/>
      <c r="N741"/>
      <c r="O741"/>
      <c r="P741"/>
      <c r="Q741"/>
      <c r="R741"/>
      <c r="S741"/>
    </row>
    <row r="742" spans="1:19" ht="14.25" customHeight="1">
      <c r="A742" s="176" t="s">
        <v>3480</v>
      </c>
      <c r="B742" s="169">
        <f>59/5</f>
        <v>11.8</v>
      </c>
      <c r="C742" s="170" t="s">
        <v>3466</v>
      </c>
      <c r="D742" s="187">
        <v>5</v>
      </c>
      <c r="E742" s="7">
        <v>0.75</v>
      </c>
      <c r="F742"/>
      <c r="G742"/>
      <c r="H742"/>
      <c r="I742"/>
      <c r="J742"/>
      <c r="K742"/>
      <c r="L742"/>
      <c r="M742"/>
      <c r="N742"/>
      <c r="O742"/>
      <c r="P742"/>
      <c r="Q742"/>
      <c r="R742"/>
      <c r="S742"/>
    </row>
    <row r="743" spans="1:19" ht="14.25" customHeight="1">
      <c r="A743" s="176" t="s">
        <v>3481</v>
      </c>
      <c r="B743" s="169">
        <f>42.2/5</f>
        <v>8.4400000000000013</v>
      </c>
      <c r="C743" s="170" t="s">
        <v>3442</v>
      </c>
      <c r="D743" s="187">
        <v>5</v>
      </c>
      <c r="E743" s="7">
        <v>0.68</v>
      </c>
      <c r="F743"/>
      <c r="G743"/>
      <c r="H743"/>
      <c r="I743"/>
      <c r="J743"/>
      <c r="K743"/>
      <c r="L743"/>
      <c r="M743"/>
      <c r="N743"/>
      <c r="O743"/>
      <c r="P743"/>
      <c r="Q743"/>
      <c r="R743"/>
      <c r="S743"/>
    </row>
    <row r="744" spans="1:19" ht="14.25" customHeight="1">
      <c r="A744" s="176" t="s">
        <v>3482</v>
      </c>
      <c r="B744" s="169">
        <f>51.8/5</f>
        <v>10.36</v>
      </c>
      <c r="C744" s="170" t="s">
        <v>3465</v>
      </c>
      <c r="D744" s="187">
        <v>5</v>
      </c>
      <c r="E744" s="7">
        <v>0.8</v>
      </c>
      <c r="F744"/>
      <c r="G744"/>
      <c r="H744"/>
      <c r="I744"/>
      <c r="J744"/>
      <c r="K744"/>
      <c r="L744"/>
      <c r="M744"/>
      <c r="N744"/>
      <c r="O744"/>
      <c r="P744"/>
      <c r="Q744"/>
      <c r="R744"/>
      <c r="S744"/>
    </row>
    <row r="745" spans="1:19" ht="14.25" customHeight="1">
      <c r="A745" s="176" t="s">
        <v>3483</v>
      </c>
      <c r="B745" s="169">
        <f>60.9/5</f>
        <v>12.18</v>
      </c>
      <c r="C745" s="139" t="s">
        <v>3431</v>
      </c>
      <c r="D745" s="187">
        <v>5</v>
      </c>
      <c r="E745" s="7">
        <v>1.4</v>
      </c>
      <c r="F745"/>
      <c r="G745"/>
      <c r="H745"/>
      <c r="I745"/>
      <c r="J745"/>
      <c r="K745"/>
      <c r="L745"/>
      <c r="M745"/>
      <c r="N745"/>
      <c r="O745"/>
      <c r="P745"/>
      <c r="Q745"/>
      <c r="R745"/>
      <c r="S745"/>
    </row>
    <row r="746" spans="1:19" ht="14.25" customHeight="1">
      <c r="A746" s="176" t="s">
        <v>3484</v>
      </c>
      <c r="B746" s="169">
        <f>55/5</f>
        <v>11</v>
      </c>
      <c r="C746" s="139" t="s">
        <v>3433</v>
      </c>
      <c r="D746" s="187">
        <v>5</v>
      </c>
      <c r="E746" s="7">
        <v>0.55000000000000004</v>
      </c>
      <c r="F746"/>
      <c r="G746"/>
      <c r="H746"/>
      <c r="I746"/>
      <c r="J746"/>
      <c r="K746"/>
      <c r="L746"/>
      <c r="M746"/>
      <c r="N746"/>
      <c r="O746"/>
      <c r="P746"/>
      <c r="Q746"/>
      <c r="R746"/>
      <c r="S746"/>
    </row>
    <row r="747" spans="1:19" ht="14.25" customHeight="1">
      <c r="A747" s="176" t="s">
        <v>3485</v>
      </c>
      <c r="B747" s="169">
        <f>21.3/5</f>
        <v>4.26</v>
      </c>
      <c r="C747" s="170" t="s">
        <v>3439</v>
      </c>
      <c r="D747" s="187">
        <v>5</v>
      </c>
      <c r="E747" s="7">
        <v>0.3</v>
      </c>
      <c r="F747"/>
      <c r="G747"/>
      <c r="H747"/>
      <c r="I747"/>
      <c r="J747"/>
      <c r="K747"/>
      <c r="L747"/>
      <c r="M747"/>
      <c r="N747"/>
      <c r="O747"/>
      <c r="P747"/>
      <c r="Q747"/>
      <c r="R747"/>
      <c r="S747"/>
    </row>
    <row r="748" spans="1:19" ht="14.25" customHeight="1">
      <c r="A748" s="176" t="s">
        <v>3486</v>
      </c>
      <c r="B748" s="169">
        <f>49.3/5</f>
        <v>9.86</v>
      </c>
      <c r="C748" s="139" t="s">
        <v>3432</v>
      </c>
      <c r="D748" s="187">
        <v>5</v>
      </c>
      <c r="E748" s="7">
        <v>1.5</v>
      </c>
      <c r="F748"/>
      <c r="G748"/>
      <c r="H748"/>
      <c r="I748"/>
      <c r="J748"/>
      <c r="K748"/>
      <c r="L748"/>
      <c r="M748"/>
      <c r="N748"/>
      <c r="O748"/>
      <c r="P748"/>
      <c r="Q748"/>
      <c r="R748"/>
      <c r="S748"/>
    </row>
    <row r="749" spans="1:19" ht="14.25" customHeight="1">
      <c r="A749" s="176" t="s">
        <v>3487</v>
      </c>
      <c r="B749" s="169">
        <f>41.2/5</f>
        <v>8.24</v>
      </c>
      <c r="C749" s="139" t="s">
        <v>3434</v>
      </c>
      <c r="D749" s="187">
        <v>5</v>
      </c>
      <c r="E749" s="7">
        <v>0.6</v>
      </c>
      <c r="F749"/>
      <c r="G749"/>
      <c r="H749"/>
      <c r="I749"/>
      <c r="J749"/>
      <c r="K749"/>
      <c r="L749"/>
      <c r="M749"/>
      <c r="N749"/>
      <c r="O749"/>
      <c r="P749"/>
      <c r="Q749"/>
      <c r="R749"/>
      <c r="S749"/>
    </row>
    <row r="750" spans="1:19" ht="14.25" customHeight="1">
      <c r="A750" s="128" t="s">
        <v>3286</v>
      </c>
      <c r="B750" s="9">
        <f>27.8/5</f>
        <v>5.5600000000000005</v>
      </c>
      <c r="C750" s="141" t="s">
        <v>3420</v>
      </c>
      <c r="D750" s="187">
        <v>20</v>
      </c>
      <c r="E750" s="7">
        <v>0.24</v>
      </c>
    </row>
    <row r="751" spans="1:19" ht="14.25" customHeight="1">
      <c r="A751" s="128" t="s">
        <v>3287</v>
      </c>
      <c r="B751" s="9">
        <f>35.7/5</f>
        <v>7.1400000000000006</v>
      </c>
      <c r="C751" s="141" t="s">
        <v>3421</v>
      </c>
      <c r="D751" s="187">
        <v>20</v>
      </c>
      <c r="E751" s="7">
        <v>0.28000000000000003</v>
      </c>
    </row>
    <row r="752" spans="1:19" ht="14.25" customHeight="1">
      <c r="A752" s="128" t="s">
        <v>3288</v>
      </c>
      <c r="B752" s="9">
        <f>37.6/5</f>
        <v>7.5200000000000005</v>
      </c>
      <c r="C752" s="141" t="s">
        <v>3422</v>
      </c>
      <c r="D752" s="187">
        <v>20</v>
      </c>
      <c r="E752" s="7">
        <v>1</v>
      </c>
    </row>
    <row r="753" spans="1:19" ht="14.25" customHeight="1">
      <c r="A753" s="128" t="s">
        <v>3289</v>
      </c>
      <c r="B753" s="9">
        <f>40.4/5</f>
        <v>8.08</v>
      </c>
      <c r="C753" s="141" t="s">
        <v>3423</v>
      </c>
      <c r="D753" s="187">
        <v>20</v>
      </c>
      <c r="E753" s="7">
        <v>1.1000000000000001</v>
      </c>
    </row>
    <row r="754" spans="1:19" ht="14.25" customHeight="1">
      <c r="A754" s="128" t="s">
        <v>3290</v>
      </c>
      <c r="B754" s="9">
        <f>30/5</f>
        <v>6</v>
      </c>
      <c r="C754" s="141" t="s">
        <v>3418</v>
      </c>
      <c r="D754" s="187">
        <f>10+5</f>
        <v>15</v>
      </c>
      <c r="E754" s="7">
        <v>0.3</v>
      </c>
    </row>
    <row r="755" spans="1:19" ht="14.25" customHeight="1">
      <c r="A755" s="128" t="s">
        <v>3291</v>
      </c>
      <c r="B755" s="9">
        <f>39.5/5</f>
        <v>7.9</v>
      </c>
      <c r="C755" s="141" t="s">
        <v>3419</v>
      </c>
      <c r="D755" s="187">
        <f>10+5</f>
        <v>15</v>
      </c>
      <c r="E755" s="7">
        <v>0.24</v>
      </c>
    </row>
    <row r="756" spans="1:19" ht="14.25" customHeight="1">
      <c r="A756" s="128" t="s">
        <v>3292</v>
      </c>
      <c r="B756" s="9">
        <f>217/10</f>
        <v>21.7</v>
      </c>
      <c r="C756" s="141" t="s">
        <v>3416</v>
      </c>
      <c r="D756" s="187">
        <v>10</v>
      </c>
      <c r="E756" s="7">
        <v>2</v>
      </c>
    </row>
    <row r="757" spans="1:19" ht="14.25" customHeight="1">
      <c r="A757" s="175" t="s">
        <v>3896</v>
      </c>
      <c r="B757" s="196">
        <f>74.5/3</f>
        <v>24.833333333333332</v>
      </c>
      <c r="C757" s="170" t="s">
        <v>3473</v>
      </c>
      <c r="D757" s="187">
        <v>3</v>
      </c>
      <c r="E757" s="7">
        <v>0.99</v>
      </c>
      <c r="F757"/>
      <c r="G757"/>
      <c r="H757"/>
      <c r="I757"/>
      <c r="J757"/>
      <c r="K757"/>
      <c r="L757"/>
      <c r="M757"/>
      <c r="N757"/>
      <c r="O757"/>
      <c r="P757"/>
      <c r="Q757"/>
      <c r="R757"/>
      <c r="S757"/>
    </row>
    <row r="758" spans="1:19" ht="14.25" customHeight="1">
      <c r="A758" s="175" t="s">
        <v>3897</v>
      </c>
      <c r="B758" s="196">
        <f>68.3/3</f>
        <v>22.766666666666666</v>
      </c>
      <c r="C758" s="170" t="s">
        <v>3474</v>
      </c>
      <c r="D758" s="187">
        <v>3</v>
      </c>
      <c r="E758" s="7">
        <v>0.72</v>
      </c>
      <c r="F758"/>
      <c r="G758"/>
      <c r="H758"/>
      <c r="I758"/>
      <c r="J758"/>
      <c r="K758"/>
      <c r="L758"/>
      <c r="M758"/>
      <c r="N758"/>
      <c r="O758"/>
      <c r="P758"/>
      <c r="Q758"/>
      <c r="R758"/>
      <c r="S758"/>
    </row>
    <row r="759" spans="1:19" ht="14.25" customHeight="1">
      <c r="A759" s="175" t="s">
        <v>3898</v>
      </c>
      <c r="B759" s="169">
        <f>45.9/3</f>
        <v>15.299999999999999</v>
      </c>
      <c r="C759" s="170" t="s">
        <v>3475</v>
      </c>
      <c r="D759" s="187">
        <v>3</v>
      </c>
      <c r="E759" s="7">
        <v>1.43</v>
      </c>
      <c r="F759"/>
      <c r="G759"/>
      <c r="H759"/>
      <c r="I759"/>
      <c r="J759"/>
      <c r="K759"/>
      <c r="L759"/>
      <c r="M759"/>
      <c r="N759"/>
      <c r="O759"/>
      <c r="P759"/>
      <c r="Q759"/>
      <c r="R759"/>
      <c r="S759"/>
    </row>
    <row r="760" spans="1:19" ht="14.25" customHeight="1">
      <c r="A760" s="175" t="s">
        <v>3899</v>
      </c>
      <c r="B760" s="196">
        <f>46.4/3</f>
        <v>15.466666666666667</v>
      </c>
      <c r="C760" s="170" t="s">
        <v>3476</v>
      </c>
      <c r="D760" s="187">
        <v>3</v>
      </c>
      <c r="E760" s="7">
        <v>1.54</v>
      </c>
      <c r="F760"/>
      <c r="G760"/>
      <c r="H760"/>
      <c r="I760"/>
      <c r="J760"/>
      <c r="K760"/>
      <c r="L760"/>
      <c r="M760"/>
      <c r="N760"/>
      <c r="O760"/>
      <c r="P760"/>
      <c r="Q760"/>
      <c r="R760"/>
      <c r="S760"/>
    </row>
    <row r="761" spans="1:19" ht="14.25" customHeight="1">
      <c r="A761" s="175" t="s">
        <v>3900</v>
      </c>
      <c r="B761" s="169">
        <v>2.9</v>
      </c>
      <c r="C761" s="170" t="s">
        <v>3923</v>
      </c>
      <c r="E761" s="7">
        <v>0.15</v>
      </c>
      <c r="F761"/>
      <c r="G761"/>
      <c r="H761"/>
      <c r="I761"/>
      <c r="J761"/>
      <c r="K761"/>
      <c r="L761"/>
      <c r="M761"/>
      <c r="N761"/>
      <c r="O761"/>
      <c r="P761"/>
      <c r="Q761"/>
      <c r="R761"/>
      <c r="S761"/>
    </row>
    <row r="762" spans="1:19" ht="14.25" customHeight="1">
      <c r="A762" s="175" t="s">
        <v>3901</v>
      </c>
      <c r="B762" s="169">
        <v>5.4</v>
      </c>
      <c r="C762" s="170" t="s">
        <v>3922</v>
      </c>
      <c r="E762" s="7">
        <v>0.22</v>
      </c>
      <c r="F762"/>
      <c r="G762"/>
      <c r="H762"/>
      <c r="I762"/>
      <c r="J762"/>
      <c r="K762"/>
      <c r="L762"/>
      <c r="M762"/>
      <c r="N762"/>
      <c r="O762"/>
      <c r="P762"/>
      <c r="Q762"/>
      <c r="R762"/>
      <c r="S762"/>
    </row>
    <row r="763" spans="1:19" ht="14.25" customHeight="1">
      <c r="A763" s="175" t="s">
        <v>3488</v>
      </c>
      <c r="B763" s="169">
        <v>4.7</v>
      </c>
      <c r="C763" s="170" t="s">
        <v>3921</v>
      </c>
      <c r="E763" s="7">
        <v>0.2</v>
      </c>
      <c r="F763"/>
      <c r="G763"/>
      <c r="H763"/>
      <c r="I763"/>
      <c r="J763"/>
      <c r="K763"/>
      <c r="L763"/>
      <c r="M763"/>
      <c r="N763"/>
      <c r="O763"/>
      <c r="P763"/>
      <c r="Q763"/>
      <c r="R763"/>
      <c r="S763"/>
    </row>
    <row r="764" spans="1:19" ht="14.25" customHeight="1">
      <c r="A764" s="175" t="s">
        <v>3902</v>
      </c>
      <c r="B764" s="169">
        <v>6.8</v>
      </c>
      <c r="C764" s="170" t="s">
        <v>3920</v>
      </c>
      <c r="E764" s="7">
        <v>0.18</v>
      </c>
      <c r="F764"/>
      <c r="G764"/>
      <c r="H764"/>
      <c r="I764"/>
      <c r="J764"/>
      <c r="K764"/>
      <c r="L764"/>
      <c r="M764"/>
      <c r="N764"/>
      <c r="O764"/>
      <c r="P764"/>
      <c r="Q764"/>
      <c r="R764"/>
      <c r="S764"/>
    </row>
    <row r="765" spans="1:19" ht="14.25" customHeight="1">
      <c r="A765" s="175" t="s">
        <v>3912</v>
      </c>
      <c r="B765" s="169">
        <v>16.5</v>
      </c>
      <c r="C765" s="173" t="s">
        <v>3894</v>
      </c>
      <c r="D765" s="187">
        <v>3</v>
      </c>
      <c r="E765" s="7">
        <v>0.85</v>
      </c>
      <c r="F765"/>
      <c r="G765"/>
      <c r="H765"/>
      <c r="I765"/>
      <c r="J765"/>
      <c r="K765"/>
      <c r="L765"/>
      <c r="M765"/>
      <c r="N765"/>
      <c r="O765"/>
      <c r="P765"/>
      <c r="Q765"/>
      <c r="R765"/>
      <c r="S765"/>
    </row>
    <row r="766" spans="1:19" ht="14.25" customHeight="1">
      <c r="A766" s="175" t="s">
        <v>3913</v>
      </c>
      <c r="B766" s="169">
        <v>18.2</v>
      </c>
      <c r="C766" s="173" t="s">
        <v>3895</v>
      </c>
      <c r="D766" s="187">
        <v>3</v>
      </c>
      <c r="E766" s="7">
        <v>0.85</v>
      </c>
      <c r="F766"/>
      <c r="G766"/>
      <c r="H766"/>
      <c r="I766"/>
      <c r="J766"/>
      <c r="K766"/>
      <c r="L766"/>
      <c r="M766"/>
      <c r="N766"/>
      <c r="O766"/>
      <c r="P766"/>
      <c r="Q766"/>
      <c r="R766"/>
      <c r="S766"/>
    </row>
    <row r="767" spans="1:19" ht="14.25" customHeight="1">
      <c r="A767" s="175" t="s">
        <v>3914</v>
      </c>
      <c r="B767" s="169">
        <v>26.9</v>
      </c>
      <c r="C767" s="170" t="s">
        <v>3532</v>
      </c>
      <c r="D767" s="187">
        <v>4</v>
      </c>
      <c r="E767" s="7">
        <v>0.3</v>
      </c>
      <c r="F767"/>
      <c r="G767"/>
      <c r="H767"/>
      <c r="I767"/>
      <c r="J767"/>
      <c r="K767"/>
      <c r="L767"/>
      <c r="M767"/>
      <c r="N767"/>
      <c r="O767"/>
      <c r="P767"/>
      <c r="Q767"/>
      <c r="R767"/>
      <c r="S767"/>
    </row>
    <row r="768" spans="1:19" ht="14.25" customHeight="1">
      <c r="A768" s="175" t="s">
        <v>3903</v>
      </c>
      <c r="B768" s="169">
        <v>30.2</v>
      </c>
      <c r="C768" s="170" t="s">
        <v>3533</v>
      </c>
      <c r="D768" s="187">
        <v>4</v>
      </c>
      <c r="E768" s="7">
        <v>0.44</v>
      </c>
      <c r="F768"/>
      <c r="G768"/>
      <c r="H768"/>
      <c r="I768"/>
      <c r="J768"/>
      <c r="K768"/>
      <c r="L768"/>
      <c r="M768"/>
      <c r="N768"/>
      <c r="O768"/>
      <c r="P768"/>
      <c r="Q768"/>
      <c r="R768"/>
      <c r="S768"/>
    </row>
    <row r="769" spans="1:19" ht="14.25" customHeight="1">
      <c r="A769" s="175" t="s">
        <v>3904</v>
      </c>
      <c r="B769" s="169">
        <v>7.4</v>
      </c>
      <c r="C769" s="170" t="s">
        <v>3917</v>
      </c>
      <c r="D769" s="187">
        <v>5</v>
      </c>
      <c r="E769" s="7">
        <v>0.13</v>
      </c>
      <c r="F769"/>
      <c r="G769"/>
      <c r="H769"/>
      <c r="I769"/>
      <c r="J769"/>
      <c r="K769"/>
      <c r="L769"/>
      <c r="M769"/>
      <c r="N769"/>
      <c r="O769"/>
      <c r="P769"/>
      <c r="Q769"/>
      <c r="R769"/>
      <c r="S769"/>
    </row>
    <row r="770" spans="1:19" ht="14.25" customHeight="1">
      <c r="A770" s="175" t="s">
        <v>3905</v>
      </c>
      <c r="B770" s="169">
        <v>3</v>
      </c>
      <c r="C770" s="170" t="s">
        <v>3919</v>
      </c>
      <c r="D770" s="187">
        <v>5</v>
      </c>
      <c r="E770" s="7">
        <v>0.1</v>
      </c>
      <c r="F770"/>
      <c r="G770"/>
      <c r="H770"/>
      <c r="I770"/>
      <c r="J770"/>
      <c r="K770"/>
      <c r="L770"/>
      <c r="M770"/>
      <c r="N770"/>
      <c r="O770"/>
      <c r="P770"/>
      <c r="Q770"/>
      <c r="R770"/>
      <c r="S770"/>
    </row>
    <row r="771" spans="1:19" ht="14.25" customHeight="1">
      <c r="A771" s="175" t="s">
        <v>3906</v>
      </c>
      <c r="B771" s="169">
        <v>4.0999999999999996</v>
      </c>
      <c r="C771" s="170" t="s">
        <v>3918</v>
      </c>
      <c r="D771" s="187">
        <v>5</v>
      </c>
      <c r="E771" s="7">
        <v>0.08</v>
      </c>
      <c r="F771"/>
      <c r="G771"/>
      <c r="H771"/>
      <c r="I771"/>
      <c r="J771"/>
      <c r="K771"/>
      <c r="L771"/>
      <c r="M771"/>
      <c r="N771"/>
      <c r="O771"/>
      <c r="P771"/>
      <c r="Q771"/>
      <c r="R771"/>
      <c r="S771"/>
    </row>
    <row r="772" spans="1:19" ht="14.25" customHeight="1">
      <c r="A772" s="175" t="s">
        <v>3907</v>
      </c>
      <c r="B772" s="169">
        <v>7.6</v>
      </c>
      <c r="C772" s="170" t="s">
        <v>3413</v>
      </c>
      <c r="D772" s="187">
        <v>3</v>
      </c>
      <c r="E772" s="7">
        <v>0.5</v>
      </c>
      <c r="F772"/>
      <c r="G772"/>
      <c r="H772"/>
      <c r="I772"/>
      <c r="J772"/>
      <c r="K772"/>
      <c r="L772"/>
      <c r="M772"/>
      <c r="N772"/>
      <c r="O772"/>
      <c r="P772"/>
      <c r="Q772"/>
      <c r="R772"/>
      <c r="S772"/>
    </row>
    <row r="773" spans="1:19" ht="14.25" customHeight="1">
      <c r="A773" s="171" t="s">
        <v>3521</v>
      </c>
      <c r="B773" s="169">
        <f>186.2/5</f>
        <v>37.239999999999995</v>
      </c>
      <c r="C773" s="170" t="s">
        <v>3880</v>
      </c>
      <c r="D773" s="187">
        <v>5</v>
      </c>
      <c r="E773" s="7">
        <v>2.04</v>
      </c>
      <c r="F773"/>
      <c r="G773"/>
      <c r="H773"/>
      <c r="I773"/>
      <c r="J773"/>
      <c r="K773"/>
      <c r="L773"/>
      <c r="M773"/>
      <c r="N773"/>
      <c r="O773"/>
      <c r="P773"/>
      <c r="Q773"/>
      <c r="R773"/>
      <c r="S773"/>
    </row>
    <row r="774" spans="1:19" ht="14.25" customHeight="1">
      <c r="A774" s="171" t="s">
        <v>3522</v>
      </c>
      <c r="B774" s="169">
        <f>190.2/5</f>
        <v>38.04</v>
      </c>
      <c r="C774" s="170" t="s">
        <v>3881</v>
      </c>
      <c r="D774" s="187">
        <v>5</v>
      </c>
      <c r="E774" s="7">
        <v>1.85</v>
      </c>
      <c r="F774"/>
      <c r="G774"/>
      <c r="H774"/>
      <c r="I774"/>
      <c r="J774"/>
      <c r="K774"/>
      <c r="L774"/>
      <c r="M774"/>
      <c r="N774"/>
      <c r="O774"/>
      <c r="P774"/>
      <c r="Q774"/>
      <c r="R774"/>
      <c r="S774"/>
    </row>
    <row r="775" spans="1:19" ht="14.25" customHeight="1">
      <c r="A775" s="171" t="s">
        <v>3523</v>
      </c>
      <c r="B775" s="169">
        <f>154.6/5</f>
        <v>30.919999999999998</v>
      </c>
      <c r="C775" s="170" t="s">
        <v>3882</v>
      </c>
      <c r="D775" s="187">
        <v>5</v>
      </c>
      <c r="E775" s="7">
        <v>1.6</v>
      </c>
      <c r="F775"/>
      <c r="G775"/>
      <c r="H775"/>
      <c r="I775"/>
      <c r="J775"/>
      <c r="K775"/>
      <c r="L775"/>
      <c r="M775"/>
      <c r="N775"/>
      <c r="O775"/>
      <c r="P775"/>
      <c r="Q775"/>
      <c r="R775"/>
      <c r="S775"/>
    </row>
    <row r="776" spans="1:19" s="4" customFormat="1" ht="14.25" customHeight="1">
      <c r="A776" s="171" t="s">
        <v>3524</v>
      </c>
      <c r="B776" s="169">
        <f>108/5</f>
        <v>21.6</v>
      </c>
      <c r="C776" s="170" t="s">
        <v>3887</v>
      </c>
      <c r="D776" s="187">
        <v>5</v>
      </c>
      <c r="E776" s="7">
        <v>1.65</v>
      </c>
      <c r="F776"/>
      <c r="G776"/>
      <c r="H776"/>
      <c r="I776"/>
      <c r="J776"/>
      <c r="K776"/>
      <c r="L776"/>
      <c r="M776"/>
      <c r="N776"/>
      <c r="O776"/>
      <c r="P776"/>
      <c r="Q776"/>
      <c r="R776"/>
      <c r="S776"/>
    </row>
    <row r="777" spans="1:19" ht="14.25" customHeight="1">
      <c r="A777" s="171" t="s">
        <v>3525</v>
      </c>
      <c r="B777" s="169">
        <v>77.900000000000006</v>
      </c>
      <c r="C777" s="170" t="s">
        <v>3883</v>
      </c>
      <c r="D777" s="187">
        <v>5</v>
      </c>
      <c r="E777" s="7">
        <v>3</v>
      </c>
      <c r="F777"/>
      <c r="G777"/>
      <c r="H777"/>
      <c r="I777"/>
      <c r="J777"/>
      <c r="K777"/>
      <c r="L777"/>
      <c r="M777"/>
      <c r="N777"/>
      <c r="O777"/>
      <c r="P777"/>
      <c r="Q777"/>
      <c r="R777"/>
      <c r="S777"/>
    </row>
    <row r="778" spans="1:19" ht="14.25" customHeight="1">
      <c r="A778" s="171" t="s">
        <v>3526</v>
      </c>
      <c r="B778" s="169">
        <f>156.2/5</f>
        <v>31.24</v>
      </c>
      <c r="C778" s="170" t="s">
        <v>3884</v>
      </c>
      <c r="D778" s="187">
        <v>5</v>
      </c>
      <c r="E778" s="7">
        <v>1.76</v>
      </c>
      <c r="F778"/>
      <c r="G778"/>
      <c r="H778"/>
      <c r="I778"/>
      <c r="J778"/>
      <c r="K778"/>
      <c r="L778"/>
      <c r="M778"/>
      <c r="N778"/>
      <c r="O778"/>
      <c r="P778"/>
      <c r="Q778"/>
      <c r="R778"/>
      <c r="S778"/>
    </row>
    <row r="779" spans="1:19" ht="14.25" customHeight="1">
      <c r="A779" s="171" t="s">
        <v>3554</v>
      </c>
      <c r="B779" s="169">
        <f>100.3/5</f>
        <v>20.059999999999999</v>
      </c>
      <c r="C779" s="170" t="s">
        <v>3445</v>
      </c>
      <c r="D779" s="187">
        <v>5</v>
      </c>
      <c r="E779" s="7">
        <v>0.6</v>
      </c>
      <c r="F779"/>
      <c r="G779"/>
      <c r="H779"/>
      <c r="I779"/>
      <c r="J779"/>
      <c r="K779"/>
      <c r="L779"/>
      <c r="M779"/>
      <c r="N779"/>
      <c r="O779"/>
      <c r="P779"/>
      <c r="Q779"/>
      <c r="R779"/>
      <c r="S779"/>
    </row>
    <row r="780" spans="1:19" ht="14.25" customHeight="1">
      <c r="A780" s="171" t="s">
        <v>3555</v>
      </c>
      <c r="B780" s="169">
        <f>107.5/5</f>
        <v>21.5</v>
      </c>
      <c r="C780" s="170" t="s">
        <v>3444</v>
      </c>
      <c r="D780" s="187">
        <v>5</v>
      </c>
      <c r="E780" s="7">
        <v>0.72</v>
      </c>
      <c r="F780"/>
      <c r="G780"/>
      <c r="H780"/>
      <c r="I780"/>
      <c r="J780"/>
      <c r="K780"/>
      <c r="L780"/>
      <c r="M780"/>
      <c r="N780"/>
      <c r="O780"/>
      <c r="P780"/>
      <c r="Q780"/>
      <c r="R780"/>
      <c r="S780"/>
    </row>
    <row r="781" spans="1:19" ht="14.25" customHeight="1">
      <c r="A781" s="171" t="s">
        <v>3556</v>
      </c>
      <c r="B781" s="169">
        <f>99.4/5</f>
        <v>19.880000000000003</v>
      </c>
      <c r="C781" s="170" t="s">
        <v>3425</v>
      </c>
      <c r="D781" s="187">
        <v>5</v>
      </c>
      <c r="E781" s="7">
        <v>0.53</v>
      </c>
      <c r="F781"/>
      <c r="G781"/>
      <c r="H781"/>
      <c r="I781"/>
      <c r="J781"/>
      <c r="K781"/>
      <c r="L781"/>
      <c r="M781"/>
      <c r="N781"/>
      <c r="O781"/>
      <c r="P781"/>
      <c r="Q781"/>
      <c r="R781"/>
      <c r="S781"/>
    </row>
    <row r="782" spans="1:19" ht="14.25" customHeight="1">
      <c r="A782" s="171" t="s">
        <v>3557</v>
      </c>
      <c r="B782" s="169">
        <f>104.7/5</f>
        <v>20.94</v>
      </c>
      <c r="C782" s="173" t="s">
        <v>3412</v>
      </c>
      <c r="D782" s="187">
        <v>10</v>
      </c>
      <c r="E782" s="7">
        <v>2.75</v>
      </c>
      <c r="F782"/>
      <c r="G782"/>
      <c r="H782"/>
      <c r="I782"/>
      <c r="J782"/>
      <c r="K782"/>
      <c r="L782"/>
      <c r="M782"/>
      <c r="N782"/>
      <c r="O782"/>
      <c r="P782"/>
      <c r="Q782"/>
      <c r="R782"/>
      <c r="S782"/>
    </row>
    <row r="783" spans="1:19" ht="14.25" customHeight="1">
      <c r="A783" s="171" t="s">
        <v>3558</v>
      </c>
      <c r="B783" s="169">
        <v>80.7</v>
      </c>
      <c r="C783" s="170" t="s">
        <v>3885</v>
      </c>
      <c r="D783" s="187">
        <v>3</v>
      </c>
      <c r="E783" s="7">
        <v>4.2</v>
      </c>
      <c r="F783"/>
      <c r="G783"/>
      <c r="H783"/>
      <c r="I783"/>
      <c r="J783"/>
      <c r="K783"/>
      <c r="L783"/>
      <c r="M783"/>
      <c r="N783"/>
      <c r="O783"/>
      <c r="P783"/>
      <c r="Q783"/>
      <c r="R783"/>
      <c r="S783"/>
    </row>
    <row r="784" spans="1:19" ht="14.25" customHeight="1">
      <c r="A784" s="171" t="s">
        <v>3559</v>
      </c>
      <c r="B784" s="169">
        <f>91.9/5</f>
        <v>18.380000000000003</v>
      </c>
      <c r="C784" s="170" t="s">
        <v>3440</v>
      </c>
      <c r="D784" s="187">
        <v>5</v>
      </c>
      <c r="E784" s="7">
        <v>0.76</v>
      </c>
      <c r="F784"/>
      <c r="G784"/>
      <c r="H784"/>
      <c r="I784"/>
      <c r="J784"/>
      <c r="K784"/>
      <c r="L784"/>
      <c r="M784"/>
      <c r="N784"/>
      <c r="O784"/>
      <c r="P784"/>
      <c r="Q784"/>
      <c r="R784"/>
      <c r="S784"/>
    </row>
    <row r="785" spans="1:19" ht="14.25" customHeight="1">
      <c r="A785" s="171" t="s">
        <v>3560</v>
      </c>
      <c r="B785" s="169">
        <f>108/5</f>
        <v>21.6</v>
      </c>
      <c r="C785" s="170" t="s">
        <v>3441</v>
      </c>
      <c r="D785" s="187">
        <v>5</v>
      </c>
      <c r="E785" s="7">
        <v>0.73</v>
      </c>
      <c r="F785"/>
      <c r="G785"/>
      <c r="H785"/>
      <c r="I785"/>
      <c r="J785"/>
      <c r="K785"/>
      <c r="L785"/>
      <c r="M785"/>
      <c r="N785"/>
      <c r="O785"/>
      <c r="P785"/>
      <c r="Q785"/>
      <c r="R785"/>
      <c r="S785"/>
    </row>
    <row r="786" spans="1:19" s="4" customFormat="1" ht="14.25" customHeight="1">
      <c r="A786" s="171" t="s">
        <v>3561</v>
      </c>
      <c r="B786" s="169">
        <f>109/5</f>
        <v>21.8</v>
      </c>
      <c r="C786" s="170" t="s">
        <v>3408</v>
      </c>
      <c r="D786" s="187">
        <v>5</v>
      </c>
      <c r="E786" s="7">
        <v>0.95</v>
      </c>
      <c r="F786"/>
      <c r="G786"/>
      <c r="H786"/>
      <c r="I786"/>
      <c r="J786"/>
      <c r="K786"/>
      <c r="L786"/>
      <c r="M786"/>
      <c r="N786"/>
      <c r="O786"/>
      <c r="P786"/>
      <c r="Q786"/>
      <c r="R786"/>
      <c r="S786"/>
    </row>
    <row r="787" spans="1:19" ht="14.25" customHeight="1">
      <c r="A787" s="152" t="s">
        <v>3143</v>
      </c>
      <c r="B787" s="9">
        <f>15.2/10</f>
        <v>1.52</v>
      </c>
      <c r="C787" s="1" t="s">
        <v>2310</v>
      </c>
      <c r="D787" s="188">
        <v>1</v>
      </c>
      <c r="E787" s="6">
        <v>72</v>
      </c>
    </row>
    <row r="788" spans="1:19" ht="14.25" customHeight="1">
      <c r="A788" s="152" t="s">
        <v>3144</v>
      </c>
      <c r="B788" s="9">
        <f>14.8/10</f>
        <v>1.48</v>
      </c>
      <c r="C788" s="1" t="s">
        <v>2316</v>
      </c>
      <c r="D788" s="188">
        <v>1</v>
      </c>
      <c r="E788" s="6">
        <v>80</v>
      </c>
    </row>
    <row r="789" spans="1:19" ht="14.25" customHeight="1">
      <c r="A789" s="152" t="s">
        <v>3145</v>
      </c>
      <c r="B789" s="9">
        <f>13.3/10</f>
        <v>1.33</v>
      </c>
      <c r="C789" s="1" t="s">
        <v>2315</v>
      </c>
      <c r="D789" s="188">
        <v>1</v>
      </c>
      <c r="E789" s="6">
        <v>75</v>
      </c>
    </row>
    <row r="790" spans="1:19" ht="14.25" customHeight="1">
      <c r="A790" s="152" t="s">
        <v>3146</v>
      </c>
      <c r="B790" s="9">
        <f>15.1/10</f>
        <v>1.51</v>
      </c>
      <c r="C790" s="1" t="s">
        <v>2317</v>
      </c>
      <c r="D790" s="188">
        <v>1</v>
      </c>
      <c r="E790" s="6">
        <v>13</v>
      </c>
    </row>
    <row r="791" spans="1:19" ht="14.25" customHeight="1">
      <c r="A791" s="115" t="s">
        <v>3863</v>
      </c>
      <c r="B791" s="169">
        <f>7.4/5</f>
        <v>1.48</v>
      </c>
      <c r="C791" s="170" t="s">
        <v>3471</v>
      </c>
      <c r="D791" s="187">
        <v>5</v>
      </c>
      <c r="E791" s="7">
        <v>4.8</v>
      </c>
      <c r="F791"/>
      <c r="G791"/>
      <c r="H791"/>
      <c r="I791"/>
      <c r="J791"/>
      <c r="K791"/>
      <c r="L791"/>
      <c r="M791"/>
      <c r="N791"/>
      <c r="O791"/>
      <c r="P791"/>
      <c r="Q791"/>
      <c r="R791"/>
      <c r="S791"/>
    </row>
    <row r="792" spans="1:19" ht="14.25" customHeight="1">
      <c r="A792" s="151" t="s">
        <v>3602</v>
      </c>
      <c r="C792" s="1" t="s">
        <v>2308</v>
      </c>
      <c r="D792" s="192">
        <v>100</v>
      </c>
      <c r="E792" s="6">
        <v>0.1</v>
      </c>
    </row>
    <row r="793" spans="1:19" s="4" customFormat="1" ht="14.25" customHeight="1">
      <c r="A793" s="151" t="s">
        <v>3603</v>
      </c>
      <c r="B793" s="9">
        <f>13.5/10</f>
        <v>1.35</v>
      </c>
      <c r="C793" s="143" t="s">
        <v>3595</v>
      </c>
      <c r="D793" s="188">
        <f t="shared" ref="D793:D798" si="20">600/6</f>
        <v>100</v>
      </c>
      <c r="E793" s="6">
        <v>0.09</v>
      </c>
      <c r="F793" s="7"/>
      <c r="G793" s="7"/>
      <c r="H793" s="7"/>
      <c r="I793" s="7"/>
      <c r="J793" s="7"/>
      <c r="K793" s="7"/>
      <c r="L793" s="7"/>
      <c r="M793" s="7"/>
      <c r="N793" s="7"/>
      <c r="O793" s="7"/>
      <c r="P793" s="7"/>
      <c r="Q793" s="7"/>
      <c r="R793" s="7"/>
      <c r="S793" s="7"/>
    </row>
    <row r="794" spans="1:19" ht="14.25" customHeight="1">
      <c r="A794" s="151" t="s">
        <v>3604</v>
      </c>
      <c r="B794" s="9">
        <f>13.6/10</f>
        <v>1.3599999999999999</v>
      </c>
      <c r="C794" s="143" t="s">
        <v>3594</v>
      </c>
      <c r="D794" s="188">
        <f t="shared" si="20"/>
        <v>100</v>
      </c>
      <c r="E794" s="6">
        <v>0.09</v>
      </c>
    </row>
    <row r="795" spans="1:19" ht="14.25" customHeight="1">
      <c r="A795" s="151" t="s">
        <v>3605</v>
      </c>
      <c r="B795" s="9">
        <f>13.6/10</f>
        <v>1.3599999999999999</v>
      </c>
      <c r="C795" s="143" t="s">
        <v>3592</v>
      </c>
      <c r="D795" s="188">
        <f t="shared" si="20"/>
        <v>100</v>
      </c>
      <c r="E795" s="6">
        <v>0.09</v>
      </c>
    </row>
    <row r="796" spans="1:19" ht="14.25" customHeight="1">
      <c r="A796" s="151" t="s">
        <v>3606</v>
      </c>
      <c r="B796" s="9">
        <f>13.6/10</f>
        <v>1.3599999999999999</v>
      </c>
      <c r="C796" s="143" t="s">
        <v>3593</v>
      </c>
      <c r="D796" s="188">
        <f t="shared" si="20"/>
        <v>100</v>
      </c>
      <c r="E796" s="6">
        <v>0.09</v>
      </c>
    </row>
    <row r="797" spans="1:19" ht="14.25" customHeight="1">
      <c r="A797" s="151" t="s">
        <v>3607</v>
      </c>
      <c r="B797" s="9">
        <f>13.6/10</f>
        <v>1.3599999999999999</v>
      </c>
      <c r="C797" s="143" t="s">
        <v>3596</v>
      </c>
      <c r="D797" s="188">
        <f t="shared" si="20"/>
        <v>100</v>
      </c>
      <c r="E797" s="6">
        <v>0.09</v>
      </c>
    </row>
    <row r="798" spans="1:19" ht="14.25" customHeight="1">
      <c r="A798" s="151" t="s">
        <v>3608</v>
      </c>
      <c r="B798" s="9">
        <f>13.6/10</f>
        <v>1.3599999999999999</v>
      </c>
      <c r="C798" s="143" t="s">
        <v>3616</v>
      </c>
      <c r="D798" s="188">
        <f t="shared" si="20"/>
        <v>100</v>
      </c>
      <c r="E798" s="6">
        <v>0.09</v>
      </c>
    </row>
    <row r="799" spans="1:19" ht="14.25" customHeight="1">
      <c r="A799" s="151" t="s">
        <v>3609</v>
      </c>
      <c r="B799" s="9">
        <f t="shared" ref="B799:B804" si="21">80.5/50</f>
        <v>1.61</v>
      </c>
      <c r="C799" s="143" t="s">
        <v>3597</v>
      </c>
      <c r="D799" s="188">
        <v>50</v>
      </c>
      <c r="E799" s="6">
        <v>0.15</v>
      </c>
    </row>
    <row r="800" spans="1:19" ht="14.25" customHeight="1">
      <c r="A800" s="151" t="s">
        <v>3610</v>
      </c>
      <c r="B800" s="9">
        <f t="shared" si="21"/>
        <v>1.61</v>
      </c>
      <c r="C800" s="1" t="s">
        <v>3598</v>
      </c>
      <c r="D800" s="188">
        <v>50</v>
      </c>
      <c r="E800" s="6">
        <v>0.15</v>
      </c>
    </row>
    <row r="801" spans="1:19" ht="14.25" customHeight="1">
      <c r="A801" s="151" t="s">
        <v>3611</v>
      </c>
      <c r="B801" s="9">
        <f t="shared" si="21"/>
        <v>1.61</v>
      </c>
      <c r="C801" s="1" t="s">
        <v>3599</v>
      </c>
      <c r="D801" s="188">
        <v>50</v>
      </c>
      <c r="E801" s="6">
        <v>0.15</v>
      </c>
    </row>
    <row r="802" spans="1:19" ht="14.25" customHeight="1">
      <c r="A802" s="151" t="s">
        <v>3612</v>
      </c>
      <c r="B802" s="9">
        <f t="shared" si="21"/>
        <v>1.61</v>
      </c>
      <c r="C802" s="123" t="s">
        <v>3868</v>
      </c>
      <c r="D802" s="188">
        <v>50</v>
      </c>
      <c r="E802" s="6">
        <v>0.15</v>
      </c>
    </row>
    <row r="803" spans="1:19" ht="14.25" customHeight="1">
      <c r="A803" s="151" t="s">
        <v>3613</v>
      </c>
      <c r="B803" s="9">
        <f t="shared" si="21"/>
        <v>1.61</v>
      </c>
      <c r="C803" s="1" t="s">
        <v>3600</v>
      </c>
      <c r="D803" s="188">
        <v>50</v>
      </c>
      <c r="E803" s="6">
        <v>0.15</v>
      </c>
    </row>
    <row r="804" spans="1:19" ht="14.25" customHeight="1">
      <c r="A804" s="151" t="s">
        <v>3614</v>
      </c>
      <c r="B804" s="9">
        <f t="shared" si="21"/>
        <v>1.61</v>
      </c>
      <c r="C804" s="1" t="s">
        <v>3601</v>
      </c>
      <c r="D804" s="188">
        <v>50</v>
      </c>
      <c r="E804" s="6">
        <v>0.15</v>
      </c>
    </row>
    <row r="805" spans="1:19" ht="14.25" customHeight="1">
      <c r="A805" s="151" t="s">
        <v>3615</v>
      </c>
      <c r="B805" s="9">
        <f>11.4/10</f>
        <v>1.1400000000000001</v>
      </c>
      <c r="C805" s="1" t="s">
        <v>2303</v>
      </c>
      <c r="D805" s="188">
        <v>100</v>
      </c>
      <c r="E805" s="6">
        <v>0.08</v>
      </c>
    </row>
    <row r="806" spans="1:19" ht="14.25" customHeight="1">
      <c r="A806" s="151" t="s">
        <v>3622</v>
      </c>
      <c r="B806" s="9">
        <f>13/10</f>
        <v>1.3</v>
      </c>
      <c r="C806" s="143" t="s">
        <v>3617</v>
      </c>
      <c r="D806" s="188">
        <f>600/5</f>
        <v>120</v>
      </c>
      <c r="E806" s="6">
        <v>7.0000000000000007E-2</v>
      </c>
    </row>
    <row r="807" spans="1:19" ht="14.25" customHeight="1">
      <c r="A807" s="151" t="s">
        <v>3623</v>
      </c>
      <c r="B807" s="9">
        <f>14/10</f>
        <v>1.4</v>
      </c>
      <c r="C807" s="143" t="s">
        <v>3618</v>
      </c>
      <c r="D807" s="188">
        <f>600/5</f>
        <v>120</v>
      </c>
      <c r="E807" s="6">
        <v>7.0000000000000007E-2</v>
      </c>
    </row>
    <row r="808" spans="1:19" ht="14.25" customHeight="1">
      <c r="A808" s="151" t="s">
        <v>3624</v>
      </c>
      <c r="B808" s="9">
        <f>14/10</f>
        <v>1.4</v>
      </c>
      <c r="C808" s="143" t="s">
        <v>3619</v>
      </c>
      <c r="D808" s="188">
        <f>600/5</f>
        <v>120</v>
      </c>
      <c r="E808" s="6">
        <v>7.0000000000000007E-2</v>
      </c>
    </row>
    <row r="809" spans="1:19" ht="14.25" customHeight="1">
      <c r="A809" s="151" t="s">
        <v>3625</v>
      </c>
      <c r="B809" s="9">
        <f>14/10</f>
        <v>1.4</v>
      </c>
      <c r="C809" s="143" t="s">
        <v>3620</v>
      </c>
      <c r="D809" s="188">
        <f>600/5</f>
        <v>120</v>
      </c>
      <c r="E809" s="6">
        <v>7.0000000000000007E-2</v>
      </c>
    </row>
    <row r="810" spans="1:19" ht="14.25" customHeight="1">
      <c r="A810" s="151" t="s">
        <v>3626</v>
      </c>
      <c r="B810" s="9">
        <f>14/10</f>
        <v>1.4</v>
      </c>
      <c r="C810" s="143" t="s">
        <v>3621</v>
      </c>
      <c r="D810" s="188">
        <f>600/5</f>
        <v>120</v>
      </c>
      <c r="E810" s="6">
        <v>7.0000000000000007E-2</v>
      </c>
    </row>
    <row r="811" spans="1:19" s="4" customFormat="1" ht="14.25" customHeight="1">
      <c r="A811" s="115" t="s">
        <v>3864</v>
      </c>
      <c r="B811" s="169">
        <f>7.7/5</f>
        <v>1.54</v>
      </c>
      <c r="C811" s="173" t="s">
        <v>3866</v>
      </c>
      <c r="D811" s="187">
        <f>387/B811</f>
        <v>251.2987012987013</v>
      </c>
      <c r="E811" s="7">
        <v>3.5</v>
      </c>
      <c r="F811"/>
      <c r="G811"/>
      <c r="H811"/>
      <c r="I811"/>
      <c r="J811"/>
      <c r="K811"/>
      <c r="L811"/>
      <c r="M811"/>
      <c r="N811"/>
      <c r="O811"/>
      <c r="P811"/>
      <c r="Q811"/>
      <c r="R811"/>
      <c r="S811"/>
    </row>
    <row r="812" spans="1:19" ht="14.25" customHeight="1">
      <c r="A812" s="115" t="s">
        <v>3865</v>
      </c>
      <c r="B812" s="169">
        <f>7.6/5</f>
        <v>1.52</v>
      </c>
      <c r="C812" s="173" t="s">
        <v>3867</v>
      </c>
      <c r="D812" s="187">
        <f>381.6/B812</f>
        <v>251.05263157894737</v>
      </c>
      <c r="E812" s="7">
        <v>0.76</v>
      </c>
      <c r="F812"/>
      <c r="G812"/>
      <c r="H812"/>
      <c r="I812"/>
      <c r="J812"/>
      <c r="K812"/>
      <c r="L812"/>
      <c r="M812"/>
      <c r="N812"/>
      <c r="O812"/>
      <c r="P812"/>
      <c r="Q812"/>
      <c r="R812"/>
      <c r="S812"/>
    </row>
    <row r="813" spans="1:19" ht="14.25" customHeight="1">
      <c r="A813" s="151" t="s">
        <v>3629</v>
      </c>
      <c r="B813" s="9">
        <v>30.5</v>
      </c>
      <c r="C813" s="143" t="s">
        <v>3628</v>
      </c>
      <c r="D813" s="188">
        <v>5</v>
      </c>
      <c r="E813" s="6">
        <v>0.6</v>
      </c>
    </row>
    <row r="814" spans="1:19" ht="14.25" customHeight="1">
      <c r="A814" s="151" t="s">
        <v>3630</v>
      </c>
      <c r="B814" s="9">
        <v>6.5</v>
      </c>
      <c r="C814" s="1" t="s">
        <v>2311</v>
      </c>
      <c r="D814" s="188">
        <v>5</v>
      </c>
      <c r="E814" s="6">
        <v>0.18</v>
      </c>
    </row>
    <row r="815" spans="1:19" ht="14.25" customHeight="1">
      <c r="A815" s="151" t="s">
        <v>3631</v>
      </c>
      <c r="B815" s="9">
        <v>18.3</v>
      </c>
      <c r="C815" s="143" t="s">
        <v>3627</v>
      </c>
      <c r="D815" s="188">
        <v>5</v>
      </c>
      <c r="E815" s="6">
        <v>2</v>
      </c>
    </row>
    <row r="816" spans="1:19" ht="14.25" customHeight="1">
      <c r="A816" s="151" t="s">
        <v>3632</v>
      </c>
      <c r="B816" s="9">
        <v>9.6</v>
      </c>
      <c r="C816" s="143" t="s">
        <v>3642</v>
      </c>
      <c r="D816" s="188">
        <v>5</v>
      </c>
      <c r="E816" s="6">
        <v>1.6</v>
      </c>
    </row>
    <row r="817" spans="1:19" ht="14.25" customHeight="1">
      <c r="A817" s="151" t="s">
        <v>3633</v>
      </c>
      <c r="B817" s="9">
        <v>10</v>
      </c>
      <c r="C817" s="154" t="s">
        <v>3643</v>
      </c>
      <c r="D817" s="188">
        <v>5</v>
      </c>
      <c r="E817" s="6">
        <v>0.45</v>
      </c>
    </row>
    <row r="818" spans="1:19" ht="14.25" customHeight="1">
      <c r="A818" s="151" t="s">
        <v>3634</v>
      </c>
      <c r="B818" s="9">
        <v>10.8</v>
      </c>
      <c r="C818" s="154" t="s">
        <v>3641</v>
      </c>
      <c r="D818" s="188">
        <v>5</v>
      </c>
      <c r="E818" s="6">
        <v>1.6</v>
      </c>
    </row>
    <row r="819" spans="1:19" ht="14.25" customHeight="1">
      <c r="A819" s="171" t="s">
        <v>3591</v>
      </c>
      <c r="B819" s="169">
        <v>33.1</v>
      </c>
      <c r="C819" s="170" t="s">
        <v>3462</v>
      </c>
      <c r="D819" s="187">
        <v>5</v>
      </c>
      <c r="E819" s="7">
        <v>3</v>
      </c>
      <c r="F819"/>
      <c r="G819"/>
      <c r="H819"/>
      <c r="I819"/>
      <c r="J819"/>
      <c r="K819"/>
      <c r="L819"/>
      <c r="M819"/>
      <c r="N819"/>
      <c r="O819"/>
      <c r="P819"/>
      <c r="Q819"/>
      <c r="R819"/>
      <c r="S819"/>
    </row>
    <row r="820" spans="1:19" ht="14.25" customHeight="1">
      <c r="A820" s="128" t="s">
        <v>3295</v>
      </c>
      <c r="B820" s="9">
        <v>47.6</v>
      </c>
      <c r="C820" s="141" t="s">
        <v>3635</v>
      </c>
      <c r="D820" s="187">
        <v>3</v>
      </c>
      <c r="E820" s="7">
        <v>4.4000000000000004</v>
      </c>
      <c r="S820" s="4"/>
    </row>
    <row r="821" spans="1:19" ht="14.25" customHeight="1">
      <c r="A821" s="128" t="s">
        <v>3293</v>
      </c>
      <c r="B821" s="9">
        <f>37.8-4.2</f>
        <v>33.599999999999994</v>
      </c>
      <c r="C821" s="141" t="s">
        <v>3417</v>
      </c>
      <c r="D821" s="187">
        <v>5</v>
      </c>
      <c r="E821" s="7">
        <v>3.8</v>
      </c>
    </row>
    <row r="822" spans="1:19" ht="14.25" customHeight="1">
      <c r="A822" s="171" t="s">
        <v>3500</v>
      </c>
      <c r="B822" s="169">
        <f>9.8/5</f>
        <v>1.9600000000000002</v>
      </c>
      <c r="C822" s="170" t="s">
        <v>3409</v>
      </c>
      <c r="D822" s="187">
        <v>5</v>
      </c>
      <c r="E822" s="7">
        <v>0.16</v>
      </c>
      <c r="F822"/>
      <c r="G822"/>
      <c r="H822"/>
      <c r="I822"/>
      <c r="J822"/>
      <c r="K822"/>
      <c r="L822"/>
      <c r="M822"/>
      <c r="N822"/>
      <c r="O822"/>
      <c r="P822"/>
      <c r="Q822"/>
      <c r="R822"/>
      <c r="S822"/>
    </row>
    <row r="823" spans="1:19" ht="14.25" customHeight="1">
      <c r="A823" s="171" t="s">
        <v>3501</v>
      </c>
      <c r="B823" s="169">
        <f>11.1/5</f>
        <v>2.2199999999999998</v>
      </c>
      <c r="C823" s="170" t="s">
        <v>3410</v>
      </c>
      <c r="D823" s="187">
        <v>5</v>
      </c>
      <c r="E823" s="7">
        <v>0.17</v>
      </c>
      <c r="F823"/>
      <c r="G823"/>
      <c r="H823"/>
      <c r="I823"/>
      <c r="J823"/>
      <c r="K823"/>
      <c r="L823"/>
      <c r="M823"/>
      <c r="N823"/>
      <c r="O823"/>
      <c r="P823"/>
      <c r="Q823"/>
      <c r="R823"/>
      <c r="S823"/>
    </row>
    <row r="824" spans="1:19" ht="14.25" customHeight="1">
      <c r="A824" s="171" t="s">
        <v>3502</v>
      </c>
      <c r="B824" s="169">
        <f>36/5</f>
        <v>7.2</v>
      </c>
      <c r="C824" s="170" t="s">
        <v>3459</v>
      </c>
      <c r="D824" s="187">
        <v>5</v>
      </c>
      <c r="E824" s="7">
        <v>0.36</v>
      </c>
      <c r="F824"/>
      <c r="G824"/>
      <c r="H824"/>
      <c r="I824"/>
      <c r="J824"/>
      <c r="K824"/>
      <c r="L824"/>
      <c r="M824"/>
      <c r="N824"/>
      <c r="O824"/>
      <c r="P824"/>
      <c r="Q824"/>
      <c r="R824"/>
      <c r="S824"/>
    </row>
    <row r="825" spans="1:19" s="4" customFormat="1" ht="14.25" customHeight="1">
      <c r="A825" s="171" t="s">
        <v>3503</v>
      </c>
      <c r="B825" s="169">
        <f>35.5/5</f>
        <v>7.1</v>
      </c>
      <c r="C825" s="170" t="s">
        <v>3470</v>
      </c>
      <c r="D825" s="187">
        <v>5</v>
      </c>
      <c r="E825" s="7">
        <v>0.65</v>
      </c>
      <c r="F825"/>
      <c r="G825"/>
      <c r="H825"/>
      <c r="I825"/>
      <c r="J825"/>
      <c r="K825"/>
      <c r="L825"/>
      <c r="M825"/>
      <c r="N825"/>
      <c r="O825"/>
      <c r="P825"/>
      <c r="Q825"/>
      <c r="R825"/>
      <c r="S825"/>
    </row>
    <row r="826" spans="1:19" ht="14.25" customHeight="1">
      <c r="A826" s="171" t="s">
        <v>3504</v>
      </c>
      <c r="B826" s="169">
        <f>39.7/5</f>
        <v>7.94</v>
      </c>
      <c r="C826" s="170" t="s">
        <v>3460</v>
      </c>
      <c r="D826" s="187">
        <v>5</v>
      </c>
      <c r="E826" s="7">
        <v>0.85</v>
      </c>
      <c r="F826"/>
      <c r="G826"/>
      <c r="H826"/>
      <c r="I826"/>
      <c r="J826"/>
      <c r="K826"/>
      <c r="L826"/>
      <c r="M826"/>
      <c r="N826"/>
      <c r="O826"/>
      <c r="P826"/>
      <c r="Q826"/>
      <c r="R826"/>
      <c r="S826"/>
    </row>
    <row r="827" spans="1:19" ht="14.25" customHeight="1">
      <c r="A827" s="171" t="s">
        <v>3505</v>
      </c>
      <c r="B827" s="169">
        <f>35.5/5</f>
        <v>7.1</v>
      </c>
      <c r="C827" s="170" t="s">
        <v>3461</v>
      </c>
      <c r="D827" s="187">
        <v>5</v>
      </c>
      <c r="E827" s="7">
        <v>0.6</v>
      </c>
      <c r="F827"/>
      <c r="G827"/>
      <c r="H827"/>
      <c r="I827"/>
      <c r="J827"/>
      <c r="K827"/>
      <c r="L827"/>
      <c r="M827"/>
      <c r="N827"/>
      <c r="O827"/>
      <c r="P827"/>
      <c r="Q827"/>
      <c r="R827"/>
      <c r="S827"/>
    </row>
    <row r="828" spans="1:19" ht="14.25" customHeight="1">
      <c r="A828" s="171" t="s">
        <v>3506</v>
      </c>
      <c r="B828" s="169">
        <f>22.9/5</f>
        <v>4.58</v>
      </c>
      <c r="C828" s="170" t="s">
        <v>3455</v>
      </c>
      <c r="D828" s="187">
        <v>5</v>
      </c>
      <c r="E828" s="7">
        <v>0.5</v>
      </c>
      <c r="F828"/>
      <c r="G828"/>
      <c r="H828"/>
      <c r="I828"/>
      <c r="J828"/>
      <c r="K828"/>
      <c r="L828"/>
      <c r="M828"/>
      <c r="N828"/>
      <c r="O828"/>
      <c r="P828"/>
      <c r="Q828"/>
      <c r="R828"/>
      <c r="S828"/>
    </row>
    <row r="829" spans="1:19" ht="14.25" customHeight="1">
      <c r="A829" s="171" t="s">
        <v>3507</v>
      </c>
      <c r="B829" s="169">
        <f>33.1/5</f>
        <v>6.62</v>
      </c>
      <c r="C829" s="139" t="s">
        <v>3435</v>
      </c>
      <c r="E829" s="7">
        <v>0.36</v>
      </c>
      <c r="F829"/>
      <c r="G829"/>
      <c r="H829"/>
      <c r="I829"/>
      <c r="J829"/>
      <c r="K829"/>
      <c r="L829"/>
      <c r="M829"/>
      <c r="N829"/>
      <c r="O829"/>
      <c r="P829"/>
      <c r="Q829"/>
      <c r="R829"/>
      <c r="S829"/>
    </row>
    <row r="830" spans="1:19" ht="14.25" customHeight="1">
      <c r="A830" s="171" t="s">
        <v>3508</v>
      </c>
      <c r="B830" s="169">
        <f>33.8/10</f>
        <v>3.38</v>
      </c>
      <c r="C830" s="173" t="s">
        <v>3454</v>
      </c>
      <c r="D830" s="187">
        <v>5</v>
      </c>
      <c r="E830" s="7">
        <v>0.23</v>
      </c>
      <c r="F830"/>
      <c r="G830"/>
      <c r="H830"/>
      <c r="I830"/>
      <c r="J830"/>
      <c r="K830"/>
      <c r="L830"/>
      <c r="M830"/>
      <c r="N830"/>
      <c r="O830"/>
      <c r="P830"/>
      <c r="Q830"/>
      <c r="R830"/>
      <c r="S830"/>
    </row>
    <row r="831" spans="1:19" ht="14.25" customHeight="1">
      <c r="A831" s="171" t="s">
        <v>3509</v>
      </c>
      <c r="B831" s="169">
        <f>17.1/5</f>
        <v>3.4200000000000004</v>
      </c>
      <c r="C831" s="170" t="s">
        <v>3934</v>
      </c>
      <c r="D831" s="187">
        <v>5</v>
      </c>
      <c r="E831" s="7">
        <v>0.38</v>
      </c>
      <c r="F831"/>
      <c r="G831"/>
      <c r="H831"/>
      <c r="I831"/>
      <c r="J831"/>
      <c r="K831"/>
      <c r="L831"/>
      <c r="M831"/>
      <c r="N831"/>
      <c r="O831"/>
      <c r="P831"/>
      <c r="Q831"/>
      <c r="R831"/>
      <c r="S831"/>
    </row>
    <row r="832" spans="1:19" ht="14.25" customHeight="1">
      <c r="A832" s="171" t="s">
        <v>3510</v>
      </c>
      <c r="B832" s="169">
        <f>33.7/5</f>
        <v>6.74</v>
      </c>
      <c r="C832" s="139" t="s">
        <v>3436</v>
      </c>
      <c r="D832" s="187">
        <v>5</v>
      </c>
      <c r="E832" s="7">
        <v>0.5</v>
      </c>
      <c r="F832"/>
      <c r="G832"/>
      <c r="H832"/>
      <c r="I832"/>
      <c r="J832"/>
      <c r="K832"/>
      <c r="L832"/>
      <c r="M832"/>
      <c r="N832"/>
      <c r="O832"/>
      <c r="P832"/>
      <c r="Q832"/>
      <c r="R832"/>
      <c r="S832"/>
    </row>
    <row r="833" spans="1:19" ht="14.25" customHeight="1">
      <c r="A833" s="171" t="s">
        <v>3511</v>
      </c>
      <c r="B833" s="169">
        <v>23.1</v>
      </c>
      <c r="C833" s="170" t="s">
        <v>3932</v>
      </c>
      <c r="D833" s="187">
        <v>3</v>
      </c>
      <c r="E833" s="7">
        <v>1.3</v>
      </c>
      <c r="F833"/>
      <c r="G833"/>
      <c r="H833"/>
      <c r="I833"/>
      <c r="J833"/>
      <c r="K833"/>
      <c r="L833"/>
      <c r="M833"/>
      <c r="N833"/>
      <c r="O833"/>
      <c r="P833"/>
      <c r="Q833"/>
      <c r="R833"/>
      <c r="S833"/>
    </row>
    <row r="834" spans="1:19" ht="14.25" customHeight="1">
      <c r="A834" s="171" t="s">
        <v>3512</v>
      </c>
      <c r="B834" s="169">
        <v>17.3</v>
      </c>
      <c r="C834" s="170" t="s">
        <v>3933</v>
      </c>
      <c r="D834" s="187">
        <v>3</v>
      </c>
      <c r="E834" s="7">
        <v>1.3</v>
      </c>
      <c r="F834"/>
      <c r="G834"/>
      <c r="H834"/>
      <c r="I834"/>
      <c r="J834"/>
      <c r="K834"/>
      <c r="L834"/>
      <c r="M834"/>
      <c r="N834"/>
      <c r="O834"/>
      <c r="P834"/>
      <c r="Q834"/>
      <c r="R834"/>
      <c r="S834"/>
    </row>
    <row r="835" spans="1:19" ht="14.25" customHeight="1">
      <c r="A835" s="171" t="s">
        <v>3513</v>
      </c>
      <c r="B835" s="169">
        <v>51.5</v>
      </c>
      <c r="C835" s="170" t="s">
        <v>3875</v>
      </c>
      <c r="D835" s="190">
        <v>4</v>
      </c>
      <c r="E835" s="7">
        <v>1.1000000000000001</v>
      </c>
      <c r="F835"/>
      <c r="G835"/>
      <c r="H835"/>
      <c r="I835"/>
      <c r="J835"/>
      <c r="K835"/>
      <c r="L835"/>
      <c r="M835"/>
      <c r="N835"/>
      <c r="O835"/>
      <c r="P835"/>
      <c r="Q835"/>
      <c r="R835"/>
      <c r="S835"/>
    </row>
    <row r="836" spans="1:19" s="4" customFormat="1" ht="14.25" customHeight="1">
      <c r="A836" s="171" t="s">
        <v>3514</v>
      </c>
      <c r="B836" s="169">
        <v>67</v>
      </c>
      <c r="C836" s="170" t="s">
        <v>3876</v>
      </c>
      <c r="D836" s="187">
        <v>3</v>
      </c>
      <c r="E836" s="7">
        <v>1.5</v>
      </c>
      <c r="F836"/>
      <c r="G836"/>
      <c r="H836"/>
      <c r="I836"/>
      <c r="J836"/>
      <c r="K836"/>
      <c r="L836"/>
      <c r="M836"/>
      <c r="N836"/>
      <c r="O836"/>
      <c r="P836"/>
      <c r="Q836"/>
      <c r="R836"/>
      <c r="S836"/>
    </row>
    <row r="837" spans="1:19" ht="14.25" customHeight="1">
      <c r="A837" s="175" t="s">
        <v>3942</v>
      </c>
      <c r="B837" s="169">
        <f>51.2/5</f>
        <v>10.24</v>
      </c>
      <c r="C837" s="173" t="s">
        <v>3447</v>
      </c>
      <c r="D837" s="187">
        <v>5</v>
      </c>
      <c r="E837" s="7">
        <v>1.18</v>
      </c>
      <c r="F837"/>
      <c r="G837"/>
      <c r="H837"/>
      <c r="I837"/>
      <c r="J837"/>
      <c r="K837"/>
      <c r="L837"/>
      <c r="M837"/>
      <c r="N837"/>
      <c r="O837"/>
      <c r="P837"/>
      <c r="Q837"/>
      <c r="R837"/>
      <c r="S837"/>
    </row>
    <row r="838" spans="1:19" ht="14.25" customHeight="1">
      <c r="A838" s="171" t="s">
        <v>3490</v>
      </c>
      <c r="B838" s="169">
        <f>67/5</f>
        <v>13.4</v>
      </c>
      <c r="C838" s="170" t="s">
        <v>3453</v>
      </c>
      <c r="D838" s="187">
        <v>5</v>
      </c>
      <c r="E838" s="7">
        <v>1.8</v>
      </c>
      <c r="F838"/>
      <c r="G838"/>
      <c r="H838"/>
      <c r="I838"/>
      <c r="J838"/>
      <c r="K838"/>
      <c r="L838"/>
      <c r="M838"/>
      <c r="N838"/>
      <c r="O838"/>
      <c r="P838"/>
      <c r="Q838"/>
      <c r="R838"/>
      <c r="S838"/>
    </row>
    <row r="839" spans="1:19" ht="14.25" customHeight="1">
      <c r="A839" s="171" t="s">
        <v>3491</v>
      </c>
      <c r="B839" s="169">
        <f>59.6/5</f>
        <v>11.92</v>
      </c>
      <c r="C839" s="170" t="s">
        <v>3456</v>
      </c>
      <c r="D839" s="187">
        <v>5</v>
      </c>
      <c r="E839" s="7">
        <v>2</v>
      </c>
      <c r="F839"/>
      <c r="G839"/>
      <c r="H839"/>
      <c r="I839"/>
      <c r="J839"/>
      <c r="K839"/>
      <c r="L839"/>
      <c r="M839"/>
      <c r="N839"/>
      <c r="O839"/>
      <c r="P839"/>
      <c r="Q839"/>
      <c r="R839"/>
      <c r="S839"/>
    </row>
    <row r="840" spans="1:19" ht="14.25" customHeight="1">
      <c r="A840" s="171" t="s">
        <v>3492</v>
      </c>
      <c r="B840" s="169">
        <f>59.8/3</f>
        <v>19.933333333333334</v>
      </c>
      <c r="C840" s="170" t="s">
        <v>3429</v>
      </c>
      <c r="D840" s="187">
        <v>5</v>
      </c>
      <c r="E840" s="7">
        <v>1.5</v>
      </c>
      <c r="F840"/>
      <c r="G840"/>
      <c r="H840"/>
      <c r="I840"/>
      <c r="J840"/>
      <c r="K840"/>
      <c r="L840"/>
      <c r="M840"/>
      <c r="N840"/>
      <c r="O840"/>
      <c r="P840"/>
      <c r="Q840"/>
      <c r="R840"/>
      <c r="S840"/>
    </row>
    <row r="841" spans="1:19" ht="14.25" customHeight="1">
      <c r="A841" s="171" t="s">
        <v>3493</v>
      </c>
      <c r="B841" s="169">
        <f>36/5</f>
        <v>7.2</v>
      </c>
      <c r="C841" s="170" t="s">
        <v>3448</v>
      </c>
      <c r="D841" s="187">
        <v>5</v>
      </c>
      <c r="E841" s="7">
        <v>1.1499999999999999</v>
      </c>
      <c r="F841"/>
      <c r="G841"/>
      <c r="H841"/>
      <c r="I841"/>
      <c r="J841"/>
      <c r="K841"/>
      <c r="L841"/>
      <c r="M841"/>
      <c r="N841"/>
      <c r="O841"/>
      <c r="P841"/>
      <c r="Q841"/>
      <c r="R841"/>
      <c r="S841"/>
    </row>
    <row r="842" spans="1:19" s="4" customFormat="1" ht="14.25" customHeight="1">
      <c r="A842" s="171" t="s">
        <v>3494</v>
      </c>
      <c r="B842" s="169">
        <f>40.4/5</f>
        <v>8.08</v>
      </c>
      <c r="C842" s="170" t="s">
        <v>3450</v>
      </c>
      <c r="D842" s="187">
        <v>5</v>
      </c>
      <c r="E842" s="7">
        <v>1.1499999999999999</v>
      </c>
      <c r="F842"/>
      <c r="G842"/>
      <c r="H842"/>
      <c r="I842"/>
      <c r="J842"/>
      <c r="K842"/>
      <c r="L842"/>
      <c r="M842"/>
      <c r="N842"/>
      <c r="O842"/>
      <c r="P842"/>
      <c r="Q842"/>
      <c r="R842"/>
      <c r="S842"/>
    </row>
    <row r="843" spans="1:19" ht="14.25" customHeight="1">
      <c r="A843" s="171" t="s">
        <v>3495</v>
      </c>
      <c r="B843" s="169">
        <f>58.3/5</f>
        <v>11.66</v>
      </c>
      <c r="C843" s="170" t="s">
        <v>3449</v>
      </c>
      <c r="D843" s="187">
        <v>5</v>
      </c>
      <c r="E843" s="7">
        <v>3</v>
      </c>
      <c r="F843"/>
      <c r="G843"/>
      <c r="H843"/>
      <c r="I843"/>
      <c r="J843"/>
      <c r="K843"/>
      <c r="L843"/>
      <c r="M843"/>
      <c r="N843"/>
      <c r="O843"/>
      <c r="P843"/>
      <c r="Q843"/>
      <c r="R843"/>
      <c r="S843"/>
    </row>
    <row r="844" spans="1:19" ht="14.25" customHeight="1">
      <c r="A844" s="171" t="s">
        <v>3496</v>
      </c>
      <c r="B844" s="169">
        <f>45.5/5</f>
        <v>9.1</v>
      </c>
      <c r="C844" s="170" t="s">
        <v>3430</v>
      </c>
      <c r="D844" s="187">
        <v>5</v>
      </c>
      <c r="E844" s="7">
        <v>1.1000000000000001</v>
      </c>
      <c r="F844"/>
      <c r="G844"/>
      <c r="H844"/>
      <c r="I844"/>
      <c r="J844"/>
      <c r="K844"/>
      <c r="L844"/>
      <c r="M844"/>
      <c r="N844"/>
      <c r="O844"/>
      <c r="P844"/>
      <c r="Q844"/>
      <c r="R844"/>
      <c r="S844"/>
    </row>
    <row r="845" spans="1:19" ht="14.25" customHeight="1">
      <c r="A845" s="171" t="s">
        <v>3497</v>
      </c>
      <c r="B845" s="169">
        <f>48.6/5</f>
        <v>9.7200000000000006</v>
      </c>
      <c r="C845" s="170" t="s">
        <v>3467</v>
      </c>
      <c r="D845" s="187">
        <v>5</v>
      </c>
      <c r="E845" s="7">
        <v>0.63</v>
      </c>
      <c r="F845"/>
      <c r="G845"/>
      <c r="H845"/>
      <c r="I845"/>
      <c r="J845"/>
      <c r="K845"/>
      <c r="L845"/>
      <c r="M845"/>
      <c r="N845"/>
      <c r="O845"/>
      <c r="P845"/>
      <c r="Q845"/>
      <c r="R845"/>
      <c r="S845"/>
    </row>
    <row r="846" spans="1:19" ht="14.25" customHeight="1">
      <c r="A846" s="171" t="s">
        <v>3498</v>
      </c>
      <c r="B846" s="169">
        <f>87.5/5</f>
        <v>17.5</v>
      </c>
      <c r="C846" s="177" t="s">
        <v>3452</v>
      </c>
      <c r="D846" s="187">
        <v>5</v>
      </c>
      <c r="E846" s="7">
        <v>2.5</v>
      </c>
      <c r="F846"/>
      <c r="G846"/>
      <c r="H846"/>
      <c r="I846"/>
      <c r="J846"/>
      <c r="K846"/>
      <c r="L846"/>
      <c r="M846"/>
      <c r="N846"/>
      <c r="O846"/>
      <c r="P846"/>
      <c r="Q846"/>
      <c r="R846"/>
      <c r="S846"/>
    </row>
    <row r="847" spans="1:19" s="4" customFormat="1" ht="14.25" customHeight="1">
      <c r="A847" s="171" t="s">
        <v>3499</v>
      </c>
      <c r="B847" s="169">
        <f>80.5/5</f>
        <v>16.100000000000001</v>
      </c>
      <c r="C847" s="177" t="s">
        <v>3451</v>
      </c>
      <c r="D847" s="187">
        <v>5</v>
      </c>
      <c r="E847" s="7">
        <v>2.5</v>
      </c>
      <c r="F847"/>
      <c r="G847"/>
      <c r="H847"/>
      <c r="I847"/>
      <c r="J847"/>
      <c r="K847"/>
      <c r="L847"/>
      <c r="M847"/>
      <c r="N847"/>
      <c r="O847"/>
      <c r="P847"/>
      <c r="Q847"/>
      <c r="R847"/>
      <c r="S847"/>
    </row>
    <row r="848" spans="1:19" ht="14.25" customHeight="1">
      <c r="A848" s="175" t="s">
        <v>3941</v>
      </c>
      <c r="B848" s="169">
        <f>50.9/5</f>
        <v>10.18</v>
      </c>
      <c r="C848" s="170" t="s">
        <v>3446</v>
      </c>
      <c r="D848" s="187">
        <v>5</v>
      </c>
      <c r="E848" s="7">
        <v>1.18</v>
      </c>
      <c r="F848"/>
      <c r="G848"/>
      <c r="H848"/>
      <c r="I848"/>
      <c r="J848"/>
      <c r="K848"/>
      <c r="L848"/>
      <c r="M848"/>
      <c r="N848"/>
      <c r="O848"/>
      <c r="P848"/>
      <c r="Q848"/>
      <c r="R848"/>
      <c r="S848"/>
    </row>
    <row r="849" spans="1:19" s="4" customFormat="1" ht="14.25" customHeight="1">
      <c r="A849" s="152" t="s">
        <v>3297</v>
      </c>
      <c r="B849" s="9">
        <v>58.3</v>
      </c>
      <c r="C849" s="7" t="s">
        <v>2142</v>
      </c>
      <c r="D849" s="187">
        <v>10</v>
      </c>
      <c r="E849" s="7">
        <v>2.2000000000000002</v>
      </c>
      <c r="F849" s="7"/>
      <c r="G849" s="7"/>
      <c r="H849" s="7"/>
      <c r="I849" s="7"/>
      <c r="J849" s="7"/>
      <c r="K849" s="7"/>
      <c r="L849" s="7"/>
      <c r="M849" s="7"/>
      <c r="N849" s="7"/>
      <c r="O849" s="7"/>
      <c r="P849" s="7"/>
      <c r="Q849" s="7"/>
      <c r="R849" s="7"/>
      <c r="S849" s="7"/>
    </row>
    <row r="850" spans="1:19" ht="14.25" customHeight="1">
      <c r="A850" s="152" t="s">
        <v>3298</v>
      </c>
      <c r="B850" s="9">
        <v>98.2</v>
      </c>
      <c r="C850" s="7" t="s">
        <v>2141</v>
      </c>
      <c r="D850" s="187">
        <v>10</v>
      </c>
      <c r="E850" s="7">
        <v>3.3</v>
      </c>
    </row>
    <row r="851" spans="1:19" ht="14.25" customHeight="1">
      <c r="A851" s="152" t="s">
        <v>3299</v>
      </c>
      <c r="B851" s="9">
        <v>50</v>
      </c>
      <c r="C851" s="7" t="s">
        <v>2143</v>
      </c>
      <c r="D851" s="187">
        <v>10</v>
      </c>
      <c r="E851" s="7">
        <v>2.5</v>
      </c>
    </row>
    <row r="852" spans="1:19" ht="14.25" customHeight="1">
      <c r="A852" s="171" t="s">
        <v>3551</v>
      </c>
      <c r="B852" s="169">
        <f>16.2/3</f>
        <v>5.3999999999999995</v>
      </c>
      <c r="C852" s="170" t="s">
        <v>3566</v>
      </c>
      <c r="D852" s="187">
        <v>3</v>
      </c>
      <c r="E852" s="7">
        <v>0.4</v>
      </c>
      <c r="F852"/>
      <c r="G852"/>
      <c r="H852"/>
      <c r="I852"/>
      <c r="J852"/>
      <c r="K852"/>
      <c r="L852"/>
      <c r="M852"/>
      <c r="N852"/>
      <c r="O852"/>
      <c r="P852"/>
      <c r="Q852"/>
      <c r="R852"/>
      <c r="S852"/>
    </row>
    <row r="853" spans="1:19" ht="14.25" customHeight="1">
      <c r="A853" s="175" t="s">
        <v>3936</v>
      </c>
      <c r="B853" s="169">
        <f>14.2/3</f>
        <v>4.7333333333333334</v>
      </c>
      <c r="C853" s="170" t="s">
        <v>3569</v>
      </c>
      <c r="D853" s="187">
        <v>3</v>
      </c>
      <c r="E853" s="7">
        <v>0.4</v>
      </c>
      <c r="F853"/>
      <c r="G853"/>
      <c r="H853"/>
      <c r="I853"/>
      <c r="J853"/>
      <c r="K853"/>
      <c r="L853"/>
      <c r="M853"/>
      <c r="N853"/>
      <c r="O853"/>
      <c r="P853"/>
      <c r="Q853"/>
      <c r="R853"/>
      <c r="S853"/>
    </row>
    <row r="854" spans="1:19" ht="14.25" customHeight="1">
      <c r="A854" s="175" t="s">
        <v>3937</v>
      </c>
      <c r="B854" s="169">
        <f>14.6/3</f>
        <v>4.8666666666666663</v>
      </c>
      <c r="C854" s="170" t="s">
        <v>3567</v>
      </c>
      <c r="D854" s="187">
        <v>3</v>
      </c>
      <c r="E854" s="7">
        <v>0.4</v>
      </c>
      <c r="F854"/>
      <c r="G854"/>
      <c r="H854"/>
      <c r="I854"/>
      <c r="J854"/>
      <c r="K854"/>
      <c r="L854"/>
      <c r="M854"/>
      <c r="N854"/>
      <c r="O854"/>
      <c r="P854"/>
      <c r="Q854"/>
      <c r="R854"/>
      <c r="S854"/>
    </row>
    <row r="855" spans="1:19" ht="14.25" customHeight="1">
      <c r="A855" s="175" t="s">
        <v>3938</v>
      </c>
      <c r="B855" s="169">
        <f>15.5/3</f>
        <v>5.166666666666667</v>
      </c>
      <c r="C855" s="170" t="s">
        <v>3568</v>
      </c>
      <c r="D855" s="187">
        <v>3</v>
      </c>
      <c r="E855" s="7">
        <v>0.4</v>
      </c>
      <c r="F855"/>
      <c r="G855"/>
      <c r="H855"/>
      <c r="I855"/>
      <c r="J855"/>
      <c r="K855"/>
      <c r="L855"/>
      <c r="M855"/>
      <c r="N855"/>
      <c r="O855"/>
      <c r="P855"/>
      <c r="Q855"/>
      <c r="R855"/>
      <c r="S855"/>
    </row>
    <row r="856" spans="1:19" ht="14.25" customHeight="1">
      <c r="A856" s="171" t="s">
        <v>3552</v>
      </c>
      <c r="B856" s="169">
        <f>20.7/3</f>
        <v>6.8999999999999995</v>
      </c>
      <c r="C856" s="170" t="s">
        <v>3463</v>
      </c>
      <c r="D856" s="187">
        <v>3</v>
      </c>
      <c r="E856" s="7">
        <v>1.5</v>
      </c>
      <c r="F856"/>
      <c r="G856"/>
      <c r="H856"/>
      <c r="I856"/>
      <c r="J856"/>
      <c r="K856"/>
      <c r="L856"/>
      <c r="M856"/>
      <c r="N856"/>
      <c r="O856"/>
      <c r="P856"/>
      <c r="Q856"/>
      <c r="R856"/>
      <c r="S856"/>
    </row>
    <row r="857" spans="1:19" ht="14.25" customHeight="1">
      <c r="A857" s="171" t="s">
        <v>3553</v>
      </c>
      <c r="B857" s="169">
        <f>24.9/3</f>
        <v>8.2999999999999989</v>
      </c>
      <c r="C857" s="170" t="s">
        <v>3464</v>
      </c>
      <c r="D857" s="187">
        <v>3</v>
      </c>
      <c r="E857" s="7">
        <v>1.8</v>
      </c>
      <c r="F857"/>
      <c r="G857"/>
      <c r="H857"/>
      <c r="I857"/>
      <c r="J857"/>
      <c r="K857"/>
      <c r="L857"/>
      <c r="M857"/>
      <c r="N857"/>
      <c r="O857"/>
      <c r="P857"/>
      <c r="Q857"/>
      <c r="R857"/>
      <c r="S857"/>
    </row>
    <row r="858" spans="1:19" ht="14.25" customHeight="1">
      <c r="A858" s="171" t="s">
        <v>3570</v>
      </c>
      <c r="B858" s="169">
        <v>36.299999999999997</v>
      </c>
      <c r="C858" s="170" t="s">
        <v>3877</v>
      </c>
      <c r="D858" s="187">
        <v>3</v>
      </c>
      <c r="E858" s="7">
        <v>0.9</v>
      </c>
      <c r="F858"/>
      <c r="G858"/>
      <c r="H858"/>
      <c r="I858"/>
      <c r="J858"/>
      <c r="K858"/>
      <c r="L858"/>
      <c r="M858"/>
      <c r="N858"/>
      <c r="O858"/>
      <c r="P858"/>
      <c r="Q858"/>
      <c r="R858"/>
      <c r="S858"/>
    </row>
    <row r="859" spans="1:19" ht="14.25" customHeight="1">
      <c r="A859" s="171" t="s">
        <v>3571</v>
      </c>
      <c r="B859" s="169">
        <f>66.7/5</f>
        <v>13.34</v>
      </c>
      <c r="C859" s="170" t="s">
        <v>3928</v>
      </c>
      <c r="D859" s="187">
        <v>5</v>
      </c>
      <c r="E859" s="7">
        <v>2</v>
      </c>
      <c r="F859"/>
      <c r="G859"/>
      <c r="H859"/>
      <c r="I859"/>
      <c r="J859"/>
      <c r="K859"/>
      <c r="L859"/>
      <c r="M859"/>
      <c r="N859"/>
      <c r="O859"/>
      <c r="P859"/>
      <c r="Q859"/>
      <c r="R859"/>
      <c r="S859"/>
    </row>
    <row r="860" spans="1:19" ht="14.25" customHeight="1">
      <c r="A860" s="171" t="s">
        <v>3572</v>
      </c>
      <c r="B860" s="169">
        <f>53.6/3</f>
        <v>17.866666666666667</v>
      </c>
      <c r="C860" s="170" t="s">
        <v>3927</v>
      </c>
      <c r="D860" s="187">
        <v>3</v>
      </c>
      <c r="E860" s="7">
        <v>2.2000000000000002</v>
      </c>
      <c r="F860"/>
      <c r="G860"/>
      <c r="H860"/>
      <c r="I860"/>
      <c r="J860"/>
      <c r="K860"/>
      <c r="L860"/>
      <c r="M860"/>
      <c r="N860"/>
      <c r="O860"/>
      <c r="P860"/>
      <c r="Q860"/>
      <c r="R860"/>
      <c r="S860"/>
    </row>
    <row r="861" spans="1:19" ht="14.25" customHeight="1">
      <c r="A861" s="171" t="s">
        <v>3573</v>
      </c>
      <c r="B861" s="169">
        <v>37.200000000000003</v>
      </c>
      <c r="C861" s="170" t="s">
        <v>3878</v>
      </c>
      <c r="D861" s="187">
        <v>3</v>
      </c>
      <c r="E861" s="7">
        <v>1.98</v>
      </c>
      <c r="F861"/>
      <c r="G861"/>
      <c r="H861"/>
      <c r="I861"/>
      <c r="J861"/>
      <c r="K861"/>
      <c r="L861"/>
      <c r="M861"/>
      <c r="N861"/>
      <c r="O861"/>
      <c r="P861"/>
      <c r="Q861"/>
      <c r="R861"/>
      <c r="S861"/>
    </row>
    <row r="862" spans="1:19" ht="14.25" customHeight="1">
      <c r="A862" s="171" t="s">
        <v>3535</v>
      </c>
      <c r="B862" s="169">
        <f>6.7/3</f>
        <v>2.2333333333333334</v>
      </c>
      <c r="C862" s="173" t="s">
        <v>3943</v>
      </c>
      <c r="D862" s="187">
        <v>3</v>
      </c>
      <c r="E862" s="7">
        <v>1.4</v>
      </c>
      <c r="F862"/>
      <c r="G862"/>
      <c r="H862"/>
      <c r="I862"/>
      <c r="J862"/>
      <c r="K862"/>
      <c r="L862"/>
      <c r="M862"/>
      <c r="N862"/>
      <c r="O862"/>
      <c r="P862"/>
      <c r="Q862"/>
      <c r="R862"/>
      <c r="S862"/>
    </row>
    <row r="863" spans="1:19" ht="14.25" customHeight="1">
      <c r="A863" s="171" t="s">
        <v>3536</v>
      </c>
      <c r="B863" s="169">
        <f>6.7/3</f>
        <v>2.2333333333333334</v>
      </c>
      <c r="C863" s="173" t="s">
        <v>3944</v>
      </c>
      <c r="D863" s="187">
        <v>3</v>
      </c>
      <c r="E863" s="7">
        <v>1.4</v>
      </c>
      <c r="F863"/>
      <c r="G863"/>
      <c r="H863"/>
      <c r="I863"/>
      <c r="J863"/>
      <c r="K863"/>
      <c r="L863"/>
      <c r="M863"/>
      <c r="N863"/>
      <c r="O863"/>
      <c r="P863"/>
      <c r="Q863"/>
      <c r="R863"/>
      <c r="S863"/>
    </row>
    <row r="864" spans="1:19" ht="14.25" customHeight="1">
      <c r="A864" s="171" t="s">
        <v>3537</v>
      </c>
      <c r="B864" s="169">
        <f>21.6/3</f>
        <v>7.2</v>
      </c>
      <c r="C864" s="173" t="s">
        <v>3945</v>
      </c>
      <c r="D864" s="187">
        <v>3</v>
      </c>
      <c r="E864" s="7">
        <v>0.7</v>
      </c>
      <c r="F864"/>
      <c r="G864"/>
      <c r="H864"/>
      <c r="I864"/>
      <c r="J864"/>
      <c r="K864"/>
      <c r="L864"/>
      <c r="M864"/>
      <c r="N864"/>
      <c r="O864"/>
      <c r="P864"/>
      <c r="Q864"/>
      <c r="R864"/>
      <c r="S864"/>
    </row>
    <row r="865" spans="1:19" ht="14.25" customHeight="1">
      <c r="A865" s="171" t="s">
        <v>3538</v>
      </c>
      <c r="B865" s="169">
        <f>21.6/3</f>
        <v>7.2</v>
      </c>
      <c r="C865" s="173" t="s">
        <v>3946</v>
      </c>
      <c r="D865" s="187">
        <v>3</v>
      </c>
      <c r="E865" s="7">
        <v>0.7</v>
      </c>
      <c r="F865"/>
      <c r="G865"/>
      <c r="H865"/>
      <c r="I865"/>
      <c r="J865"/>
      <c r="K865"/>
      <c r="L865"/>
      <c r="M865"/>
      <c r="N865"/>
      <c r="O865"/>
      <c r="P865"/>
      <c r="Q865"/>
      <c r="R865"/>
      <c r="S865"/>
    </row>
    <row r="866" spans="1:19" ht="14.25" customHeight="1">
      <c r="A866" s="171" t="s">
        <v>3539</v>
      </c>
      <c r="B866" s="169">
        <f>18.6/3</f>
        <v>6.2</v>
      </c>
      <c r="C866" s="170" t="s">
        <v>3947</v>
      </c>
      <c r="D866" s="187">
        <v>3</v>
      </c>
      <c r="E866" s="7">
        <v>0.3</v>
      </c>
      <c r="F866"/>
      <c r="G866"/>
      <c r="H866"/>
      <c r="I866"/>
      <c r="J866"/>
      <c r="K866"/>
      <c r="L866"/>
      <c r="M866"/>
      <c r="N866"/>
      <c r="O866"/>
      <c r="P866"/>
      <c r="Q866"/>
      <c r="R866"/>
      <c r="S866"/>
    </row>
    <row r="867" spans="1:19" ht="14.25" customHeight="1">
      <c r="A867" s="171" t="s">
        <v>3540</v>
      </c>
      <c r="B867" s="169">
        <v>5.4</v>
      </c>
      <c r="C867" s="170" t="s">
        <v>3948</v>
      </c>
      <c r="D867" s="187">
        <v>3</v>
      </c>
      <c r="E867" s="7">
        <v>0.21</v>
      </c>
      <c r="F867"/>
      <c r="G867"/>
      <c r="H867"/>
      <c r="I867"/>
      <c r="J867"/>
      <c r="K867"/>
      <c r="L867"/>
      <c r="M867"/>
      <c r="N867"/>
      <c r="O867"/>
      <c r="P867"/>
      <c r="Q867"/>
      <c r="R867"/>
      <c r="S867"/>
    </row>
    <row r="868" spans="1:19" ht="14.25" customHeight="1">
      <c r="A868" s="171" t="s">
        <v>3541</v>
      </c>
      <c r="B868" s="169">
        <v>16.2</v>
      </c>
      <c r="C868" s="173" t="s">
        <v>3949</v>
      </c>
      <c r="D868" s="187">
        <v>3</v>
      </c>
      <c r="E868" s="7">
        <v>3</v>
      </c>
      <c r="F868"/>
      <c r="G868"/>
      <c r="H868"/>
      <c r="I868"/>
      <c r="J868"/>
      <c r="K868"/>
      <c r="L868"/>
      <c r="M868"/>
      <c r="N868"/>
      <c r="O868"/>
      <c r="P868"/>
      <c r="Q868"/>
      <c r="R868"/>
      <c r="S868"/>
    </row>
    <row r="869" spans="1:19" ht="14.25" customHeight="1">
      <c r="A869" s="171" t="s">
        <v>3542</v>
      </c>
      <c r="B869" s="169">
        <v>16.2</v>
      </c>
      <c r="C869" s="173" t="s">
        <v>3950</v>
      </c>
      <c r="D869" s="187">
        <v>3</v>
      </c>
      <c r="E869" s="7">
        <v>3</v>
      </c>
      <c r="F869"/>
      <c r="G869"/>
      <c r="H869"/>
      <c r="I869"/>
      <c r="J869"/>
      <c r="K869"/>
      <c r="L869"/>
      <c r="M869"/>
      <c r="N869"/>
      <c r="O869"/>
      <c r="P869"/>
      <c r="Q869"/>
      <c r="R869"/>
      <c r="S869"/>
    </row>
    <row r="870" spans="1:19" ht="14.25" customHeight="1">
      <c r="A870" s="171" t="s">
        <v>3543</v>
      </c>
      <c r="B870" s="169">
        <v>11.1</v>
      </c>
      <c r="C870" s="173" t="s">
        <v>3952</v>
      </c>
      <c r="D870" s="187">
        <v>3</v>
      </c>
      <c r="E870" s="7">
        <v>1.5</v>
      </c>
      <c r="F870"/>
      <c r="G870"/>
      <c r="H870"/>
      <c r="I870"/>
      <c r="J870"/>
      <c r="K870"/>
      <c r="L870"/>
      <c r="M870"/>
      <c r="N870"/>
      <c r="O870"/>
      <c r="P870"/>
      <c r="Q870"/>
      <c r="R870"/>
      <c r="S870"/>
    </row>
    <row r="871" spans="1:19" ht="14.25" customHeight="1">
      <c r="A871" s="171" t="s">
        <v>3544</v>
      </c>
      <c r="B871" s="169">
        <v>11</v>
      </c>
      <c r="C871" s="173" t="s">
        <v>3953</v>
      </c>
      <c r="D871" s="187">
        <v>3</v>
      </c>
      <c r="E871" s="7">
        <v>1.5</v>
      </c>
      <c r="F871"/>
      <c r="G871"/>
      <c r="H871"/>
      <c r="I871"/>
      <c r="J871"/>
      <c r="K871"/>
      <c r="L871"/>
      <c r="M871"/>
      <c r="N871"/>
      <c r="O871"/>
      <c r="P871"/>
      <c r="Q871"/>
      <c r="R871"/>
      <c r="S871"/>
    </row>
    <row r="872" spans="1:19" s="4" customFormat="1" ht="14.25" customHeight="1">
      <c r="A872" s="171" t="s">
        <v>3545</v>
      </c>
      <c r="B872" s="169">
        <v>10.199999999999999</v>
      </c>
      <c r="C872" s="173" t="s">
        <v>3954</v>
      </c>
      <c r="D872" s="187">
        <v>3</v>
      </c>
      <c r="E872" s="7">
        <v>3.3</v>
      </c>
      <c r="F872"/>
      <c r="G872"/>
      <c r="H872"/>
      <c r="I872"/>
      <c r="J872"/>
      <c r="K872"/>
      <c r="L872"/>
      <c r="M872"/>
      <c r="N872"/>
      <c r="O872"/>
      <c r="P872"/>
      <c r="Q872"/>
      <c r="R872"/>
      <c r="S872"/>
    </row>
    <row r="873" spans="1:19" ht="14.25" customHeight="1">
      <c r="A873" s="171" t="s">
        <v>3546</v>
      </c>
      <c r="B873" s="169">
        <v>10.199999999999999</v>
      </c>
      <c r="C873" s="173" t="s">
        <v>3955</v>
      </c>
      <c r="D873" s="187">
        <v>3</v>
      </c>
      <c r="E873" s="7">
        <v>3.3</v>
      </c>
      <c r="F873"/>
      <c r="G873"/>
      <c r="H873"/>
      <c r="I873"/>
      <c r="J873"/>
      <c r="K873"/>
      <c r="L873"/>
      <c r="M873"/>
      <c r="N873"/>
      <c r="O873"/>
      <c r="P873"/>
      <c r="Q873"/>
      <c r="R873"/>
      <c r="S873"/>
    </row>
    <row r="874" spans="1:19" ht="14.25" customHeight="1">
      <c r="A874" s="171" t="s">
        <v>3547</v>
      </c>
      <c r="B874" s="169">
        <v>12.8</v>
      </c>
      <c r="C874" s="173" t="s">
        <v>3973</v>
      </c>
      <c r="D874" s="187">
        <v>3</v>
      </c>
      <c r="E874" s="7">
        <v>3.2</v>
      </c>
      <c r="F874"/>
      <c r="G874"/>
      <c r="H874"/>
      <c r="I874"/>
      <c r="J874"/>
      <c r="K874"/>
      <c r="L874"/>
      <c r="M874"/>
      <c r="N874"/>
      <c r="O874"/>
      <c r="P874"/>
      <c r="Q874"/>
      <c r="R874"/>
      <c r="S874"/>
    </row>
    <row r="875" spans="1:19" ht="14.25" customHeight="1">
      <c r="A875" s="171" t="s">
        <v>3548</v>
      </c>
      <c r="B875" s="169">
        <v>12.6</v>
      </c>
      <c r="C875" s="173" t="s">
        <v>3974</v>
      </c>
      <c r="D875" s="187">
        <v>3</v>
      </c>
      <c r="E875" s="7">
        <v>3.2</v>
      </c>
      <c r="F875"/>
      <c r="G875"/>
      <c r="H875"/>
      <c r="I875"/>
      <c r="J875"/>
      <c r="K875"/>
      <c r="L875"/>
      <c r="M875"/>
      <c r="N875"/>
      <c r="O875"/>
      <c r="P875"/>
      <c r="Q875"/>
      <c r="R875"/>
      <c r="S875"/>
    </row>
    <row r="876" spans="1:19" ht="14.25" customHeight="1">
      <c r="A876" s="171" t="s">
        <v>3549</v>
      </c>
      <c r="B876" s="169">
        <v>7</v>
      </c>
      <c r="C876" s="173" t="s">
        <v>3957</v>
      </c>
      <c r="D876" s="187">
        <v>3</v>
      </c>
      <c r="E876" s="7">
        <v>3</v>
      </c>
      <c r="F876"/>
      <c r="G876"/>
      <c r="H876"/>
      <c r="I876"/>
      <c r="J876"/>
      <c r="K876"/>
      <c r="L876"/>
      <c r="M876"/>
      <c r="N876"/>
      <c r="O876"/>
      <c r="P876"/>
      <c r="Q876"/>
      <c r="R876"/>
      <c r="S876"/>
    </row>
    <row r="877" spans="1:19" ht="14.25" customHeight="1">
      <c r="A877" s="171" t="s">
        <v>3550</v>
      </c>
      <c r="B877" s="169">
        <v>6.6</v>
      </c>
      <c r="C877" s="173" t="s">
        <v>3958</v>
      </c>
      <c r="D877" s="187">
        <v>3</v>
      </c>
      <c r="E877" s="7">
        <v>3</v>
      </c>
      <c r="F877"/>
      <c r="G877"/>
      <c r="H877"/>
      <c r="I877"/>
      <c r="J877"/>
      <c r="K877"/>
      <c r="L877"/>
      <c r="M877"/>
      <c r="N877"/>
      <c r="O877"/>
      <c r="P877"/>
      <c r="Q877"/>
      <c r="R877"/>
      <c r="S877"/>
    </row>
    <row r="878" spans="1:19" ht="14.25" customHeight="1">
      <c r="A878" s="171" t="s">
        <v>3959</v>
      </c>
      <c r="B878" s="169">
        <v>6.7</v>
      </c>
      <c r="C878" s="173" t="s">
        <v>3967</v>
      </c>
      <c r="D878" s="187">
        <v>3</v>
      </c>
      <c r="E878" s="7">
        <v>2.2000000000000002</v>
      </c>
      <c r="F878"/>
      <c r="G878"/>
      <c r="H878"/>
      <c r="I878"/>
      <c r="J878"/>
      <c r="K878"/>
      <c r="L878"/>
      <c r="M878"/>
      <c r="N878"/>
      <c r="O878"/>
      <c r="P878"/>
      <c r="Q878"/>
      <c r="R878"/>
      <c r="S878"/>
    </row>
    <row r="879" spans="1:19" ht="14.25" customHeight="1">
      <c r="A879" s="171" t="s">
        <v>3960</v>
      </c>
      <c r="B879" s="169">
        <v>6.6</v>
      </c>
      <c r="C879" s="173" t="s">
        <v>3968</v>
      </c>
      <c r="D879" s="187">
        <v>3</v>
      </c>
      <c r="E879" s="7">
        <v>2.2000000000000002</v>
      </c>
      <c r="F879"/>
      <c r="G879"/>
      <c r="H879"/>
      <c r="I879"/>
      <c r="J879"/>
      <c r="K879"/>
      <c r="L879"/>
      <c r="M879"/>
      <c r="N879"/>
      <c r="O879"/>
      <c r="P879"/>
      <c r="Q879"/>
      <c r="R879"/>
      <c r="S879"/>
    </row>
    <row r="880" spans="1:19" ht="14.25" customHeight="1">
      <c r="A880" s="171" t="s">
        <v>3962</v>
      </c>
      <c r="B880" s="169">
        <v>8.8000000000000007</v>
      </c>
      <c r="C880" s="173" t="s">
        <v>3969</v>
      </c>
      <c r="D880" s="187">
        <v>3</v>
      </c>
      <c r="E880" s="7">
        <v>3.2</v>
      </c>
      <c r="F880"/>
      <c r="G880"/>
      <c r="H880"/>
      <c r="I880"/>
      <c r="J880"/>
      <c r="K880"/>
      <c r="L880"/>
      <c r="M880"/>
      <c r="N880"/>
      <c r="O880"/>
      <c r="P880"/>
      <c r="Q880"/>
      <c r="R880"/>
      <c r="S880"/>
    </row>
    <row r="881" spans="1:19" ht="14.25" customHeight="1">
      <c r="A881" s="171" t="s">
        <v>3963</v>
      </c>
      <c r="B881" s="169">
        <v>8.8000000000000007</v>
      </c>
      <c r="C881" s="173" t="s">
        <v>3970</v>
      </c>
      <c r="D881" s="187">
        <v>3</v>
      </c>
      <c r="E881" s="7">
        <v>3.2</v>
      </c>
      <c r="F881"/>
      <c r="G881"/>
      <c r="H881"/>
      <c r="I881"/>
      <c r="J881"/>
      <c r="K881"/>
      <c r="L881"/>
      <c r="M881"/>
      <c r="N881"/>
      <c r="O881"/>
      <c r="P881"/>
      <c r="Q881"/>
      <c r="R881"/>
      <c r="S881"/>
    </row>
    <row r="882" spans="1:19" ht="14.25" customHeight="1">
      <c r="A882" s="171" t="s">
        <v>3964</v>
      </c>
      <c r="B882" s="169">
        <v>11.2</v>
      </c>
      <c r="C882" s="173" t="s">
        <v>3971</v>
      </c>
      <c r="D882" s="187">
        <v>3</v>
      </c>
      <c r="E882" s="7">
        <v>1.3</v>
      </c>
      <c r="F882"/>
      <c r="G882"/>
      <c r="H882"/>
      <c r="I882"/>
      <c r="J882"/>
      <c r="K882"/>
      <c r="L882"/>
      <c r="M882"/>
      <c r="N882"/>
      <c r="O882"/>
      <c r="P882"/>
      <c r="Q882"/>
      <c r="R882"/>
      <c r="S882"/>
    </row>
    <row r="883" spans="1:19" ht="14.25" customHeight="1">
      <c r="A883" s="171" t="s">
        <v>3965</v>
      </c>
      <c r="B883" s="169">
        <v>11.1</v>
      </c>
      <c r="C883" s="173" t="s">
        <v>3972</v>
      </c>
      <c r="D883" s="187">
        <v>3</v>
      </c>
      <c r="E883" s="7">
        <v>1.3</v>
      </c>
      <c r="F883"/>
      <c r="G883"/>
      <c r="H883"/>
      <c r="I883"/>
      <c r="J883"/>
      <c r="K883"/>
      <c r="L883"/>
      <c r="M883"/>
      <c r="N883"/>
      <c r="O883"/>
      <c r="P883"/>
      <c r="Q883"/>
      <c r="R883"/>
      <c r="S883"/>
    </row>
    <row r="884" spans="1:19" ht="14.25" customHeight="1">
      <c r="A884" s="171" t="s">
        <v>3977</v>
      </c>
      <c r="B884" s="169">
        <v>7.7</v>
      </c>
      <c r="C884" s="173" t="s">
        <v>3975</v>
      </c>
      <c r="D884" s="187">
        <v>3</v>
      </c>
      <c r="E884" s="7">
        <v>0.65</v>
      </c>
      <c r="F884"/>
      <c r="G884"/>
      <c r="H884"/>
      <c r="I884"/>
      <c r="J884"/>
      <c r="K884"/>
      <c r="L884"/>
      <c r="M884"/>
      <c r="N884"/>
      <c r="O884"/>
      <c r="P884"/>
      <c r="Q884"/>
      <c r="R884"/>
      <c r="S884"/>
    </row>
    <row r="885" spans="1:19" ht="14.25" customHeight="1">
      <c r="A885" s="171" t="s">
        <v>3978</v>
      </c>
      <c r="B885" s="169">
        <v>7.5</v>
      </c>
      <c r="C885" s="173" t="s">
        <v>3976</v>
      </c>
      <c r="D885" s="187">
        <v>3</v>
      </c>
      <c r="E885" s="7">
        <v>0.65</v>
      </c>
      <c r="F885"/>
      <c r="G885"/>
      <c r="H885"/>
      <c r="I885"/>
      <c r="J885"/>
      <c r="K885"/>
      <c r="L885"/>
      <c r="M885"/>
      <c r="N885"/>
      <c r="O885"/>
      <c r="P885"/>
      <c r="Q885"/>
      <c r="R885"/>
      <c r="S885"/>
    </row>
    <row r="886" spans="1:19" ht="14.25" customHeight="1">
      <c r="A886" s="171" t="s">
        <v>3979</v>
      </c>
      <c r="B886" s="169">
        <v>12.8</v>
      </c>
      <c r="C886" s="170" t="s">
        <v>3982</v>
      </c>
      <c r="D886" s="187">
        <v>3</v>
      </c>
      <c r="E886" s="7">
        <v>0.45</v>
      </c>
      <c r="F886"/>
      <c r="G886"/>
      <c r="H886"/>
      <c r="I886"/>
      <c r="J886"/>
      <c r="K886"/>
      <c r="L886"/>
      <c r="M886"/>
      <c r="N886"/>
      <c r="O886"/>
      <c r="P886"/>
      <c r="Q886"/>
      <c r="R886"/>
      <c r="S886"/>
    </row>
    <row r="887" spans="1:19" ht="14.25" customHeight="1">
      <c r="A887" s="171" t="s">
        <v>3980</v>
      </c>
      <c r="B887" s="169">
        <v>14.2</v>
      </c>
      <c r="C887" s="170" t="s">
        <v>3983</v>
      </c>
      <c r="D887" s="187">
        <v>3</v>
      </c>
      <c r="E887" s="7">
        <v>0.36</v>
      </c>
      <c r="F887"/>
      <c r="G887"/>
      <c r="H887"/>
      <c r="I887"/>
      <c r="J887"/>
      <c r="K887"/>
      <c r="L887"/>
      <c r="M887"/>
      <c r="N887"/>
      <c r="O887"/>
      <c r="P887"/>
      <c r="Q887"/>
      <c r="R887"/>
      <c r="S887"/>
    </row>
    <row r="888" spans="1:19" ht="14.25" customHeight="1">
      <c r="A888" s="171" t="s">
        <v>3981</v>
      </c>
      <c r="B888" s="169">
        <v>9.3000000000000007</v>
      </c>
      <c r="C888" s="170" t="s">
        <v>3984</v>
      </c>
      <c r="D888" s="187">
        <v>3</v>
      </c>
      <c r="E888" s="7">
        <v>0.23</v>
      </c>
      <c r="F888"/>
      <c r="G888"/>
      <c r="H888"/>
      <c r="I888"/>
      <c r="J888"/>
      <c r="K888"/>
      <c r="L888"/>
      <c r="M888"/>
      <c r="N888"/>
      <c r="O888"/>
      <c r="P888"/>
      <c r="Q888"/>
      <c r="R888"/>
      <c r="S888"/>
    </row>
    <row r="889" spans="1:19" ht="14.25" customHeight="1">
      <c r="A889" s="171" t="s">
        <v>3562</v>
      </c>
      <c r="B889" s="169">
        <f>24.5/3</f>
        <v>8.1666666666666661</v>
      </c>
      <c r="C889" s="170" t="s">
        <v>3939</v>
      </c>
      <c r="D889" s="187">
        <v>3</v>
      </c>
      <c r="E889" s="7">
        <v>0.55000000000000004</v>
      </c>
      <c r="F889"/>
      <c r="G889"/>
      <c r="H889"/>
      <c r="I889"/>
      <c r="J889"/>
      <c r="K889"/>
      <c r="L889"/>
      <c r="M889"/>
      <c r="N889"/>
      <c r="O889"/>
      <c r="P889"/>
      <c r="Q889"/>
      <c r="R889"/>
      <c r="S889"/>
    </row>
    <row r="890" spans="1:19" ht="14.25" customHeight="1">
      <c r="A890" s="171" t="s">
        <v>3563</v>
      </c>
      <c r="B890" s="169">
        <f>35.9/3</f>
        <v>11.966666666666667</v>
      </c>
      <c r="C890" s="170" t="s">
        <v>3873</v>
      </c>
      <c r="D890" s="187">
        <v>3</v>
      </c>
      <c r="E890" s="7">
        <v>0.8</v>
      </c>
      <c r="F890"/>
      <c r="G890"/>
      <c r="H890"/>
      <c r="I890"/>
      <c r="J890"/>
      <c r="K890"/>
      <c r="L890"/>
      <c r="M890"/>
      <c r="N890"/>
      <c r="O890"/>
      <c r="P890"/>
      <c r="Q890"/>
      <c r="R890"/>
      <c r="S890"/>
    </row>
    <row r="891" spans="1:19" ht="14.25" customHeight="1">
      <c r="A891" s="171" t="s">
        <v>3564</v>
      </c>
      <c r="B891" s="169">
        <f>49.3/3</f>
        <v>16.433333333333334</v>
      </c>
      <c r="C891" s="170" t="s">
        <v>3874</v>
      </c>
      <c r="D891" s="187">
        <v>3</v>
      </c>
      <c r="E891" s="7">
        <v>1.6</v>
      </c>
      <c r="F891"/>
      <c r="G891"/>
      <c r="H891"/>
      <c r="I891"/>
      <c r="J891"/>
      <c r="K891"/>
      <c r="L891"/>
      <c r="M891"/>
      <c r="N891"/>
      <c r="O891"/>
      <c r="P891"/>
      <c r="Q891"/>
      <c r="R891"/>
      <c r="S891"/>
    </row>
    <row r="892" spans="1:19" ht="14.25" customHeight="1">
      <c r="A892" s="171" t="s">
        <v>3565</v>
      </c>
      <c r="B892" s="169">
        <v>67.900000000000006</v>
      </c>
      <c r="C892" s="170" t="s">
        <v>3872</v>
      </c>
      <c r="D892" s="187">
        <v>3</v>
      </c>
      <c r="E892" s="7">
        <v>1.1000000000000001</v>
      </c>
      <c r="F892"/>
      <c r="G892"/>
      <c r="H892"/>
      <c r="I892"/>
      <c r="J892"/>
      <c r="K892"/>
      <c r="L892"/>
      <c r="M892"/>
      <c r="N892"/>
      <c r="O892"/>
      <c r="P892"/>
      <c r="Q892"/>
      <c r="R892"/>
      <c r="S892"/>
    </row>
    <row r="893" spans="1:19" ht="14.25" customHeight="1">
      <c r="A893" s="171" t="s">
        <v>3576</v>
      </c>
      <c r="B893" s="169">
        <f>30.7/5</f>
        <v>6.14</v>
      </c>
      <c r="C893" s="170" t="s">
        <v>3468</v>
      </c>
      <c r="D893" s="187">
        <v>5</v>
      </c>
      <c r="E893" s="7">
        <v>0.8</v>
      </c>
      <c r="F893"/>
      <c r="G893"/>
      <c r="H893"/>
      <c r="I893"/>
      <c r="J893"/>
      <c r="K893"/>
      <c r="L893"/>
      <c r="M893"/>
      <c r="N893"/>
      <c r="O893"/>
      <c r="P893"/>
      <c r="Q893"/>
      <c r="R893"/>
      <c r="S893"/>
    </row>
    <row r="894" spans="1:19" ht="14.25" customHeight="1">
      <c r="A894" s="171" t="s">
        <v>3577</v>
      </c>
      <c r="B894" s="169">
        <f>31.3/5</f>
        <v>6.26</v>
      </c>
      <c r="C894" s="170" t="s">
        <v>3469</v>
      </c>
      <c r="D894" s="187">
        <v>5</v>
      </c>
      <c r="E894" s="7">
        <v>0.45</v>
      </c>
      <c r="F894"/>
      <c r="G894"/>
      <c r="H894"/>
      <c r="I894"/>
      <c r="J894"/>
      <c r="K894"/>
      <c r="L894"/>
      <c r="M894"/>
      <c r="N894"/>
      <c r="O894"/>
      <c r="P894"/>
      <c r="Q894"/>
      <c r="R894"/>
      <c r="S894"/>
    </row>
    <row r="895" spans="1:19" ht="14.25" customHeight="1">
      <c r="A895" s="171" t="s">
        <v>3578</v>
      </c>
      <c r="B895" s="169">
        <v>50.1</v>
      </c>
      <c r="C895" s="170" t="s">
        <v>3871</v>
      </c>
      <c r="D895" s="187">
        <v>3</v>
      </c>
      <c r="E895" s="7">
        <v>1.1000000000000001</v>
      </c>
      <c r="F895"/>
      <c r="G895"/>
      <c r="H895"/>
      <c r="I895"/>
      <c r="J895"/>
      <c r="K895"/>
      <c r="L895"/>
      <c r="M895"/>
      <c r="N895"/>
      <c r="O895"/>
      <c r="P895"/>
      <c r="Q895"/>
      <c r="R895"/>
      <c r="S895"/>
    </row>
    <row r="896" spans="1:19" ht="14.25" customHeight="1">
      <c r="A896" s="171" t="s">
        <v>3579</v>
      </c>
      <c r="B896" s="169">
        <f>38.1/5</f>
        <v>7.62</v>
      </c>
      <c r="C896" s="170" t="s">
        <v>3477</v>
      </c>
      <c r="D896" s="187">
        <v>5</v>
      </c>
      <c r="E896" s="7">
        <v>0.5</v>
      </c>
      <c r="F896"/>
      <c r="G896"/>
      <c r="H896"/>
      <c r="I896"/>
      <c r="J896"/>
      <c r="K896"/>
      <c r="L896"/>
      <c r="M896"/>
      <c r="N896"/>
      <c r="O896"/>
      <c r="P896"/>
      <c r="Q896"/>
      <c r="R896"/>
      <c r="S896"/>
    </row>
    <row r="897" spans="1:19" ht="14.25" customHeight="1">
      <c r="A897" s="171" t="s">
        <v>3580</v>
      </c>
      <c r="B897" s="169">
        <f>37.4/5</f>
        <v>7.4799999999999995</v>
      </c>
      <c r="C897" s="170" t="s">
        <v>3438</v>
      </c>
      <c r="D897" s="187">
        <v>5</v>
      </c>
      <c r="E897" s="7">
        <v>0.85</v>
      </c>
      <c r="F897"/>
      <c r="G897"/>
      <c r="H897"/>
      <c r="I897"/>
      <c r="J897"/>
      <c r="K897"/>
      <c r="L897"/>
      <c r="M897"/>
      <c r="N897"/>
      <c r="O897"/>
      <c r="P897"/>
      <c r="Q897"/>
      <c r="R897"/>
      <c r="S897"/>
    </row>
    <row r="898" spans="1:19" ht="14.25" customHeight="1">
      <c r="A898" s="171" t="s">
        <v>3581</v>
      </c>
      <c r="B898" s="169">
        <f>34.8/5</f>
        <v>6.9599999999999991</v>
      </c>
      <c r="C898" s="170" t="s">
        <v>3437</v>
      </c>
      <c r="D898" s="187">
        <v>5</v>
      </c>
      <c r="E898" s="7">
        <v>0.46</v>
      </c>
      <c r="F898"/>
      <c r="G898"/>
      <c r="H898"/>
      <c r="I898"/>
      <c r="J898"/>
      <c r="K898"/>
      <c r="L898"/>
      <c r="M898"/>
      <c r="N898"/>
      <c r="O898"/>
      <c r="P898"/>
      <c r="Q898"/>
      <c r="R898"/>
      <c r="S898"/>
    </row>
    <row r="899" spans="1:19" ht="14.25" customHeight="1">
      <c r="A899" s="171" t="s">
        <v>3582</v>
      </c>
      <c r="B899" s="169">
        <f>52.2/10</f>
        <v>5.2200000000000006</v>
      </c>
      <c r="C899" s="173" t="s">
        <v>3415</v>
      </c>
      <c r="D899" s="187">
        <v>10</v>
      </c>
      <c r="E899" s="7">
        <v>0.33</v>
      </c>
      <c r="F899"/>
      <c r="G899"/>
      <c r="H899"/>
      <c r="I899"/>
      <c r="J899"/>
      <c r="K899"/>
      <c r="L899"/>
      <c r="M899"/>
      <c r="N899"/>
      <c r="O899"/>
      <c r="P899"/>
      <c r="Q899"/>
      <c r="R899"/>
      <c r="S899"/>
    </row>
    <row r="900" spans="1:19" ht="14.25" customHeight="1">
      <c r="A900" s="171" t="s">
        <v>3583</v>
      </c>
      <c r="B900" s="169">
        <f>31.2/5</f>
        <v>6.24</v>
      </c>
      <c r="C900" s="170" t="s">
        <v>3414</v>
      </c>
      <c r="D900" s="187">
        <v>5</v>
      </c>
      <c r="E900" s="7">
        <v>1</v>
      </c>
      <c r="F900"/>
      <c r="G900"/>
      <c r="H900"/>
      <c r="I900"/>
      <c r="J900"/>
      <c r="K900"/>
      <c r="L900"/>
      <c r="M900"/>
      <c r="N900"/>
      <c r="O900"/>
      <c r="P900"/>
      <c r="Q900"/>
      <c r="R900"/>
      <c r="S900"/>
    </row>
    <row r="901" spans="1:19" ht="14.25" customHeight="1">
      <c r="A901" s="171" t="s">
        <v>3584</v>
      </c>
      <c r="B901" s="169">
        <f>29.1/5</f>
        <v>5.82</v>
      </c>
      <c r="C901" s="170" t="s">
        <v>3406</v>
      </c>
      <c r="D901" s="187">
        <v>5</v>
      </c>
      <c r="E901" s="7">
        <v>0.75</v>
      </c>
      <c r="F901"/>
      <c r="G901"/>
      <c r="H901"/>
      <c r="I901"/>
      <c r="J901"/>
      <c r="K901"/>
      <c r="L901"/>
      <c r="M901"/>
      <c r="N901"/>
      <c r="O901"/>
      <c r="P901"/>
      <c r="Q901"/>
      <c r="R901"/>
      <c r="S901"/>
    </row>
    <row r="902" spans="1:19" ht="14.25" customHeight="1">
      <c r="A902" s="175" t="s">
        <v>3985</v>
      </c>
      <c r="B902" s="169">
        <f>157.3/5</f>
        <v>31.46</v>
      </c>
      <c r="C902" s="177" t="s">
        <v>3987</v>
      </c>
      <c r="D902" s="187">
        <v>5</v>
      </c>
      <c r="E902" s="7">
        <v>2.1</v>
      </c>
      <c r="F902"/>
      <c r="G902"/>
      <c r="H902"/>
      <c r="I902"/>
      <c r="J902"/>
      <c r="K902"/>
      <c r="L902"/>
      <c r="M902"/>
      <c r="N902"/>
      <c r="O902"/>
      <c r="P902"/>
      <c r="Q902"/>
      <c r="R902"/>
      <c r="S902"/>
    </row>
    <row r="903" spans="1:19" ht="14.25" customHeight="1">
      <c r="A903" s="175" t="s">
        <v>3988</v>
      </c>
      <c r="B903" s="169">
        <f>91.5/3</f>
        <v>30.5</v>
      </c>
      <c r="C903" s="177" t="s">
        <v>3986</v>
      </c>
      <c r="D903" s="187">
        <v>3</v>
      </c>
      <c r="E903" s="7">
        <v>1.4</v>
      </c>
      <c r="F903"/>
      <c r="G903"/>
      <c r="H903"/>
      <c r="I903"/>
      <c r="J903"/>
      <c r="K903"/>
      <c r="L903"/>
      <c r="M903"/>
      <c r="N903"/>
      <c r="O903"/>
      <c r="P903"/>
      <c r="Q903"/>
      <c r="R903"/>
      <c r="S903"/>
    </row>
    <row r="904" spans="1:19" ht="14.25" customHeight="1">
      <c r="A904" s="175" t="s">
        <v>3990</v>
      </c>
      <c r="B904" s="169">
        <f>172.1/5</f>
        <v>34.42</v>
      </c>
      <c r="C904" s="177" t="s">
        <v>3989</v>
      </c>
      <c r="D904" s="187">
        <v>5</v>
      </c>
      <c r="E904" s="7">
        <v>3.3</v>
      </c>
      <c r="F904"/>
      <c r="G904"/>
      <c r="H904"/>
      <c r="I904"/>
      <c r="J904"/>
      <c r="K904"/>
      <c r="L904"/>
      <c r="M904"/>
      <c r="N904"/>
      <c r="O904"/>
      <c r="P904"/>
      <c r="Q904"/>
      <c r="R904"/>
      <c r="S904"/>
    </row>
    <row r="905" spans="1:19" ht="14.25" customHeight="1">
      <c r="A905" s="175" t="s">
        <v>3992</v>
      </c>
      <c r="B905" s="169">
        <f>157/5</f>
        <v>31.4</v>
      </c>
      <c r="C905" s="177" t="s">
        <v>3991</v>
      </c>
      <c r="D905" s="187">
        <v>5</v>
      </c>
      <c r="E905" s="7">
        <v>2.2000000000000002</v>
      </c>
      <c r="F905"/>
      <c r="G905"/>
      <c r="H905"/>
      <c r="I905"/>
      <c r="J905"/>
      <c r="K905"/>
      <c r="L905"/>
      <c r="M905"/>
      <c r="N905"/>
      <c r="O905"/>
      <c r="P905"/>
      <c r="Q905"/>
      <c r="R905"/>
      <c r="S905"/>
    </row>
    <row r="906" spans="1:19" ht="14.25" customHeight="1">
      <c r="A906" s="175" t="s">
        <v>3994</v>
      </c>
      <c r="B906" s="169">
        <f>92.8/3</f>
        <v>30.933333333333334</v>
      </c>
      <c r="C906" s="177" t="s">
        <v>3993</v>
      </c>
      <c r="D906" s="187">
        <v>3</v>
      </c>
      <c r="E906" s="7">
        <v>1.38</v>
      </c>
      <c r="F906"/>
      <c r="G906"/>
      <c r="H906"/>
      <c r="I906"/>
      <c r="J906"/>
      <c r="K906"/>
      <c r="L906"/>
      <c r="M906"/>
      <c r="N906"/>
      <c r="O906"/>
      <c r="P906"/>
      <c r="Q906"/>
      <c r="R906"/>
      <c r="S906"/>
    </row>
    <row r="907" spans="1:19" ht="14.25" customHeight="1">
      <c r="A907" s="175" t="s">
        <v>3996</v>
      </c>
      <c r="B907" s="169">
        <f>151.8/5</f>
        <v>30.360000000000003</v>
      </c>
      <c r="C907" s="177" t="s">
        <v>3999</v>
      </c>
      <c r="D907" s="187">
        <v>5</v>
      </c>
      <c r="E907" s="7">
        <v>1.5</v>
      </c>
      <c r="F907"/>
      <c r="G907"/>
      <c r="H907"/>
      <c r="I907"/>
      <c r="J907"/>
      <c r="K907"/>
      <c r="L907"/>
      <c r="M907"/>
      <c r="N907"/>
      <c r="O907"/>
      <c r="P907"/>
      <c r="Q907"/>
      <c r="R907"/>
      <c r="S907"/>
    </row>
    <row r="908" spans="1:19" ht="14.25" customHeight="1">
      <c r="A908" s="175" t="s">
        <v>4001</v>
      </c>
      <c r="B908" s="169">
        <f>195.2/6</f>
        <v>32.533333333333331</v>
      </c>
      <c r="C908" s="173" t="s">
        <v>3995</v>
      </c>
      <c r="D908" s="187">
        <v>3</v>
      </c>
      <c r="E908" s="7">
        <v>2.2000000000000002</v>
      </c>
      <c r="F908"/>
      <c r="G908"/>
      <c r="H908"/>
      <c r="I908"/>
      <c r="J908"/>
      <c r="K908"/>
      <c r="L908"/>
      <c r="M908"/>
      <c r="N908"/>
      <c r="O908"/>
      <c r="P908"/>
      <c r="Q908"/>
      <c r="R908"/>
      <c r="S908"/>
    </row>
    <row r="909" spans="1:19" ht="14.25" customHeight="1">
      <c r="A909" s="175" t="s">
        <v>4002</v>
      </c>
      <c r="B909" s="169">
        <f>168.3/5</f>
        <v>33.660000000000004</v>
      </c>
      <c r="C909" s="170" t="s">
        <v>3478</v>
      </c>
      <c r="D909" s="187">
        <v>5</v>
      </c>
      <c r="E909" s="7">
        <v>2.7</v>
      </c>
      <c r="F909"/>
      <c r="G909"/>
      <c r="H909"/>
      <c r="I909"/>
      <c r="J909"/>
      <c r="K909"/>
      <c r="L909"/>
      <c r="M909"/>
      <c r="N909"/>
      <c r="O909"/>
      <c r="P909"/>
      <c r="Q909"/>
      <c r="R909"/>
      <c r="S909"/>
    </row>
    <row r="910" spans="1:19" ht="14.25" customHeight="1">
      <c r="A910" s="171" t="s">
        <v>3515</v>
      </c>
      <c r="B910" s="169">
        <v>8.5</v>
      </c>
      <c r="C910" s="170" t="s">
        <v>3424</v>
      </c>
      <c r="D910" s="187">
        <v>5</v>
      </c>
      <c r="E910" s="7">
        <v>0.75</v>
      </c>
      <c r="F910"/>
      <c r="G910"/>
      <c r="H910"/>
      <c r="I910"/>
      <c r="J910"/>
      <c r="K910"/>
      <c r="L910"/>
      <c r="M910"/>
      <c r="N910"/>
      <c r="O910"/>
      <c r="P910"/>
      <c r="Q910"/>
      <c r="R910"/>
      <c r="S910"/>
    </row>
    <row r="911" spans="1:19" ht="14.25" customHeight="1">
      <c r="A911" s="171" t="s">
        <v>3516</v>
      </c>
      <c r="B911" s="169">
        <v>8.1</v>
      </c>
      <c r="C911" s="170" t="s">
        <v>3411</v>
      </c>
      <c r="D911" s="187">
        <v>5</v>
      </c>
      <c r="E911" s="7">
        <v>0.86</v>
      </c>
      <c r="F911"/>
      <c r="G911"/>
      <c r="H911"/>
      <c r="I911"/>
      <c r="J911"/>
      <c r="K911"/>
      <c r="L911"/>
      <c r="M911"/>
      <c r="N911"/>
      <c r="O911"/>
      <c r="P911"/>
      <c r="Q911"/>
      <c r="R911"/>
      <c r="S911"/>
    </row>
    <row r="912" spans="1:19" ht="14.25" customHeight="1">
      <c r="A912" s="171" t="s">
        <v>3517</v>
      </c>
      <c r="B912" s="169">
        <v>24.2</v>
      </c>
      <c r="C912" s="170" t="s">
        <v>3472</v>
      </c>
      <c r="D912" s="187">
        <v>3</v>
      </c>
      <c r="E912" s="7">
        <v>0.88</v>
      </c>
      <c r="F912"/>
      <c r="G912"/>
      <c r="H912"/>
      <c r="I912"/>
      <c r="J912"/>
      <c r="K912"/>
      <c r="L912"/>
      <c r="M912"/>
      <c r="N912"/>
      <c r="O912"/>
      <c r="P912"/>
      <c r="Q912"/>
      <c r="R912"/>
      <c r="S912"/>
    </row>
    <row r="913" spans="1:19" ht="14.25" customHeight="1">
      <c r="A913" s="171" t="s">
        <v>3518</v>
      </c>
      <c r="B913" s="169">
        <v>66</v>
      </c>
      <c r="C913" s="170" t="s">
        <v>3926</v>
      </c>
      <c r="D913" s="187">
        <v>3</v>
      </c>
      <c r="E913" s="7">
        <v>1.82</v>
      </c>
      <c r="F913"/>
      <c r="G913"/>
      <c r="H913"/>
      <c r="I913"/>
      <c r="J913"/>
      <c r="K913"/>
      <c r="L913"/>
      <c r="M913"/>
      <c r="N913"/>
      <c r="O913"/>
      <c r="P913"/>
      <c r="Q913"/>
      <c r="R913"/>
      <c r="S913"/>
    </row>
    <row r="914" spans="1:19" ht="14.25" customHeight="1">
      <c r="A914" s="171" t="s">
        <v>3519</v>
      </c>
      <c r="B914" s="169">
        <v>49.5</v>
      </c>
      <c r="C914" s="170" t="s">
        <v>3924</v>
      </c>
      <c r="D914" s="187">
        <v>3</v>
      </c>
      <c r="E914" s="7">
        <v>2.5</v>
      </c>
      <c r="F914"/>
      <c r="G914"/>
      <c r="H914"/>
      <c r="I914"/>
      <c r="J914"/>
      <c r="K914"/>
      <c r="L914"/>
      <c r="M914"/>
      <c r="N914"/>
      <c r="O914"/>
      <c r="P914"/>
      <c r="Q914"/>
      <c r="R914"/>
      <c r="S914"/>
    </row>
    <row r="915" spans="1:19" ht="14.25" customHeight="1">
      <c r="A915" s="171" t="s">
        <v>3520</v>
      </c>
      <c r="B915" s="169">
        <v>71</v>
      </c>
      <c r="C915" s="170" t="s">
        <v>3925</v>
      </c>
      <c r="D915" s="187">
        <v>3</v>
      </c>
      <c r="E915" s="7">
        <v>1.6</v>
      </c>
      <c r="F915"/>
      <c r="G915"/>
      <c r="H915"/>
      <c r="I915"/>
      <c r="J915"/>
      <c r="K915"/>
      <c r="L915"/>
      <c r="M915"/>
      <c r="N915"/>
      <c r="O915"/>
      <c r="P915"/>
      <c r="Q915"/>
      <c r="R915"/>
      <c r="S915"/>
    </row>
    <row r="916" spans="1:19" ht="14.25" customHeight="1">
      <c r="A916" s="115">
        <v>352.01</v>
      </c>
      <c r="B916" s="9">
        <v>55</v>
      </c>
      <c r="C916" s="7" t="s">
        <v>4183</v>
      </c>
      <c r="D916" s="187">
        <v>20</v>
      </c>
      <c r="E916" s="7">
        <v>2.8</v>
      </c>
    </row>
    <row r="917" spans="1:19" ht="14.25" customHeight="1">
      <c r="A917" s="115">
        <v>352.02</v>
      </c>
      <c r="B917" s="9">
        <v>81.5</v>
      </c>
      <c r="C917" s="79" t="s">
        <v>4184</v>
      </c>
      <c r="D917" s="187">
        <v>40</v>
      </c>
      <c r="E917" s="7">
        <f>(3.5+4)/2</f>
        <v>3.75</v>
      </c>
    </row>
    <row r="918" spans="1:19" s="4" customFormat="1" ht="14.25" customHeight="1">
      <c r="A918" s="115">
        <v>352.03</v>
      </c>
      <c r="B918" s="9">
        <v>63</v>
      </c>
      <c r="C918" s="7" t="s">
        <v>4185</v>
      </c>
      <c r="D918" s="187">
        <v>20</v>
      </c>
      <c r="E918" s="7">
        <v>3.5</v>
      </c>
      <c r="F918" s="7"/>
      <c r="G918" s="7"/>
      <c r="H918" s="7"/>
      <c r="I918" s="7"/>
      <c r="J918" s="7"/>
      <c r="K918" s="7"/>
      <c r="L918" s="7"/>
      <c r="M918" s="7"/>
      <c r="N918" s="7"/>
      <c r="O918" s="7"/>
      <c r="P918" s="7"/>
      <c r="Q918" s="7"/>
      <c r="R918" s="7"/>
    </row>
    <row r="919" spans="1:19" ht="14.25" customHeight="1">
      <c r="A919" s="115">
        <v>352.04</v>
      </c>
      <c r="B919" s="9">
        <v>73</v>
      </c>
      <c r="C919" s="7" t="s">
        <v>4186</v>
      </c>
      <c r="D919" s="187">
        <v>20</v>
      </c>
      <c r="E919" s="7">
        <v>4</v>
      </c>
    </row>
    <row r="920" spans="1:19" s="4" customFormat="1" ht="14.25" customHeight="1">
      <c r="A920" s="115">
        <v>352.05</v>
      </c>
      <c r="B920" s="9">
        <v>72</v>
      </c>
      <c r="C920" s="7" t="s">
        <v>4187</v>
      </c>
      <c r="D920" s="187">
        <v>20</v>
      </c>
      <c r="E920" s="7">
        <v>3.5</v>
      </c>
      <c r="F920" s="7"/>
      <c r="G920" s="7"/>
      <c r="H920" s="7"/>
      <c r="I920" s="7"/>
      <c r="J920" s="7"/>
      <c r="K920" s="7"/>
      <c r="L920" s="7"/>
      <c r="M920" s="7"/>
      <c r="N920" s="7"/>
      <c r="O920" s="7"/>
      <c r="P920" s="7"/>
      <c r="Q920" s="7"/>
      <c r="R920" s="7"/>
      <c r="S920" s="7"/>
    </row>
    <row r="921" spans="1:19" ht="14.25" customHeight="1">
      <c r="A921" s="115">
        <v>352.06</v>
      </c>
      <c r="B921" s="9">
        <v>64.5</v>
      </c>
      <c r="C921" s="7" t="s">
        <v>4188</v>
      </c>
      <c r="D921" s="187">
        <v>20</v>
      </c>
      <c r="E921" s="7">
        <v>2.6</v>
      </c>
    </row>
    <row r="922" spans="1:19" ht="14.25" customHeight="1">
      <c r="A922" s="128">
        <v>352.07</v>
      </c>
      <c r="B922" s="9">
        <v>50</v>
      </c>
      <c r="C922" s="7" t="s">
        <v>4189</v>
      </c>
      <c r="D922" s="187">
        <v>39</v>
      </c>
      <c r="E922" s="7">
        <v>3.3</v>
      </c>
    </row>
    <row r="923" spans="1:19" ht="14.25" customHeight="1">
      <c r="A923" s="128">
        <v>352.08</v>
      </c>
      <c r="B923" s="9">
        <v>49</v>
      </c>
      <c r="C923" s="105" t="s">
        <v>4190</v>
      </c>
      <c r="D923" s="187">
        <v>20</v>
      </c>
      <c r="E923" s="7">
        <v>2.98</v>
      </c>
    </row>
    <row r="924" spans="1:19" ht="14.25" customHeight="1">
      <c r="A924" s="152" t="s">
        <v>3136</v>
      </c>
      <c r="B924" s="9">
        <v>17</v>
      </c>
      <c r="C924" s="7" t="s">
        <v>4191</v>
      </c>
      <c r="D924" s="187">
        <v>3</v>
      </c>
      <c r="E924" s="7">
        <v>0.64</v>
      </c>
    </row>
    <row r="925" spans="1:19" ht="14.25" customHeight="1">
      <c r="A925" s="152" t="s">
        <v>3137</v>
      </c>
      <c r="B925" s="9">
        <v>17</v>
      </c>
      <c r="C925" s="7" t="s">
        <v>4192</v>
      </c>
      <c r="D925" s="187">
        <v>3</v>
      </c>
      <c r="E925" s="7">
        <v>0.64</v>
      </c>
    </row>
    <row r="926" spans="1:19" ht="14.25" customHeight="1">
      <c r="A926" s="152" t="s">
        <v>3138</v>
      </c>
      <c r="B926" s="9">
        <v>17</v>
      </c>
      <c r="C926" s="7" t="s">
        <v>4193</v>
      </c>
      <c r="D926" s="187">
        <v>3</v>
      </c>
      <c r="E926" s="7">
        <v>0.64</v>
      </c>
    </row>
    <row r="927" spans="1:19" ht="14.25" customHeight="1">
      <c r="A927" s="152" t="s">
        <v>3139</v>
      </c>
      <c r="B927" s="9">
        <v>17</v>
      </c>
      <c r="C927" s="7" t="s">
        <v>4194</v>
      </c>
      <c r="D927" s="187">
        <v>3</v>
      </c>
      <c r="E927" s="7">
        <v>0.64</v>
      </c>
    </row>
    <row r="928" spans="1:19" ht="14.25" customHeight="1">
      <c r="A928" s="152" t="s">
        <v>3140</v>
      </c>
      <c r="B928" s="9">
        <v>17</v>
      </c>
      <c r="C928" s="7" t="s">
        <v>4195</v>
      </c>
      <c r="D928" s="187">
        <v>3</v>
      </c>
      <c r="E928" s="7">
        <v>0.64</v>
      </c>
    </row>
    <row r="929" spans="1:19" ht="14.25" customHeight="1">
      <c r="A929" s="152" t="s">
        <v>3141</v>
      </c>
      <c r="B929" s="9">
        <v>17</v>
      </c>
      <c r="C929" s="7" t="s">
        <v>4196</v>
      </c>
      <c r="D929" s="187">
        <v>3</v>
      </c>
      <c r="E929" s="7">
        <v>0.64</v>
      </c>
      <c r="S929" s="4"/>
    </row>
    <row r="930" spans="1:19" ht="14.25" customHeight="1">
      <c r="A930" s="152" t="s">
        <v>3142</v>
      </c>
      <c r="B930" s="9">
        <v>17</v>
      </c>
      <c r="C930" s="7" t="s">
        <v>4197</v>
      </c>
      <c r="D930" s="190">
        <v>5</v>
      </c>
      <c r="E930" s="7">
        <v>0.64</v>
      </c>
    </row>
    <row r="931" spans="1:19" ht="14.25" customHeight="1">
      <c r="A931" s="171" t="s">
        <v>3585</v>
      </c>
      <c r="B931" s="169">
        <f>24.9/3</f>
        <v>8.2999999999999989</v>
      </c>
      <c r="C931" s="170" t="s">
        <v>3929</v>
      </c>
      <c r="D931" s="187">
        <v>3</v>
      </c>
      <c r="E931" s="7">
        <v>1.45</v>
      </c>
      <c r="F931"/>
      <c r="G931"/>
      <c r="H931"/>
      <c r="I931"/>
      <c r="J931"/>
      <c r="K931"/>
      <c r="L931"/>
      <c r="M931"/>
      <c r="N931"/>
      <c r="O931"/>
      <c r="P931"/>
      <c r="Q931"/>
      <c r="R931"/>
      <c r="S931"/>
    </row>
    <row r="932" spans="1:19" ht="14.25" customHeight="1">
      <c r="A932" s="171" t="s">
        <v>3586</v>
      </c>
      <c r="B932" s="169">
        <f>25.2/3</f>
        <v>8.4</v>
      </c>
      <c r="C932" s="170" t="s">
        <v>3930</v>
      </c>
      <c r="D932" s="187">
        <v>3</v>
      </c>
      <c r="E932" s="7">
        <v>1.45</v>
      </c>
      <c r="F932"/>
      <c r="G932"/>
      <c r="H932"/>
      <c r="I932"/>
      <c r="J932"/>
      <c r="K932"/>
      <c r="L932"/>
      <c r="M932"/>
      <c r="N932"/>
      <c r="O932"/>
      <c r="P932"/>
      <c r="Q932"/>
      <c r="R932"/>
      <c r="S932"/>
    </row>
    <row r="933" spans="1:19" ht="14.25" customHeight="1">
      <c r="A933" s="171" t="s">
        <v>3587</v>
      </c>
      <c r="B933" s="196">
        <f>30.7/3</f>
        <v>10.233333333333333</v>
      </c>
      <c r="C933" s="170" t="s">
        <v>3931</v>
      </c>
      <c r="D933" s="187">
        <v>3</v>
      </c>
      <c r="E933" s="7">
        <v>1.45</v>
      </c>
      <c r="F933"/>
      <c r="G933"/>
      <c r="H933"/>
      <c r="I933"/>
      <c r="J933"/>
      <c r="K933"/>
      <c r="L933"/>
      <c r="M933"/>
      <c r="N933"/>
      <c r="O933"/>
      <c r="P933"/>
      <c r="Q933"/>
      <c r="R933"/>
      <c r="S933"/>
    </row>
    <row r="934" spans="1:19" ht="14.25" customHeight="1">
      <c r="A934" s="171" t="s">
        <v>3588</v>
      </c>
      <c r="B934" s="196">
        <f>24.7/3</f>
        <v>8.2333333333333325</v>
      </c>
      <c r="C934" s="170" t="s">
        <v>3428</v>
      </c>
      <c r="D934" s="187">
        <v>3</v>
      </c>
      <c r="E934" s="7">
        <v>1.6</v>
      </c>
      <c r="F934"/>
      <c r="G934"/>
      <c r="H934"/>
      <c r="I934"/>
      <c r="J934"/>
      <c r="K934"/>
      <c r="L934"/>
      <c r="M934"/>
      <c r="N934"/>
      <c r="O934"/>
      <c r="P934"/>
      <c r="Q934"/>
      <c r="R934"/>
      <c r="S934"/>
    </row>
    <row r="935" spans="1:19" ht="14.25" customHeight="1">
      <c r="A935" s="171" t="s">
        <v>3589</v>
      </c>
      <c r="B935" s="169">
        <f>24.6/3</f>
        <v>8.2000000000000011</v>
      </c>
      <c r="C935" s="170" t="s">
        <v>3426</v>
      </c>
      <c r="D935" s="187">
        <v>3</v>
      </c>
      <c r="E935" s="7">
        <v>1.6</v>
      </c>
      <c r="F935"/>
      <c r="G935"/>
      <c r="H935"/>
      <c r="I935"/>
      <c r="J935"/>
      <c r="K935"/>
      <c r="L935"/>
      <c r="M935"/>
      <c r="N935"/>
      <c r="O935"/>
      <c r="P935"/>
      <c r="Q935"/>
      <c r="R935"/>
      <c r="S935"/>
    </row>
    <row r="936" spans="1:19" ht="14.25" customHeight="1">
      <c r="A936" s="171" t="s">
        <v>3590</v>
      </c>
      <c r="B936" s="197">
        <f>30.1/3</f>
        <v>10.033333333333333</v>
      </c>
      <c r="C936" s="170" t="s">
        <v>3427</v>
      </c>
      <c r="D936" s="187">
        <v>3</v>
      </c>
      <c r="E936" s="7">
        <v>1.5</v>
      </c>
      <c r="F936"/>
      <c r="G936"/>
      <c r="H936"/>
      <c r="I936"/>
      <c r="J936"/>
      <c r="K936"/>
      <c r="L936"/>
      <c r="M936"/>
      <c r="N936"/>
      <c r="O936"/>
      <c r="P936"/>
      <c r="Q936"/>
      <c r="R936"/>
      <c r="S936"/>
    </row>
    <row r="937" spans="1:19" ht="14.25" customHeight="1">
      <c r="A937" s="152" t="s">
        <v>3300</v>
      </c>
      <c r="B937" s="9">
        <f>7.8/10</f>
        <v>0.78</v>
      </c>
      <c r="C937" s="1" t="s">
        <v>2307</v>
      </c>
      <c r="D937" s="188">
        <v>1</v>
      </c>
      <c r="E937" s="6">
        <v>27</v>
      </c>
    </row>
    <row r="938" spans="1:19" ht="14.25" customHeight="1">
      <c r="A938" s="151" t="s">
        <v>3637</v>
      </c>
      <c r="B938" s="9">
        <v>6.9</v>
      </c>
      <c r="C938" s="1" t="s">
        <v>2312</v>
      </c>
      <c r="D938" s="188">
        <v>5</v>
      </c>
      <c r="E938" s="6">
        <v>1.2</v>
      </c>
    </row>
    <row r="939" spans="1:19" ht="14.25" customHeight="1">
      <c r="A939" s="151" t="s">
        <v>3301</v>
      </c>
      <c r="B939" s="9">
        <v>9.1</v>
      </c>
      <c r="C939" s="1" t="s">
        <v>2309</v>
      </c>
      <c r="D939" s="188">
        <v>5</v>
      </c>
      <c r="E939" s="6">
        <v>1.5</v>
      </c>
    </row>
    <row r="940" spans="1:19" ht="14.25" customHeight="1">
      <c r="A940" s="151" t="s">
        <v>3302</v>
      </c>
      <c r="B940" s="9">
        <v>7.7</v>
      </c>
      <c r="C940" s="1" t="s">
        <v>2306</v>
      </c>
      <c r="D940" s="188">
        <v>5</v>
      </c>
      <c r="E940" s="6">
        <v>0.4</v>
      </c>
    </row>
    <row r="941" spans="1:19" ht="14.25" customHeight="1">
      <c r="A941" s="151" t="s">
        <v>3303</v>
      </c>
      <c r="B941" s="9">
        <v>12.7</v>
      </c>
      <c r="C941" s="1" t="s">
        <v>2304</v>
      </c>
      <c r="D941" s="188">
        <v>5</v>
      </c>
      <c r="E941" s="6">
        <v>1.3</v>
      </c>
    </row>
    <row r="942" spans="1:19" ht="14.25" customHeight="1">
      <c r="A942" s="151" t="s">
        <v>3304</v>
      </c>
      <c r="B942" s="9">
        <v>20.8</v>
      </c>
      <c r="C942" s="143" t="s">
        <v>3639</v>
      </c>
      <c r="D942" s="188">
        <v>5</v>
      </c>
      <c r="E942" s="6">
        <v>2.5</v>
      </c>
      <c r="S942" s="4"/>
    </row>
    <row r="943" spans="1:19" ht="14.25" customHeight="1">
      <c r="A943" s="151" t="s">
        <v>3305</v>
      </c>
      <c r="B943" s="9">
        <v>16.100000000000001</v>
      </c>
      <c r="C943" s="1" t="s">
        <v>2314</v>
      </c>
      <c r="D943" s="188">
        <v>5</v>
      </c>
      <c r="E943" s="6">
        <v>2</v>
      </c>
    </row>
    <row r="944" spans="1:19" ht="14.25" customHeight="1">
      <c r="A944" s="151" t="s">
        <v>3306</v>
      </c>
      <c r="B944" s="9">
        <v>31.4</v>
      </c>
      <c r="C944" s="1" t="s">
        <v>2305</v>
      </c>
      <c r="D944" s="188">
        <v>5</v>
      </c>
      <c r="E944" s="6">
        <v>2.9</v>
      </c>
    </row>
    <row r="945" spans="1:19" ht="14.25" customHeight="1">
      <c r="A945" s="151" t="s">
        <v>3307</v>
      </c>
      <c r="B945" s="9">
        <v>7.2</v>
      </c>
      <c r="C945" s="143" t="s">
        <v>3640</v>
      </c>
      <c r="D945" s="188">
        <v>5</v>
      </c>
      <c r="E945" s="6">
        <v>0.6</v>
      </c>
    </row>
    <row r="946" spans="1:19" ht="14.25" customHeight="1">
      <c r="A946" s="151" t="s">
        <v>3638</v>
      </c>
      <c r="B946" s="9">
        <f>42.7-6.6</f>
        <v>36.1</v>
      </c>
      <c r="C946" s="1" t="s">
        <v>2313</v>
      </c>
      <c r="D946" s="188">
        <v>5</v>
      </c>
      <c r="E946" s="6">
        <v>4</v>
      </c>
    </row>
    <row r="947" spans="1:19" ht="14.25" customHeight="1">
      <c r="A947" s="194" t="s">
        <v>3755</v>
      </c>
      <c r="B947" s="9">
        <v>4.3</v>
      </c>
      <c r="C947" s="31" t="s">
        <v>3856</v>
      </c>
      <c r="D947" s="187">
        <v>5</v>
      </c>
      <c r="E947" s="7">
        <v>0.8</v>
      </c>
      <c r="F947"/>
      <c r="G947"/>
      <c r="H947"/>
      <c r="I947"/>
      <c r="J947"/>
      <c r="K947"/>
      <c r="L947"/>
      <c r="M947"/>
      <c r="N947"/>
      <c r="O947"/>
      <c r="P947"/>
      <c r="Q947"/>
      <c r="R947"/>
      <c r="S947"/>
    </row>
    <row r="948" spans="1:19" ht="14.25" customHeight="1">
      <c r="A948" s="194" t="s">
        <v>3756</v>
      </c>
      <c r="B948" s="9">
        <v>3.9</v>
      </c>
      <c r="C948" s="161" t="s">
        <v>3695</v>
      </c>
      <c r="D948" s="187">
        <v>5</v>
      </c>
      <c r="E948" s="7">
        <v>0.32</v>
      </c>
      <c r="F948"/>
      <c r="G948"/>
      <c r="H948"/>
      <c r="I948"/>
      <c r="J948"/>
      <c r="K948"/>
      <c r="L948"/>
      <c r="M948"/>
      <c r="N948"/>
      <c r="O948"/>
      <c r="P948"/>
      <c r="Q948"/>
      <c r="R948"/>
      <c r="S948"/>
    </row>
    <row r="949" spans="1:19" ht="14.25" customHeight="1">
      <c r="A949" s="194" t="s">
        <v>3757</v>
      </c>
      <c r="B949" s="9">
        <v>4.4000000000000004</v>
      </c>
      <c r="C949" s="161" t="s">
        <v>3684</v>
      </c>
      <c r="D949" s="187">
        <v>50</v>
      </c>
      <c r="E949" s="7">
        <v>0.28999999999999998</v>
      </c>
      <c r="F949"/>
      <c r="G949"/>
      <c r="H949"/>
      <c r="I949"/>
      <c r="J949"/>
      <c r="K949"/>
      <c r="L949"/>
      <c r="M949"/>
      <c r="N949"/>
      <c r="O949"/>
      <c r="P949"/>
      <c r="Q949"/>
      <c r="R949"/>
      <c r="S949"/>
    </row>
    <row r="950" spans="1:19" ht="14.25" customHeight="1">
      <c r="A950" s="194" t="s">
        <v>3758</v>
      </c>
      <c r="B950" s="9">
        <v>2.7</v>
      </c>
      <c r="C950" s="161" t="s">
        <v>3750</v>
      </c>
      <c r="D950" s="187">
        <v>10</v>
      </c>
      <c r="E950" s="7">
        <v>0.5</v>
      </c>
      <c r="F950"/>
      <c r="G950"/>
      <c r="H950"/>
      <c r="I950"/>
      <c r="J950"/>
      <c r="K950"/>
      <c r="L950"/>
      <c r="M950"/>
      <c r="N950"/>
      <c r="O950"/>
      <c r="P950"/>
      <c r="Q950"/>
      <c r="R950"/>
      <c r="S950"/>
    </row>
    <row r="951" spans="1:19" ht="14.25" customHeight="1">
      <c r="A951" s="194" t="s">
        <v>3759</v>
      </c>
      <c r="B951" s="9">
        <v>4.5999999999999996</v>
      </c>
      <c r="C951" s="161" t="s">
        <v>3692</v>
      </c>
      <c r="D951" s="187">
        <v>5</v>
      </c>
      <c r="E951" s="7">
        <v>0.7</v>
      </c>
      <c r="F951"/>
      <c r="G951"/>
      <c r="H951"/>
      <c r="I951"/>
      <c r="J951"/>
      <c r="K951"/>
      <c r="L951"/>
      <c r="M951"/>
      <c r="N951"/>
      <c r="O951"/>
      <c r="P951"/>
      <c r="Q951"/>
      <c r="R951"/>
      <c r="S951"/>
    </row>
    <row r="952" spans="1:19" ht="14.25" customHeight="1">
      <c r="A952" s="194" t="s">
        <v>3760</v>
      </c>
      <c r="B952" s="9">
        <v>4.4000000000000004</v>
      </c>
      <c r="C952" s="161" t="s">
        <v>3687</v>
      </c>
      <c r="D952" s="187">
        <v>10</v>
      </c>
      <c r="E952" s="7">
        <v>0.22</v>
      </c>
      <c r="F952"/>
      <c r="G952"/>
      <c r="H952"/>
      <c r="I952"/>
      <c r="J952"/>
      <c r="K952"/>
      <c r="L952"/>
      <c r="M952"/>
      <c r="N952"/>
      <c r="O952"/>
      <c r="P952"/>
      <c r="Q952"/>
      <c r="R952"/>
      <c r="S952"/>
    </row>
    <row r="953" spans="1:19" ht="14.25" customHeight="1">
      <c r="A953" s="194" t="s">
        <v>3761</v>
      </c>
      <c r="B953" s="9">
        <v>4</v>
      </c>
      <c r="C953" s="161" t="s">
        <v>3688</v>
      </c>
      <c r="D953" s="187">
        <v>5</v>
      </c>
      <c r="E953" s="7">
        <v>0.65</v>
      </c>
      <c r="F953"/>
      <c r="G953"/>
      <c r="H953"/>
      <c r="I953"/>
      <c r="J953"/>
      <c r="K953"/>
      <c r="L953"/>
      <c r="M953"/>
      <c r="N953"/>
      <c r="O953"/>
      <c r="P953"/>
      <c r="Q953"/>
      <c r="R953"/>
      <c r="S953"/>
    </row>
    <row r="954" spans="1:19" ht="14.25" customHeight="1">
      <c r="A954" s="194" t="s">
        <v>3762</v>
      </c>
      <c r="B954" s="9">
        <v>6.8</v>
      </c>
      <c r="C954" s="161" t="s">
        <v>3685</v>
      </c>
      <c r="D954" s="187">
        <v>10</v>
      </c>
      <c r="E954" s="7">
        <v>0.94</v>
      </c>
      <c r="F954"/>
      <c r="G954"/>
      <c r="H954"/>
      <c r="I954"/>
      <c r="J954"/>
      <c r="K954"/>
      <c r="L954"/>
      <c r="M954"/>
      <c r="N954"/>
      <c r="O954"/>
      <c r="P954"/>
      <c r="Q954"/>
      <c r="R954"/>
      <c r="S954"/>
    </row>
    <row r="955" spans="1:19" ht="14.25" customHeight="1">
      <c r="A955" s="194" t="s">
        <v>3763</v>
      </c>
      <c r="B955" s="9">
        <v>7.7</v>
      </c>
      <c r="C955" s="161" t="s">
        <v>3699</v>
      </c>
      <c r="D955" s="187">
        <v>3</v>
      </c>
      <c r="E955" s="7">
        <v>1.9</v>
      </c>
      <c r="F955"/>
      <c r="G955"/>
      <c r="H955"/>
      <c r="I955"/>
      <c r="J955"/>
      <c r="K955"/>
      <c r="L955"/>
      <c r="M955"/>
      <c r="N955"/>
      <c r="O955"/>
      <c r="P955"/>
      <c r="Q955"/>
      <c r="R955"/>
      <c r="S955"/>
    </row>
    <row r="956" spans="1:19" ht="14.25" customHeight="1">
      <c r="A956" s="194" t="s">
        <v>3764</v>
      </c>
      <c r="B956" s="9">
        <v>3.3</v>
      </c>
      <c r="C956" s="161" t="s">
        <v>3749</v>
      </c>
      <c r="D956" s="187">
        <v>3</v>
      </c>
      <c r="E956" s="7">
        <v>1.2</v>
      </c>
      <c r="F956"/>
      <c r="G956"/>
      <c r="H956"/>
      <c r="I956"/>
      <c r="J956"/>
      <c r="K956"/>
      <c r="L956"/>
      <c r="M956"/>
      <c r="N956"/>
      <c r="O956"/>
      <c r="P956"/>
      <c r="Q956"/>
      <c r="R956"/>
      <c r="S956"/>
    </row>
    <row r="957" spans="1:19" ht="14.25" customHeight="1">
      <c r="A957" s="194" t="s">
        <v>3765</v>
      </c>
      <c r="B957" s="9">
        <v>6.6</v>
      </c>
      <c r="C957" s="161" t="s">
        <v>3689</v>
      </c>
      <c r="D957" s="187">
        <v>3</v>
      </c>
      <c r="E957" s="7">
        <v>1</v>
      </c>
      <c r="F957"/>
      <c r="G957"/>
      <c r="H957"/>
      <c r="I957"/>
      <c r="J957"/>
      <c r="K957"/>
      <c r="L957"/>
      <c r="M957"/>
      <c r="N957"/>
      <c r="O957"/>
      <c r="P957"/>
      <c r="Q957"/>
      <c r="R957"/>
      <c r="S957"/>
    </row>
    <row r="958" spans="1:19" customFormat="1" ht="14.25" customHeight="1">
      <c r="A958" s="194" t="s">
        <v>3766</v>
      </c>
      <c r="B958" s="9">
        <v>6.2</v>
      </c>
      <c r="C958" s="161" t="s">
        <v>3691</v>
      </c>
      <c r="D958" s="187">
        <v>3</v>
      </c>
      <c r="E958" s="7">
        <v>0.65</v>
      </c>
    </row>
    <row r="959" spans="1:19" customFormat="1" ht="14.25" customHeight="1">
      <c r="A959" s="194" t="s">
        <v>3767</v>
      </c>
      <c r="B959" s="9">
        <v>13.7</v>
      </c>
      <c r="C959" s="161" t="s">
        <v>3686</v>
      </c>
      <c r="D959" s="187">
        <v>3</v>
      </c>
      <c r="E959" s="7">
        <v>0.8</v>
      </c>
    </row>
    <row r="960" spans="1:19" customFormat="1" ht="14.25" customHeight="1">
      <c r="A960" s="194" t="s">
        <v>3768</v>
      </c>
      <c r="B960" s="9">
        <v>5.0999999999999996</v>
      </c>
      <c r="C960" s="161" t="s">
        <v>3751</v>
      </c>
      <c r="D960" s="187">
        <v>3</v>
      </c>
      <c r="E960" s="7">
        <v>1.5</v>
      </c>
    </row>
    <row r="961" spans="1:5" customFormat="1" ht="14.25" customHeight="1">
      <c r="A961" s="194" t="s">
        <v>3769</v>
      </c>
      <c r="B961" s="9">
        <v>7.2</v>
      </c>
      <c r="C961" s="161" t="s">
        <v>3698</v>
      </c>
      <c r="D961" s="187">
        <v>3</v>
      </c>
      <c r="E961" s="7">
        <v>1.5</v>
      </c>
    </row>
    <row r="962" spans="1:5" customFormat="1" ht="14.25" customHeight="1">
      <c r="A962" s="194" t="s">
        <v>3770</v>
      </c>
      <c r="B962" s="9">
        <v>7.3</v>
      </c>
      <c r="C962" s="161" t="s">
        <v>3696</v>
      </c>
      <c r="D962" s="187">
        <v>3</v>
      </c>
      <c r="E962" s="7">
        <v>0.59</v>
      </c>
    </row>
    <row r="963" spans="1:5" customFormat="1" ht="14.25" customHeight="1">
      <c r="A963" s="194" t="s">
        <v>3771</v>
      </c>
      <c r="B963" s="9">
        <v>9</v>
      </c>
      <c r="C963" s="161" t="s">
        <v>3694</v>
      </c>
      <c r="D963" s="188">
        <v>10</v>
      </c>
      <c r="E963" s="7">
        <v>0.89</v>
      </c>
    </row>
    <row r="964" spans="1:5" customFormat="1" ht="14.25" customHeight="1">
      <c r="A964" s="194" t="s">
        <v>3772</v>
      </c>
      <c r="B964" s="9">
        <v>14.1</v>
      </c>
      <c r="C964" s="161" t="s">
        <v>3690</v>
      </c>
      <c r="D964" s="187">
        <v>3</v>
      </c>
      <c r="E964" s="7">
        <v>1.8</v>
      </c>
    </row>
    <row r="965" spans="1:5" customFormat="1" ht="14.25" customHeight="1">
      <c r="A965" s="194" t="s">
        <v>3773</v>
      </c>
      <c r="B965" s="9">
        <v>8.9</v>
      </c>
      <c r="C965" s="161" t="s">
        <v>3697</v>
      </c>
      <c r="D965" s="187">
        <v>3</v>
      </c>
      <c r="E965" s="7">
        <v>1.6</v>
      </c>
    </row>
    <row r="966" spans="1:5" customFormat="1" ht="14.25" customHeight="1">
      <c r="A966" s="194" t="s">
        <v>3774</v>
      </c>
      <c r="B966" s="9">
        <v>6.8</v>
      </c>
      <c r="C966" s="161" t="s">
        <v>3693</v>
      </c>
      <c r="D966" s="187">
        <v>3</v>
      </c>
      <c r="E966" s="7">
        <v>0.8</v>
      </c>
    </row>
    <row r="967" spans="1:5" customFormat="1" ht="14.25" customHeight="1">
      <c r="A967" s="194" t="s">
        <v>3855</v>
      </c>
      <c r="B967" s="9">
        <v>5.9</v>
      </c>
      <c r="C967" s="161" t="s">
        <v>3674</v>
      </c>
      <c r="D967" s="187">
        <v>10</v>
      </c>
      <c r="E967" s="7">
        <v>0.45</v>
      </c>
    </row>
    <row r="968" spans="1:5" customFormat="1" ht="14.25" customHeight="1">
      <c r="A968" s="194" t="s">
        <v>3775</v>
      </c>
      <c r="B968" s="9">
        <v>4.8</v>
      </c>
      <c r="C968" s="31" t="s">
        <v>3857</v>
      </c>
      <c r="D968" s="187">
        <v>5</v>
      </c>
      <c r="E968" s="7">
        <v>0.8</v>
      </c>
    </row>
    <row r="969" spans="1:5" customFormat="1" ht="14.25" customHeight="1">
      <c r="A969" s="194" t="s">
        <v>3776</v>
      </c>
      <c r="B969" s="9">
        <v>3.5</v>
      </c>
      <c r="C969" s="161" t="s">
        <v>3669</v>
      </c>
      <c r="D969" s="187">
        <v>6</v>
      </c>
      <c r="E969" s="7">
        <v>0.2</v>
      </c>
    </row>
    <row r="970" spans="1:5" customFormat="1" ht="14.25" customHeight="1">
      <c r="A970" s="195" t="s">
        <v>3777</v>
      </c>
      <c r="B970" s="9">
        <v>5</v>
      </c>
      <c r="C970" s="162" t="s">
        <v>3708</v>
      </c>
      <c r="D970" s="187"/>
    </row>
    <row r="971" spans="1:5" customFormat="1" ht="14.25" customHeight="1">
      <c r="A971" s="194" t="s">
        <v>3778</v>
      </c>
      <c r="B971" s="9">
        <v>7</v>
      </c>
      <c r="C971" s="161" t="s">
        <v>3673</v>
      </c>
      <c r="D971" s="187">
        <v>3</v>
      </c>
      <c r="E971" s="7">
        <v>1.3</v>
      </c>
    </row>
    <row r="972" spans="1:5" customFormat="1" ht="14.25" customHeight="1">
      <c r="A972" s="194" t="s">
        <v>3779</v>
      </c>
      <c r="B972" s="9">
        <v>3.2</v>
      </c>
      <c r="C972" s="161" t="s">
        <v>3675</v>
      </c>
      <c r="D972" s="187">
        <v>50</v>
      </c>
      <c r="E972" s="7">
        <v>0.22</v>
      </c>
    </row>
    <row r="973" spans="1:5" customFormat="1" ht="14.25" customHeight="1">
      <c r="A973" s="194" t="s">
        <v>3780</v>
      </c>
      <c r="B973" s="9">
        <v>4.9000000000000004</v>
      </c>
      <c r="C973" s="161" t="s">
        <v>3672</v>
      </c>
      <c r="D973" s="187">
        <v>5</v>
      </c>
      <c r="E973" s="7">
        <v>0.7</v>
      </c>
    </row>
    <row r="974" spans="1:5" customFormat="1" ht="14.25" customHeight="1">
      <c r="A974" s="195" t="s">
        <v>3781</v>
      </c>
      <c r="B974" s="9">
        <v>5</v>
      </c>
      <c r="C974" s="162" t="s">
        <v>3742</v>
      </c>
      <c r="D974" s="187"/>
    </row>
    <row r="975" spans="1:5" customFormat="1" ht="14.25" customHeight="1">
      <c r="A975" s="195" t="s">
        <v>3782</v>
      </c>
      <c r="B975" s="9">
        <v>8</v>
      </c>
      <c r="C975" s="162" t="s">
        <v>3746</v>
      </c>
      <c r="D975" s="187"/>
    </row>
    <row r="976" spans="1:5" customFormat="1" ht="14.25" customHeight="1">
      <c r="A976" s="194" t="s">
        <v>3783</v>
      </c>
      <c r="B976" s="9">
        <v>7.7</v>
      </c>
      <c r="C976" s="161" t="s">
        <v>3678</v>
      </c>
      <c r="D976" s="187">
        <v>5</v>
      </c>
      <c r="E976" s="7">
        <v>1.2</v>
      </c>
    </row>
    <row r="977" spans="1:5" customFormat="1" ht="14.25" customHeight="1">
      <c r="A977" s="194" t="s">
        <v>3784</v>
      </c>
      <c r="B977" s="9">
        <v>7.2</v>
      </c>
      <c r="C977" s="161" t="s">
        <v>3677</v>
      </c>
      <c r="D977" s="193">
        <v>5</v>
      </c>
      <c r="E977" s="7">
        <v>1.1000000000000001</v>
      </c>
    </row>
    <row r="978" spans="1:5" customFormat="1" ht="14.25" customHeight="1">
      <c r="A978" s="194" t="s">
        <v>3785</v>
      </c>
      <c r="B978" s="9">
        <v>7</v>
      </c>
      <c r="C978" s="161" t="s">
        <v>3668</v>
      </c>
      <c r="D978" s="187">
        <v>5</v>
      </c>
      <c r="E978" s="7">
        <v>0.5</v>
      </c>
    </row>
    <row r="979" spans="1:5" customFormat="1" ht="14.25" customHeight="1">
      <c r="A979" s="194" t="s">
        <v>3786</v>
      </c>
      <c r="B979" s="9">
        <v>6.2</v>
      </c>
      <c r="C979" s="161" t="s">
        <v>3680</v>
      </c>
      <c r="D979" s="187">
        <v>3</v>
      </c>
      <c r="E979" s="7">
        <v>1.3</v>
      </c>
    </row>
    <row r="980" spans="1:5" customFormat="1" ht="14.25" customHeight="1">
      <c r="A980" s="194" t="s">
        <v>3787</v>
      </c>
      <c r="B980" s="9">
        <v>7.2</v>
      </c>
      <c r="C980" s="161" t="s">
        <v>3681</v>
      </c>
      <c r="D980" s="187">
        <v>5</v>
      </c>
      <c r="E980" s="7">
        <v>1.1000000000000001</v>
      </c>
    </row>
    <row r="981" spans="1:5" customFormat="1" ht="14.25" customHeight="1">
      <c r="A981" s="194" t="s">
        <v>3788</v>
      </c>
      <c r="B981" s="9">
        <v>8.9</v>
      </c>
      <c r="C981" s="161" t="s">
        <v>3679</v>
      </c>
      <c r="D981" s="187">
        <v>3</v>
      </c>
      <c r="E981" s="7">
        <v>1.6</v>
      </c>
    </row>
    <row r="982" spans="1:5" customFormat="1" ht="14.25" customHeight="1">
      <c r="A982" s="194" t="s">
        <v>3789</v>
      </c>
      <c r="B982" s="9">
        <v>7.5</v>
      </c>
      <c r="C982" s="161" t="s">
        <v>3671</v>
      </c>
      <c r="D982" s="187">
        <v>3</v>
      </c>
      <c r="E982" s="7">
        <v>0.9</v>
      </c>
    </row>
    <row r="983" spans="1:5" customFormat="1" ht="14.25" customHeight="1">
      <c r="A983" s="194" t="s">
        <v>3790</v>
      </c>
      <c r="B983" s="9">
        <v>10.5</v>
      </c>
      <c r="C983" s="161" t="s">
        <v>3683</v>
      </c>
      <c r="D983" s="187">
        <v>10</v>
      </c>
      <c r="E983" s="7">
        <v>0.76</v>
      </c>
    </row>
    <row r="984" spans="1:5" customFormat="1" ht="14.25" customHeight="1">
      <c r="A984" s="194" t="s">
        <v>3791</v>
      </c>
      <c r="B984" s="9">
        <v>7.7</v>
      </c>
      <c r="C984" s="161" t="s">
        <v>3676</v>
      </c>
      <c r="D984" s="187">
        <v>5</v>
      </c>
      <c r="E984" s="7">
        <v>0.9</v>
      </c>
    </row>
    <row r="985" spans="1:5" customFormat="1" ht="14.25" customHeight="1">
      <c r="A985" s="194" t="s">
        <v>3792</v>
      </c>
      <c r="B985" s="9">
        <v>11</v>
      </c>
      <c r="C985" s="161" t="s">
        <v>3682</v>
      </c>
      <c r="D985" s="187">
        <v>3</v>
      </c>
      <c r="E985" s="7">
        <v>1.8</v>
      </c>
    </row>
    <row r="986" spans="1:5" customFormat="1" ht="14.25" customHeight="1">
      <c r="A986" s="194" t="s">
        <v>3793</v>
      </c>
      <c r="B986" s="9">
        <v>7.9</v>
      </c>
      <c r="C986" s="161" t="s">
        <v>3670</v>
      </c>
      <c r="D986" s="187">
        <v>3</v>
      </c>
      <c r="E986" s="7">
        <v>0.8</v>
      </c>
    </row>
    <row r="987" spans="1:5" customFormat="1" ht="14.25" customHeight="1">
      <c r="A987" s="195" t="s">
        <v>3794</v>
      </c>
      <c r="B987" s="9"/>
      <c r="C987" s="162" t="s">
        <v>3706</v>
      </c>
      <c r="D987" s="187"/>
    </row>
    <row r="988" spans="1:5" customFormat="1" ht="14.25" customHeight="1">
      <c r="A988" s="194" t="s">
        <v>3795</v>
      </c>
      <c r="B988" s="9">
        <v>4.8</v>
      </c>
      <c r="C988" s="161" t="s">
        <v>3703</v>
      </c>
      <c r="D988" s="187">
        <v>10</v>
      </c>
      <c r="E988" s="7">
        <v>0.5</v>
      </c>
    </row>
    <row r="989" spans="1:5" customFormat="1" ht="14.25" customHeight="1">
      <c r="A989" s="117" t="s">
        <v>3861</v>
      </c>
      <c r="B989" s="9">
        <v>6</v>
      </c>
      <c r="C989" s="161" t="s">
        <v>3702</v>
      </c>
      <c r="D989" s="187">
        <v>10</v>
      </c>
      <c r="E989" s="7">
        <v>0.5</v>
      </c>
    </row>
    <row r="990" spans="1:5" customFormat="1" ht="14.25" customHeight="1">
      <c r="A990" s="194" t="s">
        <v>3796</v>
      </c>
      <c r="B990" s="9">
        <v>4.8</v>
      </c>
      <c r="C990" s="161" t="s">
        <v>3710</v>
      </c>
      <c r="D990" s="187">
        <v>10</v>
      </c>
      <c r="E990" s="7">
        <v>0.5</v>
      </c>
    </row>
    <row r="991" spans="1:5" customFormat="1" ht="14.25" customHeight="1">
      <c r="A991" s="117" t="s">
        <v>3860</v>
      </c>
      <c r="B991" s="9">
        <v>17.100000000000001</v>
      </c>
      <c r="C991" s="161" t="s">
        <v>3705</v>
      </c>
      <c r="D991" s="187">
        <v>5</v>
      </c>
      <c r="E991" s="7">
        <v>1.3</v>
      </c>
    </row>
    <row r="992" spans="1:5" customFormat="1" ht="14.25" customHeight="1">
      <c r="A992" s="194" t="s">
        <v>3797</v>
      </c>
      <c r="B992" s="9">
        <v>11.5</v>
      </c>
      <c r="C992" s="161" t="s">
        <v>3717</v>
      </c>
      <c r="D992" s="187">
        <v>3</v>
      </c>
      <c r="E992" s="7">
        <v>1.3</v>
      </c>
    </row>
    <row r="993" spans="1:5" customFormat="1" ht="14.25" customHeight="1">
      <c r="A993" s="194" t="s">
        <v>3798</v>
      </c>
      <c r="B993" s="9">
        <v>14.1</v>
      </c>
      <c r="C993" s="161" t="s">
        <v>3747</v>
      </c>
      <c r="D993" s="187">
        <v>5</v>
      </c>
      <c r="E993" s="7">
        <v>0.98</v>
      </c>
    </row>
    <row r="994" spans="1:5" customFormat="1" ht="14.25" customHeight="1">
      <c r="A994" s="194" t="s">
        <v>3799</v>
      </c>
      <c r="B994" s="9">
        <v>14.1</v>
      </c>
      <c r="C994" s="161" t="s">
        <v>3748</v>
      </c>
      <c r="D994" s="187">
        <v>3</v>
      </c>
      <c r="E994" s="7">
        <v>0.98</v>
      </c>
    </row>
    <row r="995" spans="1:5" customFormat="1" ht="14.25" customHeight="1">
      <c r="A995" s="194" t="s">
        <v>3800</v>
      </c>
      <c r="B995" s="9">
        <v>13.1</v>
      </c>
      <c r="C995" s="161" t="s">
        <v>3714</v>
      </c>
      <c r="D995" s="187">
        <v>3</v>
      </c>
      <c r="E995" s="7">
        <v>1.5</v>
      </c>
    </row>
    <row r="996" spans="1:5" customFormat="1" ht="14.25" customHeight="1">
      <c r="A996" s="194" t="s">
        <v>3801</v>
      </c>
      <c r="B996" s="9">
        <v>12.4</v>
      </c>
      <c r="C996" s="164" t="s">
        <v>3716</v>
      </c>
      <c r="D996" s="187">
        <v>3</v>
      </c>
      <c r="E996" s="7">
        <v>1.3</v>
      </c>
    </row>
    <row r="997" spans="1:5" customFormat="1" ht="14.25" customHeight="1">
      <c r="A997" s="194" t="s">
        <v>3802</v>
      </c>
      <c r="B997" s="9">
        <v>14.2</v>
      </c>
      <c r="C997" s="161" t="s">
        <v>3701</v>
      </c>
      <c r="D997" s="187">
        <v>5</v>
      </c>
      <c r="E997" s="7">
        <v>0.98</v>
      </c>
    </row>
    <row r="998" spans="1:5" customFormat="1" ht="14.25" customHeight="1">
      <c r="A998" s="194" t="s">
        <v>3803</v>
      </c>
      <c r="B998" s="9">
        <v>11.8</v>
      </c>
      <c r="C998" s="161" t="s">
        <v>3711</v>
      </c>
      <c r="D998" s="187">
        <v>3</v>
      </c>
      <c r="E998" s="7">
        <v>1.3</v>
      </c>
    </row>
    <row r="999" spans="1:5" customFormat="1" ht="14.25" customHeight="1">
      <c r="A999" s="194" t="s">
        <v>3804</v>
      </c>
      <c r="B999" s="9">
        <v>11</v>
      </c>
      <c r="C999" s="161" t="s">
        <v>3715</v>
      </c>
      <c r="D999" s="187">
        <v>3</v>
      </c>
      <c r="E999" s="7">
        <v>1.2</v>
      </c>
    </row>
    <row r="1000" spans="1:5" customFormat="1" ht="14.25" customHeight="1">
      <c r="A1000" s="194" t="s">
        <v>3805</v>
      </c>
      <c r="B1000" s="9">
        <v>12.2</v>
      </c>
      <c r="C1000" s="161" t="s">
        <v>3713</v>
      </c>
      <c r="D1000" s="187">
        <v>3</v>
      </c>
      <c r="E1000" s="7">
        <v>1.8</v>
      </c>
    </row>
    <row r="1001" spans="1:5" customFormat="1" ht="14.25" customHeight="1">
      <c r="A1001" s="194" t="s">
        <v>3806</v>
      </c>
      <c r="B1001" s="9">
        <v>14.2</v>
      </c>
      <c r="C1001" s="161" t="s">
        <v>3700</v>
      </c>
      <c r="D1001" s="187">
        <v>5</v>
      </c>
      <c r="E1001" s="7">
        <v>0.79</v>
      </c>
    </row>
    <row r="1002" spans="1:5" customFormat="1" ht="14.25" customHeight="1">
      <c r="A1002" s="194" t="s">
        <v>3807</v>
      </c>
      <c r="B1002" s="9">
        <v>11.6</v>
      </c>
      <c r="C1002" s="161" t="s">
        <v>3719</v>
      </c>
      <c r="D1002" s="187">
        <v>3</v>
      </c>
      <c r="E1002" s="7">
        <v>1.3</v>
      </c>
    </row>
    <row r="1003" spans="1:5" customFormat="1" ht="14.25" customHeight="1">
      <c r="A1003" s="194" t="s">
        <v>3808</v>
      </c>
      <c r="B1003" s="9">
        <v>12.1</v>
      </c>
      <c r="C1003" s="161" t="s">
        <v>3718</v>
      </c>
      <c r="D1003" s="187">
        <v>3</v>
      </c>
      <c r="E1003" s="7">
        <v>0.99</v>
      </c>
    </row>
    <row r="1004" spans="1:5" customFormat="1" ht="14.25" customHeight="1">
      <c r="A1004" s="194" t="s">
        <v>3809</v>
      </c>
      <c r="B1004" s="9">
        <v>12</v>
      </c>
      <c r="C1004" s="161" t="s">
        <v>3712</v>
      </c>
      <c r="D1004" s="187">
        <v>3</v>
      </c>
      <c r="E1004" s="7">
        <v>0.99</v>
      </c>
    </row>
    <row r="1005" spans="1:5" customFormat="1" ht="14.25" customHeight="1">
      <c r="A1005" s="195" t="s">
        <v>3810</v>
      </c>
      <c r="B1005" s="9"/>
      <c r="C1005" s="162" t="s">
        <v>3741</v>
      </c>
      <c r="D1005" s="187"/>
    </row>
    <row r="1006" spans="1:5" customFormat="1" ht="14.25" customHeight="1">
      <c r="A1006" s="117" t="s">
        <v>3859</v>
      </c>
      <c r="B1006" s="9">
        <v>5.9</v>
      </c>
      <c r="C1006" s="161" t="s">
        <v>3704</v>
      </c>
      <c r="D1006" s="187">
        <v>3</v>
      </c>
      <c r="E1006" s="7">
        <v>0.55000000000000004</v>
      </c>
    </row>
    <row r="1007" spans="1:5" customFormat="1" ht="14.25" customHeight="1">
      <c r="A1007" s="195" t="s">
        <v>3811</v>
      </c>
      <c r="B1007" s="9"/>
      <c r="C1007" s="162" t="s">
        <v>3722</v>
      </c>
      <c r="D1007" s="187"/>
    </row>
    <row r="1008" spans="1:5" customFormat="1" ht="14.25" customHeight="1">
      <c r="A1008" s="194" t="s">
        <v>3812</v>
      </c>
      <c r="B1008" s="9">
        <v>15.1</v>
      </c>
      <c r="C1008" s="161" t="s">
        <v>3725</v>
      </c>
      <c r="D1008" s="187">
        <v>3</v>
      </c>
      <c r="E1008" s="7">
        <v>1.6</v>
      </c>
    </row>
    <row r="1009" spans="1:5" customFormat="1" ht="14.25" customHeight="1">
      <c r="A1009" s="194" t="s">
        <v>3813</v>
      </c>
      <c r="B1009" s="9">
        <v>19.100000000000001</v>
      </c>
      <c r="C1009" s="161" t="s">
        <v>3721</v>
      </c>
      <c r="D1009" s="187">
        <v>5</v>
      </c>
      <c r="E1009" s="7">
        <v>1.9</v>
      </c>
    </row>
    <row r="1010" spans="1:5" customFormat="1" ht="14.25" customHeight="1">
      <c r="A1010" s="194" t="s">
        <v>3814</v>
      </c>
      <c r="B1010" s="9">
        <v>17.600000000000001</v>
      </c>
      <c r="C1010" s="161" t="s">
        <v>3724</v>
      </c>
      <c r="D1010" s="187">
        <v>3</v>
      </c>
      <c r="E1010" s="7">
        <v>2.8</v>
      </c>
    </row>
    <row r="1011" spans="1:5" customFormat="1" ht="14.25" customHeight="1">
      <c r="A1011" s="194" t="s">
        <v>3815</v>
      </c>
      <c r="B1011" s="9">
        <v>19.399999999999999</v>
      </c>
      <c r="C1011" s="161" t="s">
        <v>3726</v>
      </c>
      <c r="D1011" s="187">
        <v>3</v>
      </c>
      <c r="E1011" s="7">
        <v>2.8</v>
      </c>
    </row>
    <row r="1012" spans="1:5" customFormat="1" ht="14.25" customHeight="1">
      <c r="A1012" s="194" t="s">
        <v>3816</v>
      </c>
      <c r="B1012" s="9">
        <v>15.2</v>
      </c>
      <c r="C1012" s="161" t="s">
        <v>3728</v>
      </c>
      <c r="D1012" s="187">
        <v>3</v>
      </c>
      <c r="E1012" s="7">
        <v>1.19</v>
      </c>
    </row>
    <row r="1013" spans="1:5" customFormat="1" ht="14.25" customHeight="1">
      <c r="A1013" s="194" t="s">
        <v>3817</v>
      </c>
      <c r="B1013" s="9">
        <v>28.3</v>
      </c>
      <c r="C1013" s="163" t="s">
        <v>3752</v>
      </c>
      <c r="D1013" s="187">
        <v>3</v>
      </c>
      <c r="E1013" s="7">
        <v>3.3</v>
      </c>
    </row>
    <row r="1014" spans="1:5" customFormat="1" ht="14.25" customHeight="1">
      <c r="A1014" s="194" t="s">
        <v>3818</v>
      </c>
      <c r="B1014" s="9">
        <v>17</v>
      </c>
      <c r="C1014" s="161" t="s">
        <v>3731</v>
      </c>
      <c r="D1014" s="187">
        <v>3</v>
      </c>
      <c r="E1014" s="7">
        <v>2.6</v>
      </c>
    </row>
    <row r="1015" spans="1:5" customFormat="1" ht="14.25" customHeight="1">
      <c r="A1015" s="194" t="s">
        <v>3819</v>
      </c>
      <c r="B1015" s="9">
        <v>24.3</v>
      </c>
      <c r="C1015" s="161" t="s">
        <v>3730</v>
      </c>
      <c r="D1015" s="187">
        <v>3</v>
      </c>
      <c r="E1015" s="7">
        <v>3.9</v>
      </c>
    </row>
    <row r="1016" spans="1:5" customFormat="1" ht="14.25" customHeight="1">
      <c r="A1016" s="194" t="s">
        <v>3820</v>
      </c>
      <c r="B1016" s="9">
        <v>18.100000000000001</v>
      </c>
      <c r="C1016" s="161" t="s">
        <v>3733</v>
      </c>
      <c r="D1016" s="187">
        <v>3</v>
      </c>
      <c r="E1016" s="7">
        <v>2.5</v>
      </c>
    </row>
    <row r="1017" spans="1:5" customFormat="1" ht="14.25" customHeight="1">
      <c r="A1017" s="194" t="s">
        <v>3821</v>
      </c>
      <c r="B1017" s="9">
        <v>18.8</v>
      </c>
      <c r="C1017" s="161" t="s">
        <v>3732</v>
      </c>
      <c r="D1017" s="187">
        <v>3</v>
      </c>
      <c r="E1017" s="7">
        <v>2.8</v>
      </c>
    </row>
    <row r="1018" spans="1:5" customFormat="1" ht="14.25" customHeight="1">
      <c r="A1018" s="194" t="s">
        <v>3822</v>
      </c>
      <c r="B1018" s="9">
        <v>24.4</v>
      </c>
      <c r="C1018" s="161" t="s">
        <v>3727</v>
      </c>
      <c r="D1018" s="187">
        <v>3</v>
      </c>
      <c r="E1018" s="7">
        <v>3.9</v>
      </c>
    </row>
    <row r="1019" spans="1:5" customFormat="1" ht="14.25" customHeight="1">
      <c r="A1019" s="194" t="s">
        <v>3823</v>
      </c>
      <c r="B1019" s="9">
        <v>18</v>
      </c>
      <c r="C1019" s="161" t="s">
        <v>3736</v>
      </c>
      <c r="D1019" s="187">
        <v>3</v>
      </c>
      <c r="E1019" s="7">
        <v>1.88</v>
      </c>
    </row>
    <row r="1020" spans="1:5" customFormat="1" ht="14.25" customHeight="1">
      <c r="A1020" s="194" t="s">
        <v>3824</v>
      </c>
      <c r="B1020" s="9">
        <v>18</v>
      </c>
      <c r="C1020" s="163" t="s">
        <v>3738</v>
      </c>
      <c r="D1020" s="187">
        <v>3</v>
      </c>
      <c r="E1020" s="7">
        <v>2.8</v>
      </c>
    </row>
    <row r="1021" spans="1:5" customFormat="1" ht="14.25" customHeight="1">
      <c r="A1021" s="195" t="s">
        <v>3825</v>
      </c>
      <c r="B1021" s="9">
        <v>18</v>
      </c>
      <c r="C1021" s="162" t="s">
        <v>3831</v>
      </c>
      <c r="D1021" s="187"/>
    </row>
    <row r="1022" spans="1:5" customFormat="1" ht="14.25" customHeight="1">
      <c r="A1022" s="194" t="s">
        <v>3826</v>
      </c>
      <c r="B1022" s="9">
        <v>18</v>
      </c>
      <c r="C1022" s="161" t="s">
        <v>3740</v>
      </c>
      <c r="D1022" s="187">
        <v>3</v>
      </c>
      <c r="E1022" s="7">
        <v>3.2</v>
      </c>
    </row>
    <row r="1023" spans="1:5" customFormat="1" ht="14.25" customHeight="1">
      <c r="A1023" s="195" t="s">
        <v>3827</v>
      </c>
      <c r="B1023" s="9">
        <v>18</v>
      </c>
      <c r="C1023" s="162" t="s">
        <v>3832</v>
      </c>
      <c r="D1023" s="187"/>
    </row>
    <row r="1024" spans="1:5" customFormat="1" ht="14.25" customHeight="1">
      <c r="A1024" s="194" t="s">
        <v>3828</v>
      </c>
      <c r="B1024" s="9">
        <v>18</v>
      </c>
      <c r="C1024" s="161" t="s">
        <v>3739</v>
      </c>
      <c r="D1024" s="187">
        <v>3</v>
      </c>
      <c r="E1024" s="7">
        <v>3.2</v>
      </c>
    </row>
    <row r="1025" spans="1:19" customFormat="1" ht="14.25" customHeight="1">
      <c r="A1025" s="194" t="s">
        <v>3833</v>
      </c>
      <c r="B1025" s="9">
        <v>18</v>
      </c>
      <c r="C1025" s="161" t="s">
        <v>3737</v>
      </c>
      <c r="D1025" s="187">
        <v>3</v>
      </c>
      <c r="E1025" s="7">
        <v>2.9</v>
      </c>
    </row>
    <row r="1026" spans="1:19" customFormat="1" ht="14.25" customHeight="1">
      <c r="A1026" s="195" t="s">
        <v>3834</v>
      </c>
      <c r="B1026" s="9">
        <v>18</v>
      </c>
      <c r="C1026" s="162" t="s">
        <v>3835</v>
      </c>
      <c r="D1026" s="187"/>
    </row>
    <row r="1027" spans="1:19" customFormat="1" ht="14.25" customHeight="1">
      <c r="A1027" s="195" t="s">
        <v>3847</v>
      </c>
      <c r="B1027" s="9">
        <v>18</v>
      </c>
      <c r="C1027" s="162" t="s">
        <v>3836</v>
      </c>
      <c r="D1027" s="187"/>
    </row>
    <row r="1028" spans="1:19" customFormat="1" ht="14.25" customHeight="1">
      <c r="A1028" s="195" t="s">
        <v>3848</v>
      </c>
      <c r="B1028" s="9">
        <v>18</v>
      </c>
      <c r="C1028" s="162" t="s">
        <v>3837</v>
      </c>
      <c r="D1028" s="187"/>
    </row>
    <row r="1029" spans="1:19" customFormat="1" ht="14.25" customHeight="1">
      <c r="A1029" s="195" t="s">
        <v>3849</v>
      </c>
      <c r="B1029" s="9">
        <v>18</v>
      </c>
      <c r="C1029" s="162" t="s">
        <v>3838</v>
      </c>
      <c r="D1029" s="187"/>
    </row>
    <row r="1030" spans="1:19" customFormat="1" ht="14.25" customHeight="1">
      <c r="A1030" s="194" t="s">
        <v>3850</v>
      </c>
      <c r="B1030" s="9"/>
      <c r="C1030" s="161" t="s">
        <v>3735</v>
      </c>
      <c r="D1030" s="187">
        <v>5</v>
      </c>
      <c r="E1030" s="7">
        <v>0.33</v>
      </c>
    </row>
    <row r="1031" spans="1:19" customFormat="1" ht="14.25" customHeight="1">
      <c r="A1031" s="194" t="s">
        <v>3851</v>
      </c>
      <c r="B1031" s="9">
        <v>9.1999999999999993</v>
      </c>
      <c r="C1031" s="161" t="s">
        <v>3734</v>
      </c>
      <c r="D1031" s="187">
        <v>5</v>
      </c>
      <c r="E1031" s="7">
        <v>0.45</v>
      </c>
    </row>
    <row r="1032" spans="1:19" customFormat="1" ht="14.25" customHeight="1">
      <c r="A1032" s="195" t="s">
        <v>3852</v>
      </c>
      <c r="B1032" s="9"/>
      <c r="C1032" s="162" t="s">
        <v>3839</v>
      </c>
      <c r="D1032" s="187"/>
    </row>
    <row r="1033" spans="1:19" customFormat="1" ht="14.25" customHeight="1">
      <c r="A1033" s="195" t="s">
        <v>3853</v>
      </c>
      <c r="B1033" s="9"/>
      <c r="C1033" s="162" t="s">
        <v>3846</v>
      </c>
      <c r="D1033" s="187"/>
    </row>
    <row r="1034" spans="1:19" customFormat="1" ht="14.25" customHeight="1">
      <c r="A1034" s="194" t="s">
        <v>3854</v>
      </c>
      <c r="B1034" s="9">
        <v>55</v>
      </c>
      <c r="C1034" s="161" t="s">
        <v>3720</v>
      </c>
      <c r="D1034" s="187">
        <v>3</v>
      </c>
      <c r="E1034" s="7">
        <v>2.69</v>
      </c>
    </row>
    <row r="1035" spans="1:19" customFormat="1" ht="14.25" customHeight="1">
      <c r="A1035" s="128" t="s">
        <v>3096</v>
      </c>
      <c r="B1035" s="9">
        <v>40.5</v>
      </c>
      <c r="C1035" s="7" t="s">
        <v>1351</v>
      </c>
      <c r="D1035" s="187">
        <v>3</v>
      </c>
      <c r="E1035" s="7">
        <v>0.62</v>
      </c>
      <c r="F1035" s="7"/>
      <c r="G1035" s="7"/>
      <c r="H1035" s="7"/>
      <c r="I1035" s="7"/>
      <c r="J1035" s="7"/>
      <c r="K1035" s="7"/>
      <c r="L1035" s="7"/>
      <c r="M1035" s="7"/>
      <c r="N1035" s="7"/>
      <c r="O1035" s="7"/>
      <c r="P1035" s="7"/>
      <c r="Q1035" s="7"/>
      <c r="R1035" s="7"/>
      <c r="S1035" s="7"/>
    </row>
    <row r="1036" spans="1:19" customFormat="1" ht="14.25" customHeight="1">
      <c r="A1036" s="128" t="s">
        <v>3097</v>
      </c>
      <c r="B1036" s="9">
        <v>40.5</v>
      </c>
      <c r="C1036" s="7" t="s">
        <v>1374</v>
      </c>
      <c r="D1036" s="187">
        <v>3</v>
      </c>
      <c r="E1036" s="7">
        <v>0.62</v>
      </c>
      <c r="F1036" s="7"/>
      <c r="G1036" s="7"/>
      <c r="H1036" s="7"/>
      <c r="I1036" s="7"/>
      <c r="J1036" s="7"/>
      <c r="K1036" s="7"/>
      <c r="L1036" s="7"/>
      <c r="M1036" s="7"/>
      <c r="N1036" s="7"/>
      <c r="O1036" s="7"/>
      <c r="P1036" s="7"/>
      <c r="Q1036" s="7"/>
      <c r="R1036" s="7"/>
      <c r="S1036" s="7"/>
    </row>
    <row r="1037" spans="1:19" customFormat="1" ht="14.25" customHeight="1">
      <c r="A1037" s="128" t="s">
        <v>3098</v>
      </c>
      <c r="B1037" s="9">
        <v>40.5</v>
      </c>
      <c r="C1037" s="7" t="s">
        <v>1353</v>
      </c>
      <c r="D1037" s="187">
        <v>3</v>
      </c>
      <c r="E1037" s="7">
        <v>0.62</v>
      </c>
      <c r="F1037" s="7"/>
      <c r="G1037" s="7"/>
      <c r="H1037" s="7"/>
      <c r="I1037" s="7"/>
      <c r="J1037" s="7"/>
      <c r="K1037" s="7"/>
      <c r="L1037" s="7"/>
      <c r="M1037" s="7"/>
      <c r="N1037" s="7"/>
      <c r="O1037" s="7"/>
      <c r="P1037" s="7"/>
      <c r="Q1037" s="7"/>
      <c r="R1037" s="7"/>
      <c r="S1037" s="7"/>
    </row>
    <row r="1038" spans="1:19" customFormat="1" ht="14.25" customHeight="1">
      <c r="A1038" s="128" t="s">
        <v>3099</v>
      </c>
      <c r="B1038" s="9">
        <v>40.5</v>
      </c>
      <c r="C1038" s="7" t="s">
        <v>1355</v>
      </c>
      <c r="D1038" s="187">
        <v>3</v>
      </c>
      <c r="E1038" s="7">
        <v>0.62</v>
      </c>
      <c r="F1038" s="7"/>
      <c r="G1038" s="7"/>
      <c r="H1038" s="7"/>
      <c r="I1038" s="7"/>
      <c r="J1038" s="7"/>
      <c r="K1038" s="7"/>
      <c r="L1038" s="7"/>
      <c r="M1038" s="7"/>
      <c r="N1038" s="7"/>
      <c r="O1038" s="7"/>
      <c r="P1038" s="7"/>
      <c r="Q1038" s="7"/>
      <c r="R1038" s="7"/>
      <c r="S1038" s="7"/>
    </row>
    <row r="1039" spans="1:19" customFormat="1" ht="14.25" customHeight="1">
      <c r="A1039" s="128" t="s">
        <v>3100</v>
      </c>
      <c r="B1039" s="9">
        <v>40.5</v>
      </c>
      <c r="C1039" s="7" t="s">
        <v>1356</v>
      </c>
      <c r="D1039" s="187">
        <v>3</v>
      </c>
      <c r="E1039" s="7">
        <v>0.62</v>
      </c>
      <c r="F1039" s="7"/>
      <c r="G1039" s="7"/>
      <c r="H1039" s="7"/>
      <c r="I1039" s="7"/>
      <c r="J1039" s="7"/>
      <c r="K1039" s="7"/>
      <c r="L1039" s="7"/>
      <c r="M1039" s="7"/>
      <c r="N1039" s="7"/>
      <c r="O1039" s="7"/>
      <c r="P1039" s="7"/>
      <c r="Q1039" s="7"/>
      <c r="R1039" s="7"/>
      <c r="S1039" s="7"/>
    </row>
    <row r="1040" spans="1:19" customFormat="1" ht="14.25" customHeight="1">
      <c r="A1040" s="128" t="s">
        <v>3101</v>
      </c>
      <c r="B1040" s="9">
        <v>40.5</v>
      </c>
      <c r="C1040" s="7" t="s">
        <v>1354</v>
      </c>
      <c r="D1040" s="187">
        <v>3</v>
      </c>
      <c r="E1040" s="7">
        <v>0.62</v>
      </c>
      <c r="F1040" s="7"/>
      <c r="G1040" s="7"/>
      <c r="H1040" s="7"/>
      <c r="I1040" s="7"/>
      <c r="J1040" s="7"/>
      <c r="K1040" s="7"/>
      <c r="L1040" s="7"/>
      <c r="M1040" s="7"/>
      <c r="N1040" s="7"/>
      <c r="O1040" s="7"/>
      <c r="P1040" s="7"/>
      <c r="Q1040" s="7"/>
      <c r="R1040" s="7"/>
      <c r="S1040" s="7"/>
    </row>
    <row r="1041" spans="1:19" customFormat="1" ht="14.25" customHeight="1">
      <c r="A1041" s="128" t="s">
        <v>3102</v>
      </c>
      <c r="B1041" s="9">
        <v>40.5</v>
      </c>
      <c r="C1041" s="7" t="s">
        <v>1352</v>
      </c>
      <c r="D1041" s="187">
        <v>3</v>
      </c>
      <c r="E1041" s="7">
        <v>0.62</v>
      </c>
      <c r="F1041" s="7"/>
      <c r="G1041" s="7"/>
      <c r="H1041" s="7"/>
      <c r="I1041" s="7"/>
      <c r="J1041" s="7"/>
      <c r="K1041" s="7"/>
      <c r="L1041" s="7"/>
      <c r="M1041" s="7"/>
      <c r="N1041" s="7"/>
      <c r="O1041" s="7"/>
      <c r="P1041" s="7"/>
      <c r="Q1041" s="7"/>
      <c r="R1041" s="7"/>
      <c r="S1041" s="7"/>
    </row>
    <row r="1042" spans="1:19" customFormat="1" ht="14.25" customHeight="1">
      <c r="A1042" s="128" t="s">
        <v>3103</v>
      </c>
      <c r="B1042" s="9">
        <f>15.6+30.7</f>
        <v>46.3</v>
      </c>
      <c r="C1042" s="7" t="s">
        <v>1357</v>
      </c>
      <c r="D1042" s="187">
        <v>3</v>
      </c>
      <c r="E1042" s="7">
        <v>2.4</v>
      </c>
      <c r="F1042" s="7"/>
      <c r="G1042" s="7"/>
      <c r="H1042" s="7"/>
      <c r="I1042" s="7"/>
      <c r="J1042" s="7"/>
      <c r="K1042" s="7"/>
      <c r="L1042" s="7"/>
      <c r="M1042" s="7"/>
      <c r="N1042" s="7"/>
      <c r="O1042" s="7"/>
      <c r="P1042" s="7"/>
      <c r="Q1042" s="7"/>
      <c r="R1042" s="7"/>
      <c r="S1042" s="7"/>
    </row>
    <row r="1043" spans="1:19" customFormat="1" ht="14.25" customHeight="1">
      <c r="A1043" s="128" t="s">
        <v>3104</v>
      </c>
      <c r="B1043" s="9">
        <f>15.6+30.7</f>
        <v>46.3</v>
      </c>
      <c r="C1043" s="7" t="s">
        <v>1358</v>
      </c>
      <c r="D1043" s="187">
        <v>3</v>
      </c>
      <c r="E1043" s="7">
        <v>2.4</v>
      </c>
      <c r="F1043" s="7"/>
      <c r="G1043" s="7"/>
      <c r="H1043" s="7"/>
      <c r="I1043" s="7"/>
      <c r="J1043" s="7"/>
      <c r="K1043" s="7"/>
      <c r="L1043" s="7"/>
      <c r="M1043" s="7"/>
      <c r="N1043" s="7"/>
      <c r="O1043" s="7"/>
      <c r="P1043" s="7"/>
      <c r="Q1043" s="7"/>
      <c r="R1043" s="7"/>
      <c r="S1043" s="7"/>
    </row>
    <row r="1044" spans="1:19" customFormat="1" ht="14.25" customHeight="1">
      <c r="A1044" s="128" t="s">
        <v>3105</v>
      </c>
      <c r="B1044" s="9">
        <f>46-7</f>
        <v>39</v>
      </c>
      <c r="C1044" s="7" t="s">
        <v>1359</v>
      </c>
      <c r="D1044" s="187">
        <v>6</v>
      </c>
      <c r="E1044" s="7">
        <v>1.45</v>
      </c>
      <c r="F1044" s="7"/>
      <c r="G1044" s="7"/>
      <c r="H1044" s="7"/>
      <c r="I1044" s="7"/>
      <c r="J1044" s="7"/>
      <c r="K1044" s="7"/>
      <c r="L1044" s="7"/>
      <c r="M1044" s="7"/>
      <c r="N1044" s="7"/>
      <c r="O1044" s="7"/>
      <c r="P1044" s="7"/>
      <c r="Q1044" s="7"/>
      <c r="R1044" s="7"/>
      <c r="S1044" s="7"/>
    </row>
    <row r="1045" spans="1:19" customFormat="1" ht="14.25" customHeight="1">
      <c r="A1045" s="128" t="s">
        <v>3106</v>
      </c>
      <c r="B1045" s="9">
        <f>53.2-7</f>
        <v>46.2</v>
      </c>
      <c r="C1045" s="7" t="s">
        <v>1377</v>
      </c>
      <c r="D1045" s="187">
        <v>3</v>
      </c>
      <c r="E1045" s="7">
        <v>2.1</v>
      </c>
      <c r="F1045" s="7"/>
      <c r="G1045" s="7"/>
      <c r="H1045" s="7"/>
      <c r="I1045" s="7"/>
      <c r="J1045" s="7"/>
      <c r="K1045" s="7"/>
      <c r="L1045" s="7"/>
      <c r="M1045" s="7"/>
      <c r="N1045" s="7"/>
      <c r="O1045" s="7"/>
      <c r="P1045" s="7"/>
      <c r="Q1045" s="7"/>
      <c r="R1045" s="7"/>
      <c r="S1045" s="7"/>
    </row>
    <row r="1046" spans="1:19" customFormat="1" ht="14.25" customHeight="1">
      <c r="A1046" s="128" t="s">
        <v>3107</v>
      </c>
      <c r="B1046" s="9">
        <f>85.4-7</f>
        <v>78.400000000000006</v>
      </c>
      <c r="C1046" s="7" t="s">
        <v>1360</v>
      </c>
      <c r="D1046" s="187">
        <v>3</v>
      </c>
      <c r="E1046" s="7">
        <v>1.94</v>
      </c>
      <c r="F1046" s="7"/>
      <c r="G1046" s="7"/>
      <c r="H1046" s="7"/>
      <c r="I1046" s="7"/>
      <c r="J1046" s="7"/>
      <c r="K1046" s="7"/>
      <c r="L1046" s="7"/>
      <c r="M1046" s="7"/>
      <c r="N1046" s="7"/>
      <c r="O1046" s="7"/>
      <c r="P1046" s="7"/>
      <c r="Q1046" s="7"/>
      <c r="R1046" s="7"/>
      <c r="S1046" s="7"/>
    </row>
    <row r="1047" spans="1:19" customFormat="1" ht="14.25" customHeight="1">
      <c r="A1047" s="128" t="s">
        <v>3108</v>
      </c>
      <c r="B1047" s="9">
        <f>85.4-7</f>
        <v>78.400000000000006</v>
      </c>
      <c r="C1047" s="7" t="s">
        <v>1380</v>
      </c>
      <c r="D1047" s="187">
        <v>3</v>
      </c>
      <c r="E1047" s="7">
        <v>1.94</v>
      </c>
      <c r="F1047" s="7"/>
      <c r="G1047" s="7"/>
      <c r="H1047" s="7"/>
      <c r="I1047" s="7"/>
      <c r="J1047" s="7"/>
      <c r="K1047" s="7"/>
      <c r="L1047" s="7"/>
      <c r="M1047" s="7"/>
      <c r="N1047" s="7"/>
      <c r="O1047" s="7"/>
      <c r="P1047" s="7"/>
      <c r="Q1047" s="7"/>
      <c r="R1047" s="7"/>
      <c r="S1047" s="7"/>
    </row>
    <row r="1048" spans="1:19" customFormat="1" ht="14.25" customHeight="1">
      <c r="A1048" s="128" t="s">
        <v>3109</v>
      </c>
      <c r="B1048" s="9">
        <f>85.4-7</f>
        <v>78.400000000000006</v>
      </c>
      <c r="C1048" s="7" t="s">
        <v>1381</v>
      </c>
      <c r="D1048" s="187">
        <v>3</v>
      </c>
      <c r="E1048" s="7">
        <v>1.94</v>
      </c>
      <c r="F1048" s="7"/>
      <c r="G1048" s="7"/>
      <c r="H1048" s="7"/>
      <c r="I1048" s="7"/>
      <c r="J1048" s="7"/>
      <c r="K1048" s="7"/>
      <c r="L1048" s="7"/>
      <c r="M1048" s="7"/>
      <c r="N1048" s="7"/>
      <c r="O1048" s="7"/>
      <c r="P1048" s="7"/>
      <c r="Q1048" s="7"/>
      <c r="R1048" s="7"/>
      <c r="S1048" s="4"/>
    </row>
    <row r="1049" spans="1:19" customFormat="1" ht="14.25" customHeight="1">
      <c r="A1049" s="128" t="s">
        <v>3110</v>
      </c>
      <c r="B1049" s="9">
        <f>39.5-7</f>
        <v>32.5</v>
      </c>
      <c r="C1049" s="7" t="s">
        <v>1361</v>
      </c>
      <c r="D1049" s="187">
        <v>3</v>
      </c>
      <c r="E1049" s="7">
        <v>1.88</v>
      </c>
      <c r="F1049" s="7"/>
      <c r="G1049" s="7"/>
      <c r="H1049" s="7"/>
      <c r="I1049" s="7"/>
      <c r="J1049" s="7"/>
      <c r="K1049" s="7"/>
      <c r="L1049" s="7"/>
      <c r="M1049" s="7"/>
      <c r="N1049" s="7"/>
      <c r="O1049" s="7"/>
      <c r="P1049" s="7"/>
      <c r="Q1049" s="7"/>
      <c r="R1049" s="7"/>
      <c r="S1049" s="7"/>
    </row>
    <row r="1050" spans="1:19" customFormat="1" ht="14.25" customHeight="1">
      <c r="A1050" s="128" t="s">
        <v>3111</v>
      </c>
      <c r="B1050" s="9">
        <f>39.5-7</f>
        <v>32.5</v>
      </c>
      <c r="C1050" s="7" t="s">
        <v>1362</v>
      </c>
      <c r="D1050" s="187">
        <v>3</v>
      </c>
      <c r="E1050" s="7">
        <v>1.88</v>
      </c>
      <c r="F1050" s="7"/>
      <c r="G1050" s="7"/>
      <c r="H1050" s="7"/>
      <c r="I1050" s="7"/>
      <c r="J1050" s="7"/>
      <c r="K1050" s="7"/>
      <c r="L1050" s="7"/>
      <c r="M1050" s="7"/>
      <c r="N1050" s="7"/>
      <c r="O1050" s="7"/>
      <c r="P1050" s="7"/>
      <c r="Q1050" s="7"/>
      <c r="R1050" s="7"/>
      <c r="S1050" s="7"/>
    </row>
    <row r="1051" spans="1:19" customFormat="1" ht="14.25" customHeight="1">
      <c r="A1051" s="128" t="s">
        <v>3112</v>
      </c>
      <c r="B1051" s="9">
        <f>39.5-7</f>
        <v>32.5</v>
      </c>
      <c r="C1051" s="7" t="s">
        <v>1382</v>
      </c>
      <c r="D1051" s="187">
        <v>3</v>
      </c>
      <c r="E1051" s="7">
        <v>1.88</v>
      </c>
      <c r="F1051" s="7"/>
      <c r="G1051" s="7"/>
      <c r="H1051" s="7"/>
      <c r="I1051" s="7"/>
      <c r="J1051" s="7"/>
      <c r="K1051" s="7"/>
      <c r="L1051" s="7"/>
      <c r="M1051" s="7"/>
      <c r="N1051" s="7"/>
      <c r="O1051" s="7"/>
      <c r="P1051" s="7"/>
      <c r="Q1051" s="7"/>
      <c r="R1051" s="7"/>
      <c r="S1051" s="7"/>
    </row>
    <row r="1052" spans="1:19" customFormat="1" ht="14.25" customHeight="1">
      <c r="A1052" s="128" t="s">
        <v>3113</v>
      </c>
      <c r="B1052" s="9">
        <v>25.5</v>
      </c>
      <c r="C1052" s="7" t="s">
        <v>3183</v>
      </c>
      <c r="D1052" s="187">
        <v>6</v>
      </c>
      <c r="E1052" s="7">
        <v>1.49</v>
      </c>
      <c r="F1052" s="7"/>
      <c r="G1052" s="7"/>
      <c r="H1052" s="7"/>
      <c r="I1052" s="7"/>
      <c r="J1052" s="7"/>
      <c r="K1052" s="7"/>
      <c r="L1052" s="7"/>
      <c r="M1052" s="7"/>
      <c r="N1052" s="7"/>
      <c r="O1052" s="7"/>
      <c r="P1052" s="7"/>
      <c r="Q1052" s="7"/>
      <c r="R1052" s="7"/>
      <c r="S1052" s="7"/>
    </row>
    <row r="1053" spans="1:19" customFormat="1" ht="14.25" customHeight="1">
      <c r="A1053" s="128" t="s">
        <v>3114</v>
      </c>
      <c r="B1053" s="9">
        <v>24.5</v>
      </c>
      <c r="C1053" s="7" t="s">
        <v>1363</v>
      </c>
      <c r="D1053" s="187">
        <v>3</v>
      </c>
      <c r="E1053" s="7">
        <v>2.0699999999999998</v>
      </c>
      <c r="F1053" s="7"/>
      <c r="G1053" s="7"/>
      <c r="H1053" s="7"/>
      <c r="I1053" s="7"/>
      <c r="J1053" s="7"/>
      <c r="K1053" s="7"/>
      <c r="L1053" s="7"/>
      <c r="M1053" s="7"/>
      <c r="N1053" s="7"/>
      <c r="O1053" s="7"/>
      <c r="P1053" s="7"/>
      <c r="Q1053" s="7"/>
      <c r="R1053" s="7"/>
      <c r="S1053" s="7"/>
    </row>
    <row r="1054" spans="1:19" customFormat="1" ht="14.25" customHeight="1">
      <c r="A1054" s="128" t="s">
        <v>3115</v>
      </c>
      <c r="B1054" s="9">
        <v>24.5</v>
      </c>
      <c r="C1054" s="7" t="s">
        <v>1379</v>
      </c>
      <c r="D1054" s="187">
        <v>3</v>
      </c>
      <c r="E1054" s="7">
        <v>2.0699999999999998</v>
      </c>
      <c r="F1054" s="7"/>
      <c r="G1054" s="7"/>
      <c r="H1054" s="7"/>
      <c r="I1054" s="7"/>
      <c r="J1054" s="7"/>
      <c r="K1054" s="7"/>
      <c r="L1054" s="7"/>
      <c r="M1054" s="7"/>
      <c r="N1054" s="7"/>
      <c r="O1054" s="7"/>
      <c r="P1054" s="7"/>
      <c r="Q1054" s="7"/>
      <c r="R1054" s="7"/>
      <c r="S1054" s="7"/>
    </row>
    <row r="1055" spans="1:19" customFormat="1" ht="14.25" customHeight="1">
      <c r="A1055" s="128" t="s">
        <v>3116</v>
      </c>
      <c r="B1055" s="9">
        <v>24.5</v>
      </c>
      <c r="C1055" s="7" t="s">
        <v>1383</v>
      </c>
      <c r="D1055" s="187">
        <v>3</v>
      </c>
      <c r="E1055" s="7">
        <v>2.0699999999999998</v>
      </c>
      <c r="F1055" s="7"/>
      <c r="G1055" s="7"/>
      <c r="H1055" s="7"/>
      <c r="I1055" s="7"/>
      <c r="J1055" s="7"/>
      <c r="K1055" s="7"/>
      <c r="L1055" s="7"/>
      <c r="M1055" s="7"/>
      <c r="N1055" s="7"/>
      <c r="O1055" s="7"/>
      <c r="P1055" s="7"/>
      <c r="Q1055" s="7"/>
      <c r="R1055" s="7"/>
      <c r="S1055" s="7"/>
    </row>
    <row r="1056" spans="1:19" customFormat="1" ht="14.25" customHeight="1">
      <c r="A1056" s="128" t="s">
        <v>3117</v>
      </c>
      <c r="B1056" s="9">
        <v>28</v>
      </c>
      <c r="C1056" s="7" t="s">
        <v>1375</v>
      </c>
      <c r="D1056" s="187">
        <v>3</v>
      </c>
      <c r="E1056" s="7">
        <v>2.2200000000000002</v>
      </c>
      <c r="F1056" s="7"/>
      <c r="G1056" s="7"/>
      <c r="H1056" s="7"/>
      <c r="I1056" s="7"/>
      <c r="J1056" s="7"/>
      <c r="K1056" s="7"/>
      <c r="L1056" s="7"/>
      <c r="M1056" s="7"/>
      <c r="N1056" s="7"/>
      <c r="O1056" s="7"/>
      <c r="P1056" s="7"/>
      <c r="Q1056" s="7"/>
      <c r="R1056" s="7"/>
      <c r="S1056" s="7"/>
    </row>
    <row r="1057" spans="1:19" customFormat="1" ht="14.25" customHeight="1">
      <c r="A1057" s="128" t="s">
        <v>3118</v>
      </c>
      <c r="B1057" s="9">
        <v>28</v>
      </c>
      <c r="C1057" s="7" t="s">
        <v>1376</v>
      </c>
      <c r="D1057" s="187">
        <v>3</v>
      </c>
      <c r="E1057" s="7">
        <v>2.2200000000000002</v>
      </c>
      <c r="F1057" s="7"/>
      <c r="G1057" s="7"/>
      <c r="H1057" s="7"/>
      <c r="I1057" s="7"/>
      <c r="J1057" s="7"/>
      <c r="K1057" s="7"/>
      <c r="L1057" s="7"/>
      <c r="M1057" s="7"/>
      <c r="N1057" s="7"/>
      <c r="O1057" s="7"/>
      <c r="P1057" s="7"/>
      <c r="Q1057" s="7"/>
      <c r="R1057" s="7"/>
      <c r="S1057" s="7"/>
    </row>
    <row r="1058" spans="1:19" customFormat="1" ht="14.25" customHeight="1">
      <c r="A1058" s="128" t="s">
        <v>3119</v>
      </c>
      <c r="B1058" s="9">
        <v>28</v>
      </c>
      <c r="C1058" s="7" t="s">
        <v>1378</v>
      </c>
      <c r="D1058" s="187">
        <v>3</v>
      </c>
      <c r="E1058" s="7">
        <v>2.2200000000000002</v>
      </c>
      <c r="F1058" s="7"/>
      <c r="G1058" s="7"/>
      <c r="H1058" s="7"/>
      <c r="I1058" s="7"/>
      <c r="J1058" s="7"/>
      <c r="K1058" s="7"/>
      <c r="L1058" s="7"/>
      <c r="M1058" s="7"/>
      <c r="N1058" s="7"/>
      <c r="O1058" s="7"/>
      <c r="P1058" s="7"/>
      <c r="Q1058" s="7"/>
      <c r="R1058" s="7"/>
      <c r="S1058" s="7"/>
    </row>
    <row r="1059" spans="1:19" customFormat="1" ht="14.25" customHeight="1">
      <c r="A1059" s="152" t="s">
        <v>3383</v>
      </c>
      <c r="B1059" s="9">
        <v>16.5</v>
      </c>
      <c r="C1059" s="141" t="s">
        <v>3650</v>
      </c>
      <c r="D1059" s="187">
        <v>5</v>
      </c>
      <c r="E1059" s="7">
        <v>0.28000000000000003</v>
      </c>
      <c r="F1059" s="7"/>
      <c r="G1059" s="7"/>
      <c r="H1059" s="7"/>
      <c r="I1059" s="7"/>
      <c r="J1059" s="7"/>
      <c r="K1059" s="7"/>
      <c r="L1059" s="7"/>
      <c r="M1059" s="7"/>
      <c r="N1059" s="7"/>
      <c r="O1059" s="7"/>
      <c r="P1059" s="7"/>
      <c r="Q1059" s="7"/>
      <c r="R1059" s="7"/>
      <c r="S1059" s="7"/>
    </row>
    <row r="1060" spans="1:19" customFormat="1" ht="14.25" customHeight="1">
      <c r="A1060" s="152" t="s">
        <v>3384</v>
      </c>
      <c r="B1060" s="9">
        <v>9.1999999999999993</v>
      </c>
      <c r="C1060" s="141" t="s">
        <v>3645</v>
      </c>
      <c r="D1060" s="190">
        <v>5</v>
      </c>
      <c r="E1060" s="7">
        <v>0.32</v>
      </c>
      <c r="F1060" s="7"/>
      <c r="G1060" s="7"/>
      <c r="H1060" s="7"/>
      <c r="I1060" s="7"/>
      <c r="J1060" s="7"/>
      <c r="K1060" s="7"/>
      <c r="L1060" s="7"/>
      <c r="M1060" s="7"/>
      <c r="N1060" s="7"/>
      <c r="O1060" s="7"/>
      <c r="P1060" s="7"/>
      <c r="Q1060" s="7"/>
      <c r="R1060" s="7"/>
      <c r="S1060" s="7"/>
    </row>
    <row r="1061" spans="1:19" customFormat="1" ht="14.25" customHeight="1">
      <c r="A1061" s="151" t="s">
        <v>3651</v>
      </c>
      <c r="B1061" s="9">
        <v>22.2</v>
      </c>
      <c r="C1061" s="7" t="s">
        <v>2159</v>
      </c>
      <c r="D1061" s="190">
        <v>5</v>
      </c>
      <c r="E1061" s="7">
        <v>0.9</v>
      </c>
      <c r="F1061" s="7"/>
      <c r="G1061" s="7"/>
      <c r="H1061" s="7"/>
      <c r="I1061" s="7"/>
      <c r="J1061" s="7"/>
      <c r="K1061" s="7"/>
      <c r="L1061" s="7"/>
      <c r="M1061" s="7"/>
      <c r="N1061" s="7"/>
      <c r="O1061" s="7"/>
      <c r="P1061" s="7"/>
      <c r="Q1061" s="7"/>
      <c r="R1061" s="7"/>
      <c r="S1061" s="7"/>
    </row>
    <row r="1062" spans="1:19" customFormat="1" ht="14.25" customHeight="1">
      <c r="A1062" s="151" t="s">
        <v>3656</v>
      </c>
      <c r="B1062" s="9">
        <v>31.5</v>
      </c>
      <c r="C1062" s="141" t="s">
        <v>3657</v>
      </c>
      <c r="D1062" s="187">
        <v>5</v>
      </c>
      <c r="E1062" s="7">
        <v>1</v>
      </c>
      <c r="F1062" s="7"/>
      <c r="G1062" s="7"/>
      <c r="H1062" s="7"/>
      <c r="I1062" s="7"/>
      <c r="J1062" s="7"/>
      <c r="K1062" s="7"/>
      <c r="L1062" s="7"/>
      <c r="M1062" s="7"/>
      <c r="N1062" s="7"/>
      <c r="O1062" s="7"/>
      <c r="P1062" s="7"/>
      <c r="Q1062" s="7"/>
      <c r="R1062" s="7"/>
      <c r="S1062" s="4"/>
    </row>
    <row r="1063" spans="1:19" customFormat="1" ht="14.25" customHeight="1">
      <c r="A1063" s="151" t="s">
        <v>3387</v>
      </c>
      <c r="B1063" s="9">
        <v>31.5</v>
      </c>
      <c r="C1063" s="141" t="s">
        <v>3658</v>
      </c>
      <c r="D1063" s="187">
        <v>3</v>
      </c>
      <c r="E1063" s="7">
        <v>1</v>
      </c>
      <c r="F1063" s="7"/>
      <c r="G1063" s="7"/>
      <c r="H1063" s="7"/>
      <c r="I1063" s="7"/>
      <c r="J1063" s="7"/>
      <c r="K1063" s="7"/>
      <c r="L1063" s="7"/>
      <c r="M1063" s="7"/>
      <c r="N1063" s="7"/>
      <c r="O1063" s="7"/>
      <c r="P1063" s="7"/>
      <c r="Q1063" s="7"/>
      <c r="R1063" s="7"/>
      <c r="S1063" s="7"/>
    </row>
    <row r="1064" spans="1:19" customFormat="1" ht="14.25" customHeight="1">
      <c r="A1064" s="151" t="s">
        <v>3388</v>
      </c>
      <c r="B1064" s="9">
        <v>31.5</v>
      </c>
      <c r="C1064" s="141" t="s">
        <v>3659</v>
      </c>
      <c r="D1064" s="187">
        <v>3</v>
      </c>
      <c r="E1064" s="7">
        <v>1</v>
      </c>
      <c r="F1064" s="7"/>
      <c r="G1064" s="7"/>
      <c r="H1064" s="7"/>
      <c r="I1064" s="7"/>
      <c r="J1064" s="7"/>
      <c r="K1064" s="7"/>
      <c r="L1064" s="7"/>
      <c r="M1064" s="7"/>
      <c r="N1064" s="7"/>
      <c r="O1064" s="7"/>
      <c r="P1064" s="7"/>
      <c r="Q1064" s="7"/>
      <c r="R1064" s="7"/>
      <c r="S1064" s="7"/>
    </row>
    <row r="1065" spans="1:19" customFormat="1" ht="14.25" customHeight="1">
      <c r="A1065" s="151" t="s">
        <v>3389</v>
      </c>
      <c r="B1065" s="9">
        <v>31.5</v>
      </c>
      <c r="C1065" s="141" t="s">
        <v>3655</v>
      </c>
      <c r="D1065" s="187">
        <v>2</v>
      </c>
      <c r="E1065" s="7">
        <v>1</v>
      </c>
      <c r="F1065" s="7"/>
      <c r="G1065" s="7"/>
      <c r="H1065" s="7"/>
      <c r="I1065" s="7"/>
      <c r="J1065" s="7"/>
      <c r="K1065" s="7"/>
      <c r="L1065" s="7"/>
      <c r="M1065" s="7"/>
      <c r="N1065" s="7"/>
      <c r="O1065" s="7"/>
      <c r="P1065" s="7"/>
      <c r="Q1065" s="7"/>
      <c r="R1065" s="7"/>
      <c r="S1065" s="7"/>
    </row>
    <row r="1066" spans="1:19" customFormat="1" ht="14.25" customHeight="1">
      <c r="A1066" s="151" t="s">
        <v>3390</v>
      </c>
      <c r="B1066" s="9">
        <v>31.5</v>
      </c>
      <c r="C1066" s="141" t="s">
        <v>3660</v>
      </c>
      <c r="D1066" s="187">
        <v>1</v>
      </c>
      <c r="E1066" s="7">
        <v>1</v>
      </c>
      <c r="F1066" s="7"/>
      <c r="G1066" s="7"/>
      <c r="H1066" s="7"/>
      <c r="I1066" s="7"/>
      <c r="J1066" s="7"/>
      <c r="K1066" s="7"/>
      <c r="L1066" s="7"/>
      <c r="M1066" s="7"/>
      <c r="N1066" s="7"/>
      <c r="O1066" s="7"/>
      <c r="P1066" s="7"/>
      <c r="Q1066" s="7"/>
      <c r="R1066" s="7"/>
      <c r="S1066" s="7"/>
    </row>
    <row r="1067" spans="1:19" customFormat="1" ht="14.25" customHeight="1">
      <c r="A1067" s="151" t="s">
        <v>3662</v>
      </c>
      <c r="B1067" s="9">
        <v>31.5</v>
      </c>
      <c r="C1067" s="141" t="s">
        <v>3661</v>
      </c>
      <c r="D1067" s="187">
        <v>1</v>
      </c>
      <c r="E1067" s="7">
        <v>1</v>
      </c>
      <c r="F1067" s="7"/>
      <c r="G1067" s="7"/>
      <c r="H1067" s="7"/>
      <c r="I1067" s="7"/>
      <c r="J1067" s="7"/>
      <c r="K1067" s="7"/>
      <c r="L1067" s="7"/>
      <c r="M1067" s="7"/>
      <c r="N1067" s="7"/>
      <c r="O1067" s="7"/>
      <c r="P1067" s="7"/>
      <c r="Q1067" s="7"/>
      <c r="R1067" s="7"/>
      <c r="S1067" s="7"/>
    </row>
    <row r="1068" spans="1:19" customFormat="1" ht="14.25" customHeight="1">
      <c r="A1068" s="128" t="s">
        <v>4101</v>
      </c>
      <c r="B1068" s="9">
        <f>140.8-35.4</f>
        <v>105.4</v>
      </c>
      <c r="C1068" s="7" t="s">
        <v>1134</v>
      </c>
      <c r="D1068" s="187">
        <v>30</v>
      </c>
      <c r="E1068" s="7">
        <v>2.62</v>
      </c>
      <c r="F1068" s="7"/>
      <c r="G1068" s="7"/>
      <c r="H1068" s="7"/>
      <c r="I1068" s="7"/>
      <c r="J1068" s="7"/>
      <c r="K1068" s="7"/>
      <c r="L1068" s="7"/>
      <c r="M1068" s="7"/>
      <c r="N1068" s="7"/>
      <c r="O1068" s="7"/>
      <c r="P1068" s="7"/>
      <c r="Q1068" s="7"/>
      <c r="R1068" s="7"/>
      <c r="S1068" s="7"/>
    </row>
    <row r="1069" spans="1:19" customFormat="1" ht="14.25" customHeight="1">
      <c r="A1069" s="128" t="s">
        <v>2851</v>
      </c>
      <c r="B1069" s="9">
        <v>29.1</v>
      </c>
      <c r="C1069" s="7" t="s">
        <v>1209</v>
      </c>
      <c r="D1069" s="187">
        <v>30</v>
      </c>
      <c r="E1069" s="7">
        <f>1.8-0.03</f>
        <v>1.77</v>
      </c>
      <c r="F1069" s="7"/>
      <c r="G1069" s="7"/>
      <c r="H1069" s="7"/>
      <c r="I1069" s="7"/>
      <c r="J1069" s="7"/>
      <c r="K1069" s="7"/>
      <c r="L1069" s="7"/>
      <c r="M1069" s="7"/>
      <c r="N1069" s="7"/>
      <c r="O1069" s="7"/>
      <c r="P1069" s="7"/>
      <c r="Q1069" s="7"/>
      <c r="R1069" s="7"/>
      <c r="S1069" s="7"/>
    </row>
    <row r="1070" spans="1:19" customFormat="1" ht="14.25" customHeight="1">
      <c r="A1070" s="119" t="s">
        <v>3121</v>
      </c>
      <c r="B1070" s="9">
        <v>17</v>
      </c>
      <c r="C1070" s="1" t="s">
        <v>1857</v>
      </c>
      <c r="D1070" s="188">
        <v>5</v>
      </c>
      <c r="E1070" s="6">
        <v>0.6</v>
      </c>
      <c r="F1070" s="7"/>
      <c r="G1070" s="7"/>
      <c r="H1070" s="7"/>
      <c r="I1070" s="7"/>
      <c r="J1070" s="7"/>
      <c r="K1070" s="7"/>
      <c r="L1070" s="7"/>
      <c r="M1070" s="7"/>
      <c r="N1070" s="7"/>
      <c r="O1070" s="7"/>
      <c r="P1070" s="7"/>
      <c r="Q1070" s="7"/>
      <c r="R1070" s="7"/>
      <c r="S1070" s="7"/>
    </row>
    <row r="1071" spans="1:19" customFormat="1" ht="14.25" customHeight="1">
      <c r="A1071" s="119" t="s">
        <v>3122</v>
      </c>
      <c r="B1071" s="9">
        <v>17</v>
      </c>
      <c r="C1071" s="1" t="s">
        <v>1858</v>
      </c>
      <c r="D1071" s="188">
        <v>3</v>
      </c>
      <c r="E1071" s="6">
        <v>0.6</v>
      </c>
      <c r="F1071" s="7"/>
      <c r="G1071" s="7"/>
      <c r="H1071" s="7"/>
      <c r="I1071" s="7"/>
      <c r="J1071" s="7"/>
      <c r="K1071" s="7"/>
      <c r="L1071" s="7"/>
      <c r="M1071" s="7"/>
      <c r="N1071" s="7"/>
      <c r="O1071" s="7"/>
      <c r="P1071" s="7"/>
      <c r="Q1071" s="7"/>
      <c r="R1071" s="7"/>
      <c r="S1071" s="7"/>
    </row>
    <row r="1072" spans="1:19" customFormat="1" ht="14.25" customHeight="1">
      <c r="A1072" s="119" t="s">
        <v>3123</v>
      </c>
      <c r="B1072" s="9">
        <v>17</v>
      </c>
      <c r="C1072" s="1" t="s">
        <v>1859</v>
      </c>
      <c r="D1072" s="188">
        <v>3</v>
      </c>
      <c r="E1072" s="6">
        <v>0.6</v>
      </c>
      <c r="F1072" s="7"/>
      <c r="G1072" s="7"/>
      <c r="H1072" s="7"/>
      <c r="I1072" s="7"/>
      <c r="J1072" s="7"/>
      <c r="K1072" s="7"/>
      <c r="L1072" s="7"/>
      <c r="M1072" s="7"/>
      <c r="N1072" s="7"/>
      <c r="O1072" s="7"/>
      <c r="P1072" s="7"/>
      <c r="Q1072" s="7"/>
      <c r="R1072" s="7"/>
      <c r="S1072" s="7"/>
    </row>
    <row r="1073" spans="1:19" customFormat="1" ht="14.25" customHeight="1">
      <c r="A1073" s="119" t="s">
        <v>3150</v>
      </c>
      <c r="B1073" s="9">
        <v>17</v>
      </c>
      <c r="C1073" s="1" t="s">
        <v>1860</v>
      </c>
      <c r="D1073" s="188">
        <v>3</v>
      </c>
      <c r="E1073" s="6">
        <v>0.6</v>
      </c>
      <c r="F1073" s="7"/>
      <c r="G1073" s="7"/>
      <c r="H1073" s="7"/>
      <c r="I1073" s="7"/>
      <c r="J1073" s="7"/>
      <c r="K1073" s="7"/>
      <c r="L1073" s="7"/>
      <c r="M1073" s="7"/>
      <c r="N1073" s="7"/>
      <c r="O1073" s="7"/>
      <c r="P1073" s="7"/>
      <c r="Q1073" s="7"/>
      <c r="R1073" s="7"/>
      <c r="S1073" s="4"/>
    </row>
    <row r="1074" spans="1:19" customFormat="1" ht="14.25" customHeight="1">
      <c r="A1074" s="119" t="s">
        <v>3124</v>
      </c>
      <c r="B1074" s="9">
        <v>17</v>
      </c>
      <c r="C1074" s="1" t="s">
        <v>1861</v>
      </c>
      <c r="D1074" s="188">
        <v>3</v>
      </c>
      <c r="E1074" s="6">
        <v>0.6</v>
      </c>
      <c r="F1074" s="7"/>
      <c r="G1074" s="7"/>
      <c r="H1074" s="7"/>
      <c r="I1074" s="7"/>
      <c r="J1074" s="7"/>
      <c r="K1074" s="7"/>
      <c r="L1074" s="7"/>
      <c r="M1074" s="7"/>
      <c r="N1074" s="7"/>
      <c r="O1074" s="7"/>
      <c r="P1074" s="7"/>
      <c r="Q1074" s="7"/>
      <c r="R1074" s="7"/>
      <c r="S1074" s="7"/>
    </row>
    <row r="1075" spans="1:19" customFormat="1" ht="14.25" customHeight="1">
      <c r="A1075" s="119" t="s">
        <v>3125</v>
      </c>
      <c r="B1075" s="9">
        <v>32</v>
      </c>
      <c r="C1075" s="1" t="s">
        <v>1862</v>
      </c>
      <c r="D1075" s="188">
        <v>3</v>
      </c>
      <c r="E1075" s="6">
        <v>1.75</v>
      </c>
      <c r="F1075" s="7"/>
      <c r="G1075" s="7"/>
      <c r="H1075" s="7"/>
      <c r="I1075" s="7"/>
      <c r="J1075" s="7"/>
      <c r="K1075" s="7"/>
      <c r="L1075" s="7"/>
      <c r="M1075" s="7"/>
      <c r="N1075" s="7"/>
      <c r="O1075" s="7"/>
      <c r="P1075" s="7"/>
      <c r="Q1075" s="7"/>
      <c r="R1075" s="7"/>
      <c r="S1075" s="7"/>
    </row>
    <row r="1076" spans="1:19" customFormat="1" ht="14.25" customHeight="1">
      <c r="A1076" s="119" t="s">
        <v>3126</v>
      </c>
      <c r="B1076" s="9">
        <v>32</v>
      </c>
      <c r="C1076" s="1" t="s">
        <v>1863</v>
      </c>
      <c r="D1076" s="188">
        <v>3</v>
      </c>
      <c r="E1076" s="6">
        <v>1.75</v>
      </c>
      <c r="F1076" s="7"/>
      <c r="G1076" s="7"/>
      <c r="H1076" s="7"/>
      <c r="I1076" s="7"/>
      <c r="J1076" s="7"/>
      <c r="K1076" s="7"/>
      <c r="L1076" s="7"/>
      <c r="M1076" s="7"/>
      <c r="N1076" s="7"/>
      <c r="O1076" s="7"/>
      <c r="P1076" s="7"/>
      <c r="Q1076" s="7"/>
      <c r="R1076" s="7"/>
      <c r="S1076" s="7"/>
    </row>
    <row r="1077" spans="1:19" customFormat="1" ht="14.25" customHeight="1">
      <c r="A1077" s="119" t="s">
        <v>3127</v>
      </c>
      <c r="B1077" s="9">
        <v>32</v>
      </c>
      <c r="C1077" s="1" t="s">
        <v>1864</v>
      </c>
      <c r="D1077" s="188">
        <v>3</v>
      </c>
      <c r="E1077" s="6">
        <v>1.75</v>
      </c>
      <c r="F1077" s="7"/>
      <c r="G1077" s="7"/>
      <c r="H1077" s="7"/>
      <c r="I1077" s="7"/>
      <c r="J1077" s="7"/>
      <c r="K1077" s="7"/>
      <c r="L1077" s="7"/>
      <c r="M1077" s="7"/>
      <c r="N1077" s="7"/>
      <c r="O1077" s="7"/>
      <c r="P1077" s="7"/>
      <c r="Q1077" s="7"/>
      <c r="R1077" s="7"/>
      <c r="S1077" s="7"/>
    </row>
    <row r="1078" spans="1:19" customFormat="1" ht="14.25" customHeight="1">
      <c r="A1078" s="119" t="s">
        <v>3128</v>
      </c>
      <c r="B1078" s="9">
        <v>32</v>
      </c>
      <c r="C1078" s="1" t="s">
        <v>1865</v>
      </c>
      <c r="D1078" s="188">
        <v>3</v>
      </c>
      <c r="E1078" s="6">
        <v>1.75</v>
      </c>
      <c r="F1078" s="7"/>
      <c r="G1078" s="7"/>
      <c r="H1078" s="7"/>
      <c r="I1078" s="7"/>
      <c r="J1078" s="7"/>
      <c r="K1078" s="7"/>
      <c r="L1078" s="7"/>
      <c r="M1078" s="7"/>
      <c r="N1078" s="7"/>
      <c r="O1078" s="7"/>
      <c r="P1078" s="7"/>
      <c r="Q1078" s="7"/>
      <c r="R1078" s="7"/>
      <c r="S1078" s="7"/>
    </row>
    <row r="1079" spans="1:19" customFormat="1" ht="14.25" customHeight="1">
      <c r="A1079" s="119" t="s">
        <v>3129</v>
      </c>
      <c r="B1079" s="9">
        <v>30</v>
      </c>
      <c r="C1079" s="1" t="s">
        <v>1867</v>
      </c>
      <c r="D1079" s="188">
        <v>5</v>
      </c>
      <c r="E1079" s="6">
        <v>1</v>
      </c>
      <c r="F1079" s="7"/>
      <c r="G1079" s="7"/>
      <c r="H1079" s="7"/>
      <c r="I1079" s="7"/>
      <c r="J1079" s="7"/>
      <c r="K1079" s="7"/>
      <c r="L1079" s="7"/>
      <c r="M1079" s="7"/>
      <c r="N1079" s="7"/>
      <c r="O1079" s="7"/>
      <c r="P1079" s="7"/>
      <c r="Q1079" s="7"/>
      <c r="R1079" s="7"/>
      <c r="S1079" s="4"/>
    </row>
    <row r="1080" spans="1:19" customFormat="1" ht="14.25" customHeight="1">
      <c r="A1080" s="119" t="s">
        <v>3149</v>
      </c>
      <c r="B1080" s="9">
        <v>24.4</v>
      </c>
      <c r="C1080" s="1" t="s">
        <v>1866</v>
      </c>
      <c r="D1080" s="188">
        <v>20</v>
      </c>
      <c r="E1080" s="6">
        <v>0.6</v>
      </c>
      <c r="F1080" s="7"/>
      <c r="G1080" s="7"/>
      <c r="H1080" s="7"/>
      <c r="I1080" s="7"/>
      <c r="J1080" s="7"/>
      <c r="K1080" s="7"/>
      <c r="L1080" s="7"/>
      <c r="M1080" s="7"/>
      <c r="N1080" s="7"/>
      <c r="O1080" s="7"/>
      <c r="P1080" s="7"/>
      <c r="Q1080" s="7"/>
      <c r="R1080" s="7"/>
      <c r="S1080" s="7"/>
    </row>
    <row r="1081" spans="1:19" customFormat="1" ht="14.25" customHeight="1">
      <c r="A1081" s="119" t="s">
        <v>3130</v>
      </c>
      <c r="B1081" s="9">
        <v>26</v>
      </c>
      <c r="C1081" s="1" t="s">
        <v>1868</v>
      </c>
      <c r="D1081" s="188">
        <v>10</v>
      </c>
      <c r="E1081" s="6">
        <v>0.6</v>
      </c>
      <c r="F1081" s="7"/>
      <c r="G1081" s="7"/>
      <c r="H1081" s="7"/>
      <c r="I1081" s="7"/>
      <c r="J1081" s="7"/>
      <c r="K1081" s="7"/>
      <c r="L1081" s="7"/>
      <c r="M1081" s="7"/>
      <c r="N1081" s="7"/>
      <c r="O1081" s="7"/>
      <c r="P1081" s="7"/>
      <c r="Q1081" s="7"/>
      <c r="R1081" s="7"/>
      <c r="S1081" s="7"/>
    </row>
    <row r="1082" spans="1:19" customFormat="1" ht="14.25" customHeight="1">
      <c r="A1082" s="119" t="s">
        <v>3131</v>
      </c>
      <c r="B1082" s="9">
        <v>26.9</v>
      </c>
      <c r="C1082" s="1" t="s">
        <v>1869</v>
      </c>
      <c r="D1082" s="188">
        <v>10</v>
      </c>
      <c r="E1082" s="6">
        <v>0.6</v>
      </c>
      <c r="F1082" s="7"/>
      <c r="G1082" s="7"/>
      <c r="H1082" s="7"/>
      <c r="I1082" s="7"/>
      <c r="J1082" s="7"/>
      <c r="K1082" s="7"/>
      <c r="L1082" s="7"/>
      <c r="M1082" s="7"/>
      <c r="N1082" s="7"/>
      <c r="O1082" s="7"/>
      <c r="P1082" s="7"/>
      <c r="Q1082" s="7"/>
      <c r="R1082" s="7"/>
      <c r="S1082" s="7"/>
    </row>
    <row r="1083" spans="1:19" customFormat="1" ht="14.25" customHeight="1">
      <c r="A1083" s="119" t="s">
        <v>3132</v>
      </c>
      <c r="B1083" s="9">
        <v>25.2</v>
      </c>
      <c r="C1083" s="1" t="s">
        <v>1870</v>
      </c>
      <c r="D1083" s="188">
        <v>10</v>
      </c>
      <c r="E1083" s="6">
        <v>0.6</v>
      </c>
      <c r="F1083" s="7"/>
      <c r="G1083" s="7"/>
      <c r="H1083" s="7"/>
      <c r="I1083" s="7"/>
      <c r="J1083" s="7"/>
      <c r="K1083" s="7"/>
      <c r="L1083" s="7"/>
      <c r="M1083" s="7"/>
      <c r="N1083" s="7"/>
      <c r="O1083" s="7"/>
      <c r="P1083" s="7"/>
      <c r="Q1083" s="7"/>
      <c r="R1083" s="7"/>
      <c r="S1083" s="7"/>
    </row>
    <row r="1084" spans="1:19" customFormat="1" ht="14.25" customHeight="1">
      <c r="A1084" s="119" t="s">
        <v>3133</v>
      </c>
      <c r="B1084" s="9">
        <v>19.3</v>
      </c>
      <c r="C1084" s="1" t="s">
        <v>1871</v>
      </c>
      <c r="D1084" s="188">
        <v>5</v>
      </c>
      <c r="E1084" s="6">
        <v>1.1000000000000001</v>
      </c>
      <c r="F1084" s="7"/>
      <c r="G1084" s="7"/>
      <c r="H1084" s="7"/>
      <c r="I1084" s="7"/>
      <c r="J1084" s="7"/>
      <c r="K1084" s="7"/>
      <c r="L1084" s="7"/>
      <c r="M1084" s="7"/>
      <c r="N1084" s="7"/>
      <c r="O1084" s="7"/>
      <c r="P1084" s="7"/>
      <c r="Q1084" s="7"/>
      <c r="R1084" s="7"/>
      <c r="S1084" s="4"/>
    </row>
    <row r="1085" spans="1:19" customFormat="1" ht="14.25" customHeight="1">
      <c r="A1085" s="119" t="s">
        <v>3134</v>
      </c>
      <c r="B1085" s="9">
        <v>20</v>
      </c>
      <c r="C1085" s="1" t="s">
        <v>1872</v>
      </c>
      <c r="D1085" s="188">
        <v>5</v>
      </c>
      <c r="E1085" s="6">
        <v>1.1000000000000001</v>
      </c>
      <c r="F1085" s="7"/>
      <c r="G1085" s="7"/>
      <c r="H1085" s="7"/>
      <c r="I1085" s="7"/>
      <c r="J1085" s="7"/>
      <c r="K1085" s="7"/>
      <c r="L1085" s="7"/>
      <c r="M1085" s="7"/>
      <c r="N1085" s="7"/>
      <c r="O1085" s="7"/>
      <c r="P1085" s="7"/>
      <c r="Q1085" s="7"/>
      <c r="R1085" s="7"/>
      <c r="S1085" s="7"/>
    </row>
    <row r="1086" spans="1:19" customFormat="1" ht="14.25" customHeight="1">
      <c r="A1086" s="119" t="s">
        <v>3135</v>
      </c>
      <c r="B1086" s="9">
        <v>57</v>
      </c>
      <c r="C1086" s="1" t="s">
        <v>1873</v>
      </c>
      <c r="D1086" s="188">
        <v>20</v>
      </c>
      <c r="E1086" s="6">
        <v>1.2</v>
      </c>
      <c r="F1086" s="7"/>
      <c r="G1086" s="7"/>
      <c r="H1086" s="7"/>
      <c r="I1086" s="7"/>
      <c r="J1086" s="7"/>
      <c r="K1086" s="7"/>
      <c r="L1086" s="7"/>
      <c r="M1086" s="7"/>
      <c r="N1086" s="7"/>
      <c r="O1086" s="7"/>
      <c r="P1086" s="7"/>
      <c r="Q1086" s="7"/>
      <c r="R1086" s="7"/>
      <c r="S1086" s="4"/>
    </row>
    <row r="1087" spans="1:19" customFormat="1" ht="14.25" customHeight="1">
      <c r="A1087" s="152" t="s">
        <v>3385</v>
      </c>
      <c r="B1087" s="9">
        <v>12.5</v>
      </c>
      <c r="C1087" s="7" t="s">
        <v>2155</v>
      </c>
      <c r="D1087" s="187">
        <v>5</v>
      </c>
      <c r="E1087" s="7">
        <v>0.45</v>
      </c>
      <c r="F1087" s="7"/>
      <c r="G1087" s="7"/>
      <c r="H1087" s="7"/>
      <c r="I1087" s="7"/>
      <c r="J1087" s="7"/>
      <c r="K1087" s="7"/>
      <c r="L1087" s="7"/>
      <c r="M1087" s="7"/>
      <c r="N1087" s="7"/>
      <c r="O1087" s="7"/>
      <c r="P1087" s="7"/>
      <c r="Q1087" s="7"/>
      <c r="R1087" s="7"/>
      <c r="S1087" s="7"/>
    </row>
    <row r="1088" spans="1:19" customFormat="1" ht="14.25" customHeight="1">
      <c r="A1088" s="152" t="s">
        <v>3386</v>
      </c>
      <c r="B1088" s="9">
        <v>9.8000000000000007</v>
      </c>
      <c r="C1088" s="7" t="s">
        <v>2156</v>
      </c>
      <c r="D1088" s="187">
        <v>5</v>
      </c>
      <c r="E1088" s="7">
        <v>0.36</v>
      </c>
      <c r="F1088" s="7"/>
      <c r="G1088" s="7"/>
      <c r="H1088" s="7"/>
      <c r="I1088" s="7"/>
      <c r="J1088" s="7"/>
      <c r="K1088" s="7"/>
      <c r="L1088" s="7"/>
      <c r="M1088" s="7"/>
      <c r="N1088" s="7"/>
      <c r="O1088" s="7"/>
      <c r="P1088" s="7"/>
      <c r="Q1088" s="7"/>
      <c r="R1088" s="7"/>
      <c r="S1088" s="7"/>
    </row>
    <row r="1089" spans="1:19" customFormat="1" ht="14.25" customHeight="1">
      <c r="A1089" s="152" t="s">
        <v>3381</v>
      </c>
      <c r="B1089" s="9">
        <v>18.600000000000001</v>
      </c>
      <c r="C1089" s="141" t="s">
        <v>3647</v>
      </c>
      <c r="D1089" s="187">
        <v>3</v>
      </c>
      <c r="E1089" s="7">
        <v>0.95</v>
      </c>
      <c r="F1089" s="7"/>
      <c r="G1089" s="7"/>
      <c r="H1089" s="7"/>
      <c r="I1089" s="7"/>
      <c r="J1089" s="7"/>
      <c r="K1089" s="7"/>
      <c r="L1089" s="7"/>
      <c r="M1089" s="7"/>
      <c r="N1089" s="7"/>
      <c r="O1089" s="7"/>
      <c r="P1089" s="7"/>
      <c r="Q1089" s="7"/>
      <c r="R1089" s="7"/>
      <c r="S1089" s="7"/>
    </row>
    <row r="1090" spans="1:19" customFormat="1" ht="14.25" customHeight="1">
      <c r="A1090" s="152" t="s">
        <v>3646</v>
      </c>
      <c r="B1090" s="9">
        <v>18.600000000000001</v>
      </c>
      <c r="C1090" s="141" t="s">
        <v>3648</v>
      </c>
      <c r="D1090" s="187">
        <v>3</v>
      </c>
      <c r="E1090" s="7">
        <v>0.95</v>
      </c>
      <c r="F1090" s="7"/>
      <c r="G1090" s="7"/>
      <c r="H1090" s="7"/>
      <c r="I1090" s="7"/>
      <c r="J1090" s="7"/>
      <c r="K1090" s="7"/>
      <c r="L1090" s="7"/>
      <c r="M1090" s="7"/>
      <c r="N1090" s="7"/>
      <c r="O1090" s="7"/>
      <c r="P1090" s="7"/>
      <c r="Q1090" s="7"/>
      <c r="R1090" s="7"/>
      <c r="S1090" s="7"/>
    </row>
    <row r="1091" spans="1:19" customFormat="1" ht="14.25" customHeight="1">
      <c r="A1091" s="119" t="s">
        <v>2831</v>
      </c>
      <c r="B1091" s="9">
        <v>23</v>
      </c>
      <c r="C1091" s="7" t="s">
        <v>1188</v>
      </c>
      <c r="D1091" s="187">
        <v>6</v>
      </c>
      <c r="E1091" s="7">
        <v>3</v>
      </c>
      <c r="F1091" s="7"/>
      <c r="G1091" s="7"/>
      <c r="H1091" s="7"/>
      <c r="I1091" s="7"/>
      <c r="J1091" s="7"/>
      <c r="K1091" s="7"/>
      <c r="L1091" s="7"/>
      <c r="M1091" s="7"/>
      <c r="N1091" s="7"/>
      <c r="O1091" s="7"/>
      <c r="P1091" s="7"/>
      <c r="Q1091" s="7"/>
      <c r="R1091" s="7"/>
      <c r="S1091" s="7"/>
    </row>
    <row r="1092" spans="1:19" customFormat="1" ht="14.25" customHeight="1">
      <c r="A1092" s="119" t="s">
        <v>2832</v>
      </c>
      <c r="B1092" s="9">
        <v>23</v>
      </c>
      <c r="C1092" s="7" t="s">
        <v>1189</v>
      </c>
      <c r="D1092" s="187">
        <v>5</v>
      </c>
      <c r="E1092" s="7">
        <v>3</v>
      </c>
      <c r="F1092" s="7"/>
      <c r="G1092" s="7"/>
      <c r="H1092" s="7"/>
      <c r="I1092" s="7"/>
      <c r="J1092" s="7"/>
      <c r="K1092" s="7"/>
      <c r="L1092" s="7"/>
      <c r="M1092" s="7"/>
      <c r="N1092" s="7"/>
      <c r="O1092" s="7"/>
      <c r="P1092" s="7"/>
      <c r="Q1092" s="7"/>
      <c r="R1092" s="7"/>
      <c r="S1092" s="7"/>
    </row>
    <row r="1093" spans="1:19" customFormat="1" ht="14.25" customHeight="1">
      <c r="A1093" s="119" t="s">
        <v>2833</v>
      </c>
      <c r="B1093" s="9">
        <v>23</v>
      </c>
      <c r="C1093" s="7" t="s">
        <v>1190</v>
      </c>
      <c r="D1093" s="187">
        <v>5</v>
      </c>
      <c r="E1093" s="7">
        <v>3</v>
      </c>
      <c r="F1093" s="7"/>
      <c r="G1093" s="7"/>
      <c r="H1093" s="7"/>
      <c r="I1093" s="7"/>
      <c r="J1093" s="7"/>
      <c r="K1093" s="7"/>
      <c r="L1093" s="7"/>
      <c r="M1093" s="7"/>
      <c r="N1093" s="7"/>
      <c r="O1093" s="7"/>
      <c r="P1093" s="7"/>
      <c r="Q1093" s="7"/>
      <c r="R1093" s="7"/>
      <c r="S1093" s="7"/>
    </row>
    <row r="1094" spans="1:19" customFormat="1" ht="14.25" customHeight="1">
      <c r="A1094" s="119" t="s">
        <v>2834</v>
      </c>
      <c r="B1094" s="9">
        <v>23</v>
      </c>
      <c r="C1094" s="7" t="s">
        <v>1191</v>
      </c>
      <c r="D1094" s="187">
        <v>5</v>
      </c>
      <c r="E1094" s="7">
        <v>3</v>
      </c>
      <c r="F1094" s="7"/>
      <c r="G1094" s="7"/>
      <c r="H1094" s="7"/>
      <c r="I1094" s="7"/>
      <c r="J1094" s="7"/>
      <c r="K1094" s="7"/>
      <c r="L1094" s="7"/>
      <c r="M1094" s="7"/>
      <c r="N1094" s="7"/>
      <c r="O1094" s="7"/>
      <c r="P1094" s="7"/>
      <c r="Q1094" s="7"/>
      <c r="R1094" s="7"/>
      <c r="S1094" s="7"/>
    </row>
    <row r="1095" spans="1:19" customFormat="1" ht="14.25" customHeight="1">
      <c r="A1095" s="119" t="s">
        <v>2835</v>
      </c>
      <c r="B1095" s="9">
        <v>23</v>
      </c>
      <c r="C1095" s="7" t="s">
        <v>1193</v>
      </c>
      <c r="D1095" s="187">
        <v>3</v>
      </c>
      <c r="E1095" s="7">
        <v>3</v>
      </c>
      <c r="F1095" s="7"/>
      <c r="G1095" s="7"/>
      <c r="H1095" s="7"/>
      <c r="I1095" s="7"/>
      <c r="J1095" s="7"/>
      <c r="K1095" s="7"/>
      <c r="L1095" s="7"/>
      <c r="M1095" s="7"/>
      <c r="N1095" s="7"/>
      <c r="O1095" s="7"/>
      <c r="P1095" s="7"/>
      <c r="Q1095" s="7"/>
      <c r="R1095" s="7"/>
      <c r="S1095" s="7"/>
    </row>
    <row r="1096" spans="1:19" customFormat="1" ht="14.25" customHeight="1">
      <c r="A1096" s="119" t="s">
        <v>2836</v>
      </c>
      <c r="B1096" s="9">
        <v>23</v>
      </c>
      <c r="C1096" s="7" t="s">
        <v>1192</v>
      </c>
      <c r="D1096" s="187">
        <v>3</v>
      </c>
      <c r="E1096" s="7">
        <v>3</v>
      </c>
      <c r="F1096" s="7"/>
      <c r="G1096" s="7"/>
      <c r="H1096" s="7"/>
      <c r="I1096" s="7"/>
      <c r="J1096" s="7"/>
      <c r="K1096" s="7"/>
      <c r="L1096" s="7"/>
      <c r="M1096" s="7"/>
      <c r="N1096" s="7"/>
      <c r="O1096" s="7"/>
      <c r="P1096" s="7"/>
      <c r="Q1096" s="7"/>
      <c r="R1096" s="7"/>
      <c r="S1096" s="7"/>
    </row>
    <row r="1097" spans="1:19" customFormat="1" ht="14.25" customHeight="1">
      <c r="A1097" s="119" t="s">
        <v>2837</v>
      </c>
      <c r="B1097" s="9">
        <v>22</v>
      </c>
      <c r="C1097" s="7" t="s">
        <v>1194</v>
      </c>
      <c r="D1097" s="187">
        <v>3</v>
      </c>
      <c r="E1097" s="7">
        <v>1.7</v>
      </c>
      <c r="F1097" s="7"/>
      <c r="G1097" s="7"/>
      <c r="H1097" s="7"/>
      <c r="I1097" s="7"/>
      <c r="J1097" s="7"/>
      <c r="K1097" s="7"/>
      <c r="L1097" s="7"/>
      <c r="M1097" s="7"/>
      <c r="N1097" s="7"/>
      <c r="O1097" s="7"/>
      <c r="P1097" s="7"/>
      <c r="Q1097" s="7"/>
      <c r="R1097" s="7"/>
      <c r="S1097" s="7"/>
    </row>
    <row r="1098" spans="1:19" customFormat="1" ht="14.25" customHeight="1">
      <c r="A1098" s="119" t="s">
        <v>2838</v>
      </c>
      <c r="B1098" s="9">
        <v>22</v>
      </c>
      <c r="C1098" s="7" t="s">
        <v>1195</v>
      </c>
      <c r="D1098" s="187">
        <v>3</v>
      </c>
      <c r="E1098" s="7">
        <v>1.7</v>
      </c>
      <c r="F1098" s="7"/>
      <c r="G1098" s="7"/>
      <c r="H1098" s="7"/>
      <c r="I1098" s="7"/>
      <c r="J1098" s="7"/>
      <c r="K1098" s="7"/>
      <c r="L1098" s="7"/>
      <c r="M1098" s="7"/>
      <c r="N1098" s="7"/>
      <c r="O1098" s="7"/>
      <c r="P1098" s="7"/>
      <c r="Q1098" s="7"/>
      <c r="R1098" s="7"/>
      <c r="S1098" s="7"/>
    </row>
    <row r="1099" spans="1:19" customFormat="1" ht="14.25" customHeight="1">
      <c r="A1099" s="119" t="s">
        <v>2839</v>
      </c>
      <c r="B1099" s="9">
        <v>22</v>
      </c>
      <c r="C1099" s="7" t="s">
        <v>1196</v>
      </c>
      <c r="D1099" s="187">
        <v>3</v>
      </c>
      <c r="E1099" s="7">
        <v>1.7</v>
      </c>
      <c r="F1099" s="7"/>
      <c r="G1099" s="7"/>
      <c r="H1099" s="7"/>
      <c r="I1099" s="7"/>
      <c r="J1099" s="7"/>
      <c r="K1099" s="7"/>
      <c r="L1099" s="7"/>
      <c r="M1099" s="7"/>
      <c r="N1099" s="7"/>
      <c r="O1099" s="7"/>
      <c r="P1099" s="7"/>
      <c r="Q1099" s="7"/>
      <c r="R1099" s="7"/>
      <c r="S1099" s="4"/>
    </row>
    <row r="1100" spans="1:19" customFormat="1" ht="14.25" customHeight="1">
      <c r="A1100" s="119" t="s">
        <v>2840</v>
      </c>
      <c r="B1100" s="9">
        <v>22</v>
      </c>
      <c r="C1100" s="7" t="s">
        <v>1197</v>
      </c>
      <c r="D1100" s="187">
        <v>3</v>
      </c>
      <c r="E1100" s="7">
        <v>1.7</v>
      </c>
      <c r="F1100" s="7"/>
      <c r="G1100" s="7"/>
      <c r="H1100" s="7"/>
      <c r="I1100" s="7"/>
      <c r="J1100" s="7"/>
      <c r="K1100" s="7"/>
      <c r="L1100" s="7"/>
      <c r="M1100" s="7"/>
      <c r="N1100" s="7"/>
      <c r="O1100" s="7"/>
      <c r="P1100" s="7"/>
      <c r="Q1100" s="7"/>
      <c r="R1100" s="7"/>
      <c r="S1100" s="7"/>
    </row>
    <row r="1101" spans="1:19" customFormat="1" ht="14.25" customHeight="1">
      <c r="A1101" s="119" t="s">
        <v>2841</v>
      </c>
      <c r="B1101" s="9">
        <v>22</v>
      </c>
      <c r="C1101" s="7" t="s">
        <v>1198</v>
      </c>
      <c r="D1101" s="187">
        <v>3</v>
      </c>
      <c r="E1101" s="7">
        <v>1.7</v>
      </c>
      <c r="F1101" s="7"/>
      <c r="G1101" s="7"/>
      <c r="H1101" s="7"/>
      <c r="I1101" s="7"/>
      <c r="J1101" s="7"/>
      <c r="K1101" s="7"/>
      <c r="L1101" s="7"/>
      <c r="M1101" s="7"/>
      <c r="N1101" s="7"/>
      <c r="O1101" s="7"/>
      <c r="P1101" s="7"/>
      <c r="Q1101" s="7"/>
      <c r="R1101" s="7"/>
      <c r="S1101" s="7"/>
    </row>
    <row r="1102" spans="1:19" customFormat="1" ht="14.25" customHeight="1">
      <c r="A1102" s="119" t="s">
        <v>2842</v>
      </c>
      <c r="B1102" s="9">
        <v>22</v>
      </c>
      <c r="C1102" s="7" t="s">
        <v>1199</v>
      </c>
      <c r="D1102" s="187">
        <v>2</v>
      </c>
      <c r="E1102" s="7">
        <v>1.7</v>
      </c>
      <c r="F1102" s="7"/>
      <c r="G1102" s="7"/>
      <c r="H1102" s="7"/>
      <c r="I1102" s="7"/>
      <c r="J1102" s="7"/>
      <c r="K1102" s="7"/>
      <c r="L1102" s="7"/>
      <c r="M1102" s="7"/>
      <c r="N1102" s="7"/>
      <c r="O1102" s="7"/>
      <c r="P1102" s="7"/>
      <c r="Q1102" s="7"/>
      <c r="R1102" s="7"/>
      <c r="S1102" s="7"/>
    </row>
    <row r="1103" spans="1:19" customFormat="1" ht="14.25" customHeight="1">
      <c r="A1103" s="119" t="s">
        <v>2843</v>
      </c>
      <c r="B1103" s="9">
        <v>22</v>
      </c>
      <c r="C1103" s="7" t="s">
        <v>1200</v>
      </c>
      <c r="D1103" s="187">
        <v>2</v>
      </c>
      <c r="E1103" s="7">
        <v>1.7</v>
      </c>
      <c r="F1103" s="7"/>
      <c r="G1103" s="7"/>
      <c r="H1103" s="7"/>
      <c r="I1103" s="7"/>
      <c r="J1103" s="7"/>
      <c r="K1103" s="7"/>
      <c r="L1103" s="7"/>
      <c r="M1103" s="7"/>
      <c r="N1103" s="7"/>
      <c r="O1103" s="7"/>
      <c r="P1103" s="7"/>
      <c r="Q1103" s="7"/>
      <c r="R1103" s="7"/>
      <c r="S1103" s="7"/>
    </row>
    <row r="1104" spans="1:19" customFormat="1" ht="14.25" customHeight="1">
      <c r="A1104" s="119" t="s">
        <v>2844</v>
      </c>
      <c r="B1104" s="9">
        <v>21</v>
      </c>
      <c r="C1104" s="7" t="s">
        <v>1207</v>
      </c>
      <c r="D1104" s="187">
        <v>3</v>
      </c>
      <c r="E1104" s="7">
        <v>1.7</v>
      </c>
      <c r="F1104" s="7"/>
      <c r="G1104" s="7"/>
      <c r="H1104" s="7"/>
      <c r="I1104" s="7"/>
      <c r="J1104" s="7"/>
      <c r="K1104" s="7"/>
      <c r="L1104" s="7"/>
      <c r="M1104" s="7"/>
      <c r="N1104" s="7"/>
      <c r="O1104" s="7"/>
      <c r="P1104" s="7"/>
      <c r="Q1104" s="7"/>
      <c r="R1104" s="7"/>
      <c r="S1104" s="7"/>
    </row>
    <row r="1105" spans="1:19" customFormat="1" ht="14.25" customHeight="1">
      <c r="A1105" s="119" t="s">
        <v>2845</v>
      </c>
      <c r="B1105" s="9">
        <v>21</v>
      </c>
      <c r="C1105" s="7" t="s">
        <v>1201</v>
      </c>
      <c r="D1105" s="187">
        <v>3</v>
      </c>
      <c r="E1105" s="7">
        <v>1.7</v>
      </c>
      <c r="F1105" s="7"/>
      <c r="G1105" s="7"/>
      <c r="H1105" s="7"/>
      <c r="I1105" s="7"/>
      <c r="J1105" s="7"/>
      <c r="K1105" s="7"/>
      <c r="L1105" s="7"/>
      <c r="M1105" s="7"/>
      <c r="N1105" s="7"/>
      <c r="O1105" s="7"/>
      <c r="P1105" s="7"/>
      <c r="Q1105" s="7"/>
      <c r="R1105" s="7"/>
      <c r="S1105" s="7"/>
    </row>
    <row r="1106" spans="1:19" customFormat="1" ht="14.25" customHeight="1">
      <c r="A1106" s="119" t="s">
        <v>2846</v>
      </c>
      <c r="B1106" s="9">
        <v>21</v>
      </c>
      <c r="C1106" s="7" t="s">
        <v>1202</v>
      </c>
      <c r="D1106" s="187">
        <v>3</v>
      </c>
      <c r="E1106" s="7">
        <v>1.7</v>
      </c>
      <c r="F1106" s="7"/>
      <c r="G1106" s="7"/>
      <c r="H1106" s="7"/>
      <c r="I1106" s="7"/>
      <c r="J1106" s="7"/>
      <c r="K1106" s="7"/>
      <c r="L1106" s="7"/>
      <c r="M1106" s="7"/>
      <c r="N1106" s="7"/>
      <c r="O1106" s="7"/>
      <c r="P1106" s="7"/>
      <c r="Q1106" s="7"/>
      <c r="R1106" s="7"/>
      <c r="S1106" s="7"/>
    </row>
    <row r="1107" spans="1:19" customFormat="1" ht="14.25" customHeight="1">
      <c r="A1107" s="119" t="s">
        <v>2847</v>
      </c>
      <c r="B1107" s="9">
        <v>21</v>
      </c>
      <c r="C1107" s="7" t="s">
        <v>1203</v>
      </c>
      <c r="D1107" s="187">
        <v>3</v>
      </c>
      <c r="E1107" s="7">
        <v>1.7</v>
      </c>
      <c r="F1107" s="7"/>
      <c r="G1107" s="7"/>
      <c r="H1107" s="7"/>
      <c r="I1107" s="7"/>
      <c r="J1107" s="7"/>
      <c r="K1107" s="7"/>
      <c r="L1107" s="7"/>
      <c r="M1107" s="7"/>
      <c r="N1107" s="7"/>
      <c r="O1107" s="7"/>
      <c r="P1107" s="7"/>
      <c r="Q1107" s="7"/>
      <c r="R1107" s="7"/>
      <c r="S1107" s="7"/>
    </row>
    <row r="1108" spans="1:19" customFormat="1" ht="14.25" customHeight="1">
      <c r="A1108" s="119" t="s">
        <v>2848</v>
      </c>
      <c r="B1108" s="9">
        <v>21</v>
      </c>
      <c r="C1108" s="7" t="s">
        <v>1204</v>
      </c>
      <c r="D1108" s="187">
        <v>3</v>
      </c>
      <c r="E1108" s="7">
        <v>1.7</v>
      </c>
      <c r="F1108" s="7"/>
      <c r="G1108" s="7"/>
      <c r="H1108" s="7"/>
      <c r="I1108" s="7"/>
      <c r="J1108" s="7"/>
      <c r="K1108" s="7"/>
      <c r="L1108" s="7"/>
      <c r="M1108" s="7"/>
      <c r="N1108" s="7"/>
      <c r="O1108" s="7"/>
      <c r="P1108" s="7"/>
      <c r="Q1108" s="7"/>
      <c r="R1108" s="7"/>
      <c r="S1108" s="7"/>
    </row>
    <row r="1109" spans="1:19" customFormat="1" ht="14.25" customHeight="1">
      <c r="A1109" s="119" t="s">
        <v>2849</v>
      </c>
      <c r="B1109" s="9">
        <v>21</v>
      </c>
      <c r="C1109" s="7" t="s">
        <v>1205</v>
      </c>
      <c r="D1109" s="187">
        <v>2</v>
      </c>
      <c r="E1109" s="7">
        <v>1.7</v>
      </c>
      <c r="F1109" s="7"/>
      <c r="G1109" s="7"/>
      <c r="H1109" s="7"/>
      <c r="I1109" s="7"/>
      <c r="J1109" s="7"/>
      <c r="K1109" s="7"/>
      <c r="L1109" s="7"/>
      <c r="M1109" s="7"/>
      <c r="N1109" s="7"/>
      <c r="O1109" s="7"/>
      <c r="P1109" s="7"/>
      <c r="Q1109" s="7"/>
      <c r="R1109" s="7"/>
      <c r="S1109" s="7"/>
    </row>
    <row r="1110" spans="1:19" customFormat="1" ht="14.25" customHeight="1">
      <c r="A1110" s="119" t="s">
        <v>2850</v>
      </c>
      <c r="B1110" s="9">
        <v>21</v>
      </c>
      <c r="C1110" s="7" t="s">
        <v>1206</v>
      </c>
      <c r="D1110" s="187">
        <v>2</v>
      </c>
      <c r="E1110" s="7">
        <v>1.7</v>
      </c>
      <c r="F1110" s="7"/>
      <c r="G1110" s="7"/>
      <c r="H1110" s="7"/>
      <c r="I1110" s="7"/>
      <c r="J1110" s="7"/>
      <c r="K1110" s="7"/>
      <c r="L1110" s="7"/>
      <c r="M1110" s="7"/>
      <c r="N1110" s="7"/>
      <c r="O1110" s="7"/>
      <c r="P1110" s="7"/>
      <c r="Q1110" s="7"/>
      <c r="R1110" s="7"/>
      <c r="S1110" s="7"/>
    </row>
    <row r="1111" spans="1:19" customFormat="1" ht="14.25" customHeight="1">
      <c r="A1111" s="119" t="s">
        <v>2852</v>
      </c>
      <c r="B1111" s="9">
        <v>17</v>
      </c>
      <c r="C1111" s="7" t="s">
        <v>1672</v>
      </c>
      <c r="D1111" s="187">
        <v>3</v>
      </c>
      <c r="E1111" s="7">
        <v>1.6</v>
      </c>
      <c r="F1111" s="7"/>
      <c r="G1111" s="7"/>
      <c r="H1111" s="7"/>
      <c r="I1111" s="7"/>
      <c r="J1111" s="7"/>
      <c r="K1111" s="7"/>
      <c r="L1111" s="7"/>
      <c r="M1111" s="7"/>
      <c r="N1111" s="7"/>
      <c r="O1111" s="7"/>
      <c r="P1111" s="7"/>
      <c r="Q1111" s="7"/>
      <c r="R1111" s="7"/>
      <c r="S1111" s="7"/>
    </row>
    <row r="1112" spans="1:19" customFormat="1" ht="14.25" customHeight="1">
      <c r="A1112" s="119" t="s">
        <v>2853</v>
      </c>
      <c r="B1112" s="9">
        <v>17</v>
      </c>
      <c r="C1112" s="7" t="s">
        <v>1220</v>
      </c>
      <c r="D1112" s="187">
        <v>3</v>
      </c>
      <c r="E1112" s="7">
        <v>1.6</v>
      </c>
      <c r="F1112" s="7"/>
      <c r="G1112" s="7"/>
      <c r="H1112" s="7"/>
      <c r="I1112" s="7"/>
      <c r="J1112" s="7"/>
      <c r="K1112" s="7"/>
      <c r="L1112" s="7"/>
      <c r="M1112" s="7"/>
      <c r="N1112" s="7"/>
      <c r="O1112" s="7"/>
      <c r="P1112" s="7"/>
      <c r="Q1112" s="7"/>
      <c r="R1112" s="7"/>
      <c r="S1112" s="7"/>
    </row>
    <row r="1113" spans="1:19" customFormat="1" ht="14.25" customHeight="1">
      <c r="A1113" s="119" t="s">
        <v>2854</v>
      </c>
      <c r="B1113" s="9">
        <v>17</v>
      </c>
      <c r="C1113" s="7" t="s">
        <v>1221</v>
      </c>
      <c r="D1113" s="187">
        <v>3</v>
      </c>
      <c r="E1113" s="7">
        <v>1.6</v>
      </c>
      <c r="F1113" s="7"/>
      <c r="G1113" s="7"/>
      <c r="H1113" s="7"/>
      <c r="I1113" s="7"/>
      <c r="J1113" s="7"/>
      <c r="K1113" s="7"/>
      <c r="L1113" s="7"/>
      <c r="M1113" s="7"/>
      <c r="N1113" s="7"/>
      <c r="O1113" s="7"/>
      <c r="P1113" s="7"/>
      <c r="Q1113" s="7"/>
      <c r="R1113" s="7"/>
      <c r="S1113" s="7"/>
    </row>
    <row r="1114" spans="1:19" customFormat="1" ht="14.25" customHeight="1">
      <c r="A1114" s="119" t="s">
        <v>2855</v>
      </c>
      <c r="B1114" s="9">
        <v>17</v>
      </c>
      <c r="C1114" s="7" t="s">
        <v>1222</v>
      </c>
      <c r="D1114" s="187">
        <v>3</v>
      </c>
      <c r="E1114" s="7">
        <v>1.6</v>
      </c>
      <c r="F1114" s="7"/>
      <c r="G1114" s="7"/>
      <c r="H1114" s="7"/>
      <c r="I1114" s="7"/>
      <c r="J1114" s="7"/>
      <c r="K1114" s="7"/>
      <c r="L1114" s="7"/>
      <c r="M1114" s="7"/>
      <c r="N1114" s="7"/>
      <c r="O1114" s="7"/>
      <c r="P1114" s="7"/>
      <c r="Q1114" s="7"/>
      <c r="R1114" s="7"/>
      <c r="S1114" s="7"/>
    </row>
    <row r="1115" spans="1:19" customFormat="1" ht="14.25" customHeight="1">
      <c r="A1115" s="119" t="s">
        <v>2856</v>
      </c>
      <c r="B1115" s="9">
        <v>17</v>
      </c>
      <c r="C1115" s="7" t="s">
        <v>1223</v>
      </c>
      <c r="D1115" s="187">
        <v>3</v>
      </c>
      <c r="E1115" s="7">
        <v>1.6</v>
      </c>
      <c r="F1115" s="7"/>
      <c r="G1115" s="7"/>
      <c r="H1115" s="7"/>
      <c r="I1115" s="7"/>
      <c r="J1115" s="7"/>
      <c r="K1115" s="7"/>
      <c r="L1115" s="7"/>
      <c r="M1115" s="7"/>
      <c r="N1115" s="7"/>
      <c r="O1115" s="7"/>
      <c r="P1115" s="7"/>
      <c r="Q1115" s="7"/>
      <c r="R1115" s="7"/>
      <c r="S1115" s="7"/>
    </row>
    <row r="1116" spans="1:19" customFormat="1" ht="14.25" customHeight="1">
      <c r="A1116" s="119" t="s">
        <v>2857</v>
      </c>
      <c r="B1116" s="9">
        <v>17</v>
      </c>
      <c r="C1116" s="7" t="s">
        <v>1224</v>
      </c>
      <c r="D1116" s="187">
        <v>2</v>
      </c>
      <c r="E1116" s="7">
        <v>1.6</v>
      </c>
      <c r="F1116" s="7"/>
      <c r="G1116" s="7"/>
      <c r="H1116" s="7"/>
      <c r="I1116" s="7"/>
      <c r="J1116" s="7"/>
      <c r="K1116" s="7"/>
      <c r="L1116" s="7"/>
      <c r="M1116" s="7"/>
      <c r="N1116" s="7"/>
      <c r="O1116" s="7"/>
      <c r="P1116" s="7"/>
      <c r="Q1116" s="7"/>
      <c r="R1116" s="7"/>
      <c r="S1116" s="7"/>
    </row>
    <row r="1117" spans="1:19" customFormat="1" ht="14.25" customHeight="1">
      <c r="A1117" s="119" t="s">
        <v>2858</v>
      </c>
      <c r="B1117" s="9">
        <v>17</v>
      </c>
      <c r="C1117" s="7" t="s">
        <v>1225</v>
      </c>
      <c r="D1117" s="187">
        <v>2</v>
      </c>
      <c r="E1117" s="7">
        <v>1.6</v>
      </c>
      <c r="F1117" s="7"/>
      <c r="G1117" s="7"/>
      <c r="H1117" s="7"/>
      <c r="I1117" s="7"/>
      <c r="J1117" s="7"/>
      <c r="K1117" s="7"/>
      <c r="L1117" s="7"/>
      <c r="M1117" s="7"/>
      <c r="N1117" s="7"/>
      <c r="O1117" s="7"/>
      <c r="P1117" s="7"/>
      <c r="Q1117" s="7"/>
      <c r="R1117" s="7"/>
      <c r="S1117" s="7"/>
    </row>
    <row r="1118" spans="1:19" customFormat="1" ht="14.25" customHeight="1">
      <c r="A1118" s="120" t="s">
        <v>2884</v>
      </c>
      <c r="B1118" s="9">
        <v>23.5</v>
      </c>
      <c r="C1118" s="7" t="s">
        <v>1179</v>
      </c>
      <c r="D1118" s="187">
        <v>3</v>
      </c>
      <c r="E1118" s="7">
        <v>1.65</v>
      </c>
      <c r="F1118" s="7"/>
      <c r="G1118" s="7"/>
      <c r="H1118" s="7"/>
      <c r="I1118" s="7"/>
      <c r="J1118" s="7"/>
      <c r="K1118" s="7"/>
      <c r="L1118" s="7"/>
      <c r="M1118" s="7"/>
      <c r="N1118" s="7"/>
      <c r="O1118" s="7"/>
      <c r="P1118" s="7"/>
      <c r="Q1118" s="7"/>
      <c r="R1118" s="7"/>
      <c r="S1118" s="7"/>
    </row>
    <row r="1119" spans="1:19" customFormat="1" ht="14.25" customHeight="1">
      <c r="A1119" s="120" t="s">
        <v>2885</v>
      </c>
      <c r="B1119" s="9">
        <v>23.5</v>
      </c>
      <c r="C1119" s="7" t="s">
        <v>1181</v>
      </c>
      <c r="D1119" s="187">
        <v>3</v>
      </c>
      <c r="E1119" s="7">
        <v>1.65</v>
      </c>
      <c r="F1119" s="7"/>
      <c r="G1119" s="7"/>
      <c r="H1119" s="7"/>
      <c r="I1119" s="7"/>
      <c r="J1119" s="7"/>
      <c r="K1119" s="7"/>
      <c r="L1119" s="7"/>
      <c r="M1119" s="7"/>
      <c r="N1119" s="7"/>
      <c r="O1119" s="7"/>
      <c r="P1119" s="7"/>
      <c r="Q1119" s="7"/>
      <c r="R1119" s="7"/>
      <c r="S1119" s="7"/>
    </row>
    <row r="1120" spans="1:19" customFormat="1" ht="14.25" customHeight="1">
      <c r="A1120" s="120" t="s">
        <v>2886</v>
      </c>
      <c r="B1120" s="9">
        <v>23.8</v>
      </c>
      <c r="C1120" s="7" t="s">
        <v>1180</v>
      </c>
      <c r="D1120" s="187">
        <v>3</v>
      </c>
      <c r="E1120" s="7">
        <v>1.65</v>
      </c>
      <c r="F1120" s="7"/>
      <c r="G1120" s="7"/>
      <c r="H1120" s="7"/>
      <c r="I1120" s="7"/>
      <c r="J1120" s="7"/>
      <c r="K1120" s="7"/>
      <c r="L1120" s="7"/>
      <c r="M1120" s="7"/>
      <c r="N1120" s="7"/>
      <c r="O1120" s="7"/>
      <c r="P1120" s="7"/>
      <c r="Q1120" s="7"/>
      <c r="R1120" s="7"/>
      <c r="S1120" s="7"/>
    </row>
    <row r="1121" spans="1:19" customFormat="1" ht="14.25" customHeight="1">
      <c r="A1121" s="120" t="s">
        <v>2887</v>
      </c>
      <c r="B1121" s="9">
        <v>29.4</v>
      </c>
      <c r="C1121" s="7" t="s">
        <v>1182</v>
      </c>
      <c r="D1121" s="187">
        <v>3</v>
      </c>
      <c r="E1121" s="7">
        <v>1.65</v>
      </c>
      <c r="F1121" s="7"/>
      <c r="G1121" s="7"/>
      <c r="H1121" s="7"/>
      <c r="I1121" s="7"/>
      <c r="J1121" s="7"/>
      <c r="K1121" s="7"/>
      <c r="L1121" s="7"/>
      <c r="M1121" s="7"/>
      <c r="N1121" s="7"/>
      <c r="O1121" s="7"/>
      <c r="P1121" s="7"/>
      <c r="Q1121" s="7"/>
      <c r="R1121" s="7"/>
      <c r="S1121" s="7"/>
    </row>
    <row r="1122" spans="1:19" customFormat="1" ht="14.25" customHeight="1">
      <c r="A1122" s="120" t="s">
        <v>2888</v>
      </c>
      <c r="B1122" s="9">
        <v>27.2</v>
      </c>
      <c r="C1122" s="7" t="s">
        <v>1183</v>
      </c>
      <c r="D1122" s="187">
        <v>3</v>
      </c>
      <c r="E1122" s="7">
        <v>1.65</v>
      </c>
      <c r="F1122" s="7"/>
      <c r="G1122" s="7"/>
      <c r="H1122" s="7"/>
      <c r="I1122" s="7"/>
      <c r="J1122" s="7"/>
      <c r="K1122" s="7"/>
      <c r="L1122" s="7"/>
      <c r="M1122" s="7"/>
      <c r="N1122" s="7"/>
      <c r="O1122" s="7"/>
      <c r="P1122" s="7"/>
      <c r="Q1122" s="7"/>
      <c r="R1122" s="7"/>
      <c r="S1122" s="7"/>
    </row>
    <row r="1123" spans="1:19" customFormat="1" ht="14.25" customHeight="1">
      <c r="A1123" s="120" t="s">
        <v>2889</v>
      </c>
      <c r="B1123" s="9">
        <v>26.5</v>
      </c>
      <c r="C1123" s="7" t="s">
        <v>1184</v>
      </c>
      <c r="D1123" s="187">
        <v>3</v>
      </c>
      <c r="E1123" s="7">
        <v>1.65</v>
      </c>
      <c r="F1123" s="7"/>
      <c r="G1123" s="7"/>
      <c r="H1123" s="7"/>
      <c r="I1123" s="7"/>
      <c r="J1123" s="7"/>
      <c r="K1123" s="7"/>
      <c r="L1123" s="7"/>
      <c r="M1123" s="7"/>
      <c r="N1123" s="7"/>
      <c r="O1123" s="7"/>
      <c r="P1123" s="7"/>
      <c r="Q1123" s="7"/>
      <c r="R1123" s="7"/>
      <c r="S1123" s="7"/>
    </row>
    <row r="1124" spans="1:19" customFormat="1" ht="14.25" customHeight="1">
      <c r="A1124" s="120" t="s">
        <v>2890</v>
      </c>
      <c r="B1124" s="9">
        <v>26.8</v>
      </c>
      <c r="C1124" s="7" t="s">
        <v>1185</v>
      </c>
      <c r="D1124" s="187">
        <v>3</v>
      </c>
      <c r="E1124" s="7">
        <v>1.65</v>
      </c>
      <c r="F1124" s="7"/>
      <c r="G1124" s="7"/>
      <c r="H1124" s="7"/>
      <c r="I1124" s="7"/>
      <c r="J1124" s="7"/>
      <c r="K1124" s="7"/>
      <c r="L1124" s="7"/>
      <c r="M1124" s="7"/>
      <c r="N1124" s="7"/>
      <c r="O1124" s="7"/>
      <c r="P1124" s="7"/>
      <c r="Q1124" s="7"/>
      <c r="R1124" s="7"/>
      <c r="S1124" s="7"/>
    </row>
    <row r="1125" spans="1:19" customFormat="1" ht="14.25" customHeight="1">
      <c r="A1125" s="120" t="s">
        <v>2891</v>
      </c>
      <c r="B1125" s="9">
        <v>23.3</v>
      </c>
      <c r="C1125" s="7" t="s">
        <v>1186</v>
      </c>
      <c r="D1125" s="187">
        <v>3</v>
      </c>
      <c r="E1125" s="7">
        <v>1.65</v>
      </c>
      <c r="F1125" s="7"/>
      <c r="G1125" s="7"/>
      <c r="H1125" s="7"/>
      <c r="I1125" s="7"/>
      <c r="J1125" s="7"/>
      <c r="K1125" s="7"/>
      <c r="L1125" s="7"/>
      <c r="M1125" s="7"/>
      <c r="N1125" s="7"/>
      <c r="O1125" s="7"/>
      <c r="P1125" s="7"/>
      <c r="Q1125" s="7"/>
      <c r="R1125" s="7"/>
      <c r="S1125" s="7"/>
    </row>
    <row r="1126" spans="1:19" customFormat="1" ht="14.25" customHeight="1">
      <c r="A1126" s="120" t="s">
        <v>2893</v>
      </c>
      <c r="B1126" s="9">
        <v>23.6</v>
      </c>
      <c r="C1126" s="1" t="s">
        <v>2892</v>
      </c>
      <c r="D1126" s="187">
        <v>3</v>
      </c>
      <c r="E1126" s="7">
        <v>1.65</v>
      </c>
      <c r="F1126" s="7"/>
      <c r="G1126" s="7"/>
      <c r="H1126" s="7"/>
      <c r="I1126" s="7"/>
      <c r="J1126" s="7"/>
      <c r="K1126" s="7"/>
      <c r="L1126" s="7"/>
      <c r="M1126" s="7"/>
      <c r="N1126" s="7"/>
      <c r="O1126" s="7"/>
      <c r="P1126" s="7"/>
      <c r="Q1126" s="7"/>
      <c r="R1126" s="7"/>
      <c r="S1126" s="7"/>
    </row>
    <row r="1127" spans="1:19" customFormat="1" ht="14.25" customHeight="1">
      <c r="A1127" s="198" t="s">
        <v>4198</v>
      </c>
      <c r="B1127" s="9">
        <v>20.6</v>
      </c>
      <c r="C1127" s="7" t="s">
        <v>1147</v>
      </c>
      <c r="D1127" s="187">
        <v>3</v>
      </c>
      <c r="E1127" s="7">
        <v>1.75</v>
      </c>
      <c r="F1127" s="7"/>
      <c r="G1127" s="7"/>
      <c r="H1127" s="7"/>
      <c r="I1127" s="7"/>
      <c r="J1127" s="7"/>
      <c r="K1127" s="7"/>
      <c r="L1127" s="7"/>
      <c r="M1127" s="7"/>
      <c r="N1127" s="7"/>
      <c r="O1127" s="7"/>
      <c r="P1127" s="7"/>
      <c r="Q1127" s="7"/>
      <c r="R1127" s="7"/>
      <c r="S1127" s="7"/>
    </row>
    <row r="1128" spans="1:19" customFormat="1" ht="14.25" customHeight="1">
      <c r="A1128" s="198" t="s">
        <v>4200</v>
      </c>
      <c r="B1128" s="9">
        <v>19.7</v>
      </c>
      <c r="C1128" s="7" t="s">
        <v>1148</v>
      </c>
      <c r="D1128" s="187">
        <v>3</v>
      </c>
      <c r="E1128" s="7">
        <v>1.75</v>
      </c>
      <c r="F1128" s="7"/>
      <c r="G1128" s="7"/>
      <c r="H1128" s="7"/>
      <c r="I1128" s="7"/>
      <c r="J1128" s="7"/>
      <c r="K1128" s="7"/>
      <c r="L1128" s="7"/>
      <c r="M1128" s="7"/>
      <c r="N1128" s="7"/>
      <c r="O1128" s="7"/>
      <c r="P1128" s="7"/>
      <c r="Q1128" s="7"/>
      <c r="R1128" s="7"/>
      <c r="S1128" s="7"/>
    </row>
    <row r="1129" spans="1:19" customFormat="1" ht="14.25" customHeight="1">
      <c r="A1129" s="198" t="s">
        <v>4202</v>
      </c>
      <c r="B1129" s="9">
        <v>19.2</v>
      </c>
      <c r="C1129" s="7" t="s">
        <v>1149</v>
      </c>
      <c r="D1129" s="187">
        <v>3</v>
      </c>
      <c r="E1129" s="7">
        <v>1.75</v>
      </c>
      <c r="F1129" s="7"/>
      <c r="G1129" s="7"/>
      <c r="H1129" s="7"/>
      <c r="I1129" s="7"/>
      <c r="J1129" s="7"/>
      <c r="K1129" s="7"/>
      <c r="L1129" s="7"/>
      <c r="M1129" s="7"/>
      <c r="N1129" s="7"/>
      <c r="O1129" s="7"/>
      <c r="P1129" s="7"/>
      <c r="Q1129" s="7"/>
      <c r="R1129" s="7"/>
      <c r="S1129" s="7"/>
    </row>
    <row r="1130" spans="1:19" customFormat="1" ht="14.25" customHeight="1">
      <c r="A1130" s="198" t="s">
        <v>4204</v>
      </c>
      <c r="B1130" s="9">
        <v>19.2</v>
      </c>
      <c r="C1130" s="7" t="s">
        <v>1150</v>
      </c>
      <c r="D1130" s="187">
        <v>3</v>
      </c>
      <c r="E1130" s="7">
        <v>1.75</v>
      </c>
      <c r="F1130" s="7"/>
      <c r="G1130" s="7"/>
      <c r="H1130" s="7"/>
      <c r="I1130" s="7"/>
      <c r="J1130" s="7"/>
      <c r="K1130" s="7"/>
      <c r="L1130" s="7"/>
      <c r="M1130" s="7"/>
      <c r="N1130" s="7"/>
      <c r="O1130" s="7"/>
      <c r="P1130" s="7"/>
      <c r="Q1130" s="7"/>
      <c r="R1130" s="7"/>
      <c r="S1130" s="7"/>
    </row>
    <row r="1131" spans="1:19" customFormat="1" ht="14.25" customHeight="1">
      <c r="A1131" s="198" t="s">
        <v>4206</v>
      </c>
      <c r="B1131" s="9">
        <v>20.399999999999999</v>
      </c>
      <c r="C1131" s="7" t="s">
        <v>1151</v>
      </c>
      <c r="D1131" s="187">
        <v>3</v>
      </c>
      <c r="E1131" s="7">
        <v>1.75</v>
      </c>
      <c r="F1131" s="7"/>
      <c r="G1131" s="7"/>
      <c r="H1131" s="7"/>
      <c r="I1131" s="7"/>
      <c r="J1131" s="7"/>
      <c r="K1131" s="7"/>
      <c r="L1131" s="7"/>
      <c r="M1131" s="7"/>
      <c r="N1131" s="7"/>
      <c r="O1131" s="7"/>
      <c r="P1131" s="7"/>
      <c r="Q1131" s="7"/>
      <c r="R1131" s="7"/>
      <c r="S1131" s="7"/>
    </row>
    <row r="1132" spans="1:19" customFormat="1" ht="14.25" customHeight="1">
      <c r="A1132" s="198" t="s">
        <v>4208</v>
      </c>
      <c r="B1132" s="9">
        <v>20.8</v>
      </c>
      <c r="C1132" s="7" t="s">
        <v>1146</v>
      </c>
      <c r="D1132" s="187">
        <v>3</v>
      </c>
      <c r="E1132" s="7">
        <v>1.75</v>
      </c>
      <c r="F1132" s="7"/>
      <c r="G1132" s="7"/>
      <c r="H1132" s="7"/>
      <c r="I1132" s="7"/>
      <c r="J1132" s="7"/>
      <c r="K1132" s="7"/>
      <c r="L1132" s="7"/>
      <c r="M1132" s="7"/>
      <c r="N1132" s="7"/>
      <c r="O1132" s="7"/>
      <c r="P1132" s="7"/>
      <c r="Q1132" s="7"/>
      <c r="R1132" s="7"/>
      <c r="S1132" s="7"/>
    </row>
    <row r="1133" spans="1:19" customFormat="1" ht="14.25" customHeight="1">
      <c r="A1133" s="198" t="s">
        <v>4210</v>
      </c>
      <c r="B1133" s="9">
        <v>19.8</v>
      </c>
      <c r="C1133" s="7" t="s">
        <v>1152</v>
      </c>
      <c r="D1133" s="187">
        <v>3</v>
      </c>
      <c r="E1133" s="7">
        <v>1.7</v>
      </c>
      <c r="F1133" s="7"/>
      <c r="G1133" s="7"/>
      <c r="H1133" s="7"/>
      <c r="I1133" s="7"/>
      <c r="J1133" s="7"/>
      <c r="K1133" s="7"/>
      <c r="L1133" s="7"/>
      <c r="M1133" s="7"/>
      <c r="N1133" s="7"/>
      <c r="O1133" s="7"/>
      <c r="P1133" s="7"/>
      <c r="Q1133" s="7"/>
      <c r="R1133" s="7"/>
      <c r="S1133" s="7"/>
    </row>
    <row r="1134" spans="1:19" customFormat="1" ht="14.25" customHeight="1">
      <c r="A1134" s="198" t="s">
        <v>4212</v>
      </c>
      <c r="B1134" s="9">
        <v>20.8</v>
      </c>
      <c r="C1134" s="7" t="s">
        <v>1153</v>
      </c>
      <c r="D1134" s="187">
        <v>3</v>
      </c>
      <c r="E1134" s="7">
        <v>1.75</v>
      </c>
      <c r="F1134" s="7"/>
      <c r="G1134" s="7"/>
      <c r="H1134" s="7"/>
      <c r="I1134" s="7"/>
      <c r="J1134" s="7"/>
      <c r="K1134" s="7"/>
      <c r="L1134" s="7"/>
      <c r="M1134" s="7"/>
      <c r="N1134" s="7"/>
      <c r="O1134" s="7"/>
      <c r="P1134" s="7"/>
      <c r="Q1134" s="7"/>
      <c r="R1134" s="7"/>
      <c r="S1134" s="7"/>
    </row>
    <row r="1135" spans="1:19" customFormat="1" ht="14.25" customHeight="1">
      <c r="A1135" s="198" t="s">
        <v>4214</v>
      </c>
      <c r="B1135" s="9">
        <v>20.100000000000001</v>
      </c>
      <c r="C1135" s="7" t="s">
        <v>1154</v>
      </c>
      <c r="D1135" s="187">
        <v>3</v>
      </c>
      <c r="E1135" s="7">
        <v>1.75</v>
      </c>
      <c r="F1135" s="7"/>
      <c r="G1135" s="7"/>
      <c r="H1135" s="7"/>
      <c r="I1135" s="7"/>
      <c r="J1135" s="7"/>
      <c r="K1135" s="7"/>
      <c r="L1135" s="7"/>
      <c r="M1135" s="7"/>
      <c r="N1135" s="7"/>
      <c r="O1135" s="7"/>
      <c r="P1135" s="7"/>
      <c r="Q1135" s="7"/>
      <c r="R1135" s="7"/>
      <c r="S1135" s="7"/>
    </row>
    <row r="1136" spans="1:19" customFormat="1" ht="14.25" customHeight="1">
      <c r="A1136" s="198" t="s">
        <v>4216</v>
      </c>
      <c r="B1136" s="9">
        <v>19.600000000000001</v>
      </c>
      <c r="C1136" s="7" t="s">
        <v>1155</v>
      </c>
      <c r="D1136" s="187">
        <v>3</v>
      </c>
      <c r="E1136" s="7">
        <v>1.75</v>
      </c>
      <c r="F1136" s="7"/>
      <c r="G1136" s="7"/>
      <c r="H1136" s="7"/>
      <c r="I1136" s="7"/>
      <c r="J1136" s="7"/>
      <c r="K1136" s="7"/>
      <c r="L1136" s="7"/>
      <c r="M1136" s="7"/>
      <c r="N1136" s="7"/>
      <c r="O1136" s="7"/>
      <c r="P1136" s="7"/>
      <c r="Q1136" s="7"/>
      <c r="R1136" s="7"/>
      <c r="S1136" s="7"/>
    </row>
    <row r="1137" spans="1:19" customFormat="1" ht="14.25" customHeight="1">
      <c r="A1137" s="119" t="s">
        <v>2902</v>
      </c>
      <c r="B1137" s="9">
        <v>31.8</v>
      </c>
      <c r="C1137" s="7" t="s">
        <v>1156</v>
      </c>
      <c r="D1137" s="187">
        <v>3</v>
      </c>
      <c r="E1137" s="7">
        <v>1.25</v>
      </c>
      <c r="F1137" s="7"/>
      <c r="G1137" s="7"/>
      <c r="H1137" s="7"/>
      <c r="I1137" s="7"/>
      <c r="J1137" s="7"/>
      <c r="K1137" s="7"/>
      <c r="L1137" s="7"/>
      <c r="M1137" s="7"/>
      <c r="N1137" s="7"/>
      <c r="O1137" s="7"/>
      <c r="P1137" s="7"/>
      <c r="Q1137" s="7"/>
      <c r="R1137" s="7"/>
      <c r="S1137" s="7"/>
    </row>
    <row r="1138" spans="1:19" customFormat="1" ht="14.25" customHeight="1">
      <c r="A1138" s="119" t="s">
        <v>2903</v>
      </c>
      <c r="B1138" s="9">
        <v>30.2</v>
      </c>
      <c r="C1138" s="7" t="s">
        <v>1157</v>
      </c>
      <c r="D1138" s="187">
        <v>3</v>
      </c>
      <c r="E1138" s="7">
        <v>1.25</v>
      </c>
      <c r="F1138" s="7"/>
      <c r="G1138" s="7"/>
      <c r="H1138" s="7"/>
      <c r="I1138" s="7"/>
      <c r="J1138" s="7"/>
      <c r="K1138" s="7"/>
      <c r="L1138" s="7"/>
      <c r="M1138" s="7"/>
      <c r="N1138" s="7"/>
      <c r="O1138" s="7"/>
      <c r="P1138" s="7"/>
      <c r="Q1138" s="7"/>
      <c r="R1138" s="7"/>
      <c r="S1138" s="7"/>
    </row>
    <row r="1139" spans="1:19" customFormat="1" ht="14.25" customHeight="1">
      <c r="A1139" s="119" t="s">
        <v>2904</v>
      </c>
      <c r="B1139" s="9">
        <v>21.8</v>
      </c>
      <c r="C1139" s="7" t="s">
        <v>1158</v>
      </c>
      <c r="D1139" s="187">
        <v>3</v>
      </c>
      <c r="E1139" s="7">
        <v>1.25</v>
      </c>
      <c r="F1139" s="7"/>
      <c r="G1139" s="7"/>
      <c r="H1139" s="7"/>
      <c r="I1139" s="7"/>
      <c r="J1139" s="7"/>
      <c r="K1139" s="7"/>
      <c r="L1139" s="7"/>
      <c r="M1139" s="7"/>
      <c r="N1139" s="7"/>
      <c r="O1139" s="7"/>
      <c r="P1139" s="7"/>
      <c r="Q1139" s="7"/>
      <c r="R1139" s="7"/>
      <c r="S1139" s="7"/>
    </row>
    <row r="1140" spans="1:19" customFormat="1" ht="14.25" customHeight="1">
      <c r="A1140" s="119" t="s">
        <v>2905</v>
      </c>
      <c r="B1140" s="9">
        <v>31.1</v>
      </c>
      <c r="C1140" s="7" t="s">
        <v>1159</v>
      </c>
      <c r="D1140" s="187">
        <v>3</v>
      </c>
      <c r="E1140" s="7">
        <v>1.25</v>
      </c>
      <c r="F1140" s="7"/>
      <c r="G1140" s="7"/>
      <c r="H1140" s="7"/>
      <c r="I1140" s="7"/>
      <c r="J1140" s="7"/>
      <c r="K1140" s="7"/>
      <c r="L1140" s="7"/>
      <c r="M1140" s="7"/>
      <c r="N1140" s="7"/>
      <c r="O1140" s="7"/>
      <c r="P1140" s="7"/>
      <c r="Q1140" s="7"/>
      <c r="R1140" s="7"/>
      <c r="S1140" s="7"/>
    </row>
    <row r="1141" spans="1:19" customFormat="1" ht="14.25" customHeight="1">
      <c r="A1141" s="119" t="s">
        <v>2906</v>
      </c>
      <c r="B1141" s="9">
        <v>22.6</v>
      </c>
      <c r="C1141" s="7" t="s">
        <v>1160</v>
      </c>
      <c r="D1141" s="187">
        <v>3</v>
      </c>
      <c r="E1141" s="7">
        <v>2</v>
      </c>
      <c r="F1141" s="7"/>
      <c r="G1141" s="7"/>
      <c r="H1141" s="7"/>
      <c r="I1141" s="7"/>
      <c r="J1141" s="7"/>
      <c r="K1141" s="7"/>
      <c r="L1141" s="7"/>
      <c r="M1141" s="7"/>
      <c r="N1141" s="7"/>
      <c r="O1141" s="7"/>
      <c r="P1141" s="7"/>
      <c r="Q1141" s="7"/>
      <c r="R1141" s="7"/>
      <c r="S1141" s="7"/>
    </row>
    <row r="1142" spans="1:19" customFormat="1" ht="14.25" customHeight="1">
      <c r="A1142" s="119" t="s">
        <v>2907</v>
      </c>
      <c r="B1142" s="9">
        <v>23.1</v>
      </c>
      <c r="C1142" s="7" t="s">
        <v>1161</v>
      </c>
      <c r="D1142" s="187">
        <v>3</v>
      </c>
      <c r="E1142" s="7">
        <v>2</v>
      </c>
      <c r="F1142" s="7"/>
      <c r="G1142" s="7"/>
      <c r="H1142" s="7"/>
      <c r="I1142" s="7"/>
      <c r="J1142" s="7"/>
      <c r="K1142" s="7"/>
      <c r="L1142" s="7"/>
      <c r="M1142" s="7"/>
      <c r="N1142" s="7"/>
      <c r="O1142" s="7"/>
      <c r="P1142" s="7"/>
      <c r="Q1142" s="7"/>
      <c r="R1142" s="7"/>
      <c r="S1142" s="7"/>
    </row>
    <row r="1143" spans="1:19" customFormat="1" ht="14.25" customHeight="1">
      <c r="A1143" s="119" t="s">
        <v>2908</v>
      </c>
      <c r="B1143" s="9">
        <v>22.6</v>
      </c>
      <c r="C1143" s="7" t="s">
        <v>1162</v>
      </c>
      <c r="D1143" s="187">
        <v>3</v>
      </c>
      <c r="E1143" s="7">
        <v>1.9</v>
      </c>
      <c r="F1143" s="7"/>
      <c r="G1143" s="7"/>
      <c r="H1143" s="7"/>
      <c r="I1143" s="7"/>
      <c r="J1143" s="7"/>
      <c r="K1143" s="7"/>
      <c r="L1143" s="7"/>
      <c r="M1143" s="7"/>
      <c r="N1143" s="7"/>
      <c r="O1143" s="7"/>
      <c r="P1143" s="7"/>
      <c r="Q1143" s="7"/>
      <c r="R1143" s="7"/>
      <c r="S1143" s="7"/>
    </row>
    <row r="1144" spans="1:19" customFormat="1" ht="14.25" customHeight="1">
      <c r="A1144" s="119" t="s">
        <v>2870</v>
      </c>
      <c r="B1144" s="9">
        <v>22.5</v>
      </c>
      <c r="C1144" s="7" t="s">
        <v>1233</v>
      </c>
      <c r="D1144" s="187">
        <v>3</v>
      </c>
      <c r="E1144" s="7">
        <v>1.3</v>
      </c>
      <c r="F1144" s="7"/>
      <c r="G1144" s="7"/>
      <c r="H1144" s="7"/>
      <c r="I1144" s="7"/>
      <c r="J1144" s="7"/>
      <c r="K1144" s="7"/>
      <c r="L1144" s="7"/>
      <c r="M1144" s="7"/>
      <c r="N1144" s="7"/>
      <c r="O1144" s="7"/>
      <c r="P1144" s="7"/>
      <c r="Q1144" s="7"/>
      <c r="R1144" s="7"/>
      <c r="S1144" s="7"/>
    </row>
    <row r="1145" spans="1:19" customFormat="1" ht="14.25" customHeight="1">
      <c r="A1145" s="119" t="s">
        <v>2871</v>
      </c>
      <c r="B1145" s="9">
        <v>19.8</v>
      </c>
      <c r="C1145" s="7" t="s">
        <v>1165</v>
      </c>
      <c r="D1145" s="187">
        <v>3</v>
      </c>
      <c r="E1145" s="7">
        <v>1.3</v>
      </c>
      <c r="F1145" s="7"/>
      <c r="G1145" s="7"/>
      <c r="H1145" s="7"/>
      <c r="I1145" s="7"/>
      <c r="J1145" s="7"/>
      <c r="K1145" s="7"/>
      <c r="L1145" s="7"/>
      <c r="M1145" s="7"/>
      <c r="N1145" s="7"/>
      <c r="O1145" s="7"/>
      <c r="P1145" s="7"/>
      <c r="Q1145" s="7"/>
      <c r="R1145" s="7"/>
      <c r="S1145" s="7"/>
    </row>
    <row r="1146" spans="1:19" customFormat="1" ht="14.25" customHeight="1">
      <c r="A1146" s="119" t="s">
        <v>2872</v>
      </c>
      <c r="B1146" s="9">
        <v>19.8</v>
      </c>
      <c r="C1146" s="7" t="s">
        <v>1365</v>
      </c>
      <c r="D1146" s="187">
        <v>3</v>
      </c>
      <c r="E1146" s="7">
        <v>1.3</v>
      </c>
      <c r="F1146" s="7"/>
      <c r="G1146" s="7"/>
      <c r="H1146" s="7"/>
      <c r="I1146" s="7"/>
      <c r="J1146" s="7"/>
      <c r="K1146" s="7"/>
      <c r="L1146" s="7"/>
      <c r="M1146" s="7"/>
      <c r="N1146" s="7"/>
      <c r="O1146" s="7"/>
      <c r="P1146" s="7"/>
      <c r="Q1146" s="7"/>
      <c r="R1146" s="7"/>
      <c r="S1146" s="7"/>
    </row>
    <row r="1147" spans="1:19" customFormat="1" ht="14.25" customHeight="1">
      <c r="A1147" s="119" t="s">
        <v>2873</v>
      </c>
      <c r="B1147" s="9">
        <v>22.6</v>
      </c>
      <c r="C1147" s="7" t="s">
        <v>1176</v>
      </c>
      <c r="D1147" s="187">
        <v>3</v>
      </c>
      <c r="E1147" s="7">
        <v>1.8</v>
      </c>
      <c r="F1147" s="7"/>
      <c r="G1147" s="7"/>
      <c r="H1147" s="7"/>
      <c r="I1147" s="7"/>
      <c r="J1147" s="7"/>
      <c r="K1147" s="7"/>
      <c r="L1147" s="7"/>
      <c r="M1147" s="7"/>
      <c r="N1147" s="7"/>
      <c r="O1147" s="7"/>
      <c r="P1147" s="7"/>
      <c r="Q1147" s="7"/>
      <c r="R1147" s="7"/>
      <c r="S1147" s="7"/>
    </row>
    <row r="1148" spans="1:19" customFormat="1" ht="14.25" customHeight="1">
      <c r="A1148" s="119" t="s">
        <v>2874</v>
      </c>
      <c r="B1148" s="9">
        <v>22.9</v>
      </c>
      <c r="C1148" s="7" t="s">
        <v>1177</v>
      </c>
      <c r="D1148" s="187">
        <v>3</v>
      </c>
      <c r="E1148" s="7">
        <v>1.8</v>
      </c>
      <c r="F1148" s="7"/>
      <c r="G1148" s="7"/>
      <c r="H1148" s="7"/>
      <c r="I1148" s="7"/>
      <c r="J1148" s="7"/>
      <c r="K1148" s="7"/>
      <c r="L1148" s="7"/>
      <c r="M1148" s="7"/>
      <c r="N1148" s="7"/>
      <c r="O1148" s="7"/>
      <c r="P1148" s="7"/>
      <c r="Q1148" s="7"/>
      <c r="R1148" s="7"/>
      <c r="S1148" s="7"/>
    </row>
    <row r="1149" spans="1:19" customFormat="1" ht="14.25" customHeight="1">
      <c r="A1149" s="119" t="s">
        <v>2875</v>
      </c>
      <c r="B1149" s="9">
        <v>21.7</v>
      </c>
      <c r="C1149" s="7" t="s">
        <v>1178</v>
      </c>
      <c r="D1149" s="187">
        <v>3</v>
      </c>
      <c r="E1149" s="7">
        <v>1.8</v>
      </c>
      <c r="F1149" s="7"/>
      <c r="G1149" s="7"/>
      <c r="H1149" s="7"/>
      <c r="I1149" s="7"/>
      <c r="J1149" s="7"/>
      <c r="K1149" s="7"/>
      <c r="L1149" s="7"/>
      <c r="M1149" s="7"/>
      <c r="N1149" s="7"/>
      <c r="O1149" s="7"/>
      <c r="P1149" s="7"/>
      <c r="Q1149" s="7"/>
      <c r="R1149" s="7"/>
      <c r="S1149" s="7"/>
    </row>
    <row r="1150" spans="1:19" customFormat="1" ht="14.25" customHeight="1">
      <c r="A1150" s="119" t="s">
        <v>2876</v>
      </c>
      <c r="B1150" s="9">
        <v>17.2</v>
      </c>
      <c r="C1150" s="7" t="s">
        <v>1171</v>
      </c>
      <c r="D1150" s="187">
        <v>3</v>
      </c>
      <c r="E1150" s="7">
        <v>2</v>
      </c>
      <c r="F1150" s="7"/>
      <c r="G1150" s="7"/>
      <c r="H1150" s="7"/>
      <c r="I1150" s="7"/>
      <c r="J1150" s="7"/>
      <c r="K1150" s="7"/>
      <c r="L1150" s="7"/>
      <c r="M1150" s="7"/>
      <c r="N1150" s="7"/>
      <c r="O1150" s="7"/>
      <c r="P1150" s="7"/>
      <c r="Q1150" s="7"/>
      <c r="R1150" s="7"/>
      <c r="S1150" s="7"/>
    </row>
    <row r="1151" spans="1:19" customFormat="1" ht="14.25" customHeight="1">
      <c r="A1151" s="119" t="s">
        <v>2877</v>
      </c>
      <c r="B1151" s="9">
        <v>16.600000000000001</v>
      </c>
      <c r="C1151" s="7" t="s">
        <v>1170</v>
      </c>
      <c r="D1151" s="187">
        <v>3</v>
      </c>
      <c r="E1151" s="7">
        <v>2</v>
      </c>
      <c r="F1151" s="7"/>
      <c r="G1151" s="7"/>
      <c r="H1151" s="7"/>
      <c r="I1151" s="7"/>
      <c r="J1151" s="7"/>
      <c r="K1151" s="7"/>
      <c r="L1151" s="7"/>
      <c r="M1151" s="7"/>
      <c r="N1151" s="7"/>
      <c r="O1151" s="7"/>
      <c r="P1151" s="7"/>
      <c r="Q1151" s="7"/>
      <c r="R1151" s="7"/>
      <c r="S1151" s="7"/>
    </row>
    <row r="1152" spans="1:19" customFormat="1" ht="14.25" customHeight="1">
      <c r="A1152" s="119" t="s">
        <v>2878</v>
      </c>
      <c r="B1152" s="9">
        <v>17.399999999999999</v>
      </c>
      <c r="C1152" s="7" t="s">
        <v>1172</v>
      </c>
      <c r="D1152" s="187">
        <v>3</v>
      </c>
      <c r="E1152" s="7">
        <v>2</v>
      </c>
      <c r="F1152" s="7"/>
      <c r="G1152" s="7"/>
      <c r="H1152" s="7"/>
      <c r="I1152" s="7"/>
      <c r="J1152" s="7"/>
      <c r="K1152" s="7"/>
      <c r="L1152" s="7"/>
      <c r="M1152" s="7"/>
      <c r="N1152" s="7"/>
      <c r="O1152" s="7"/>
      <c r="P1152" s="7"/>
      <c r="Q1152" s="7"/>
      <c r="R1152" s="7"/>
      <c r="S1152" s="7"/>
    </row>
    <row r="1153" spans="1:19" customFormat="1" ht="14.25" customHeight="1">
      <c r="A1153" s="119" t="s">
        <v>3151</v>
      </c>
      <c r="B1153" s="9">
        <v>17.3</v>
      </c>
      <c r="C1153" s="7" t="s">
        <v>1174</v>
      </c>
      <c r="D1153" s="187">
        <v>3</v>
      </c>
      <c r="E1153" s="7">
        <v>2.1</v>
      </c>
      <c r="F1153" s="7"/>
      <c r="G1153" s="7"/>
      <c r="H1153" s="7"/>
      <c r="I1153" s="7"/>
      <c r="J1153" s="7"/>
      <c r="K1153" s="7"/>
      <c r="L1153" s="7"/>
      <c r="M1153" s="7"/>
      <c r="N1153" s="7"/>
      <c r="O1153" s="7"/>
      <c r="P1153" s="7"/>
      <c r="Q1153" s="7"/>
      <c r="R1153" s="7"/>
      <c r="S1153" s="7"/>
    </row>
    <row r="1154" spans="1:19" customFormat="1" ht="14.25" customHeight="1">
      <c r="A1154" s="119" t="s">
        <v>2879</v>
      </c>
      <c r="B1154" s="9">
        <v>19.600000000000001</v>
      </c>
      <c r="C1154" s="7" t="s">
        <v>1143</v>
      </c>
      <c r="D1154" s="187">
        <v>3</v>
      </c>
      <c r="E1154" s="7">
        <v>2.1</v>
      </c>
      <c r="F1154" s="7"/>
      <c r="G1154" s="7"/>
      <c r="H1154" s="7"/>
      <c r="I1154" s="7"/>
      <c r="J1154" s="7"/>
      <c r="K1154" s="7"/>
      <c r="L1154" s="7"/>
      <c r="M1154" s="7"/>
      <c r="N1154" s="7"/>
      <c r="O1154" s="7"/>
      <c r="P1154" s="7"/>
      <c r="Q1154" s="7"/>
      <c r="R1154" s="7"/>
      <c r="S1154" s="4"/>
    </row>
    <row r="1155" spans="1:19" customFormat="1" ht="14.25" customHeight="1">
      <c r="A1155" s="119" t="s">
        <v>2880</v>
      </c>
      <c r="B1155" s="9">
        <v>19</v>
      </c>
      <c r="C1155" s="7" t="s">
        <v>1145</v>
      </c>
      <c r="D1155" s="187">
        <v>3</v>
      </c>
      <c r="E1155" s="7">
        <v>2.1</v>
      </c>
      <c r="F1155" s="7"/>
      <c r="G1155" s="7"/>
      <c r="H1155" s="7"/>
      <c r="I1155" s="7"/>
      <c r="J1155" s="7"/>
      <c r="K1155" s="7"/>
      <c r="L1155" s="7"/>
      <c r="M1155" s="7"/>
      <c r="N1155" s="7"/>
      <c r="O1155" s="7"/>
      <c r="P1155" s="7"/>
      <c r="Q1155" s="7"/>
      <c r="R1155" s="7"/>
      <c r="S1155" s="7"/>
    </row>
    <row r="1156" spans="1:19" customFormat="1" ht="14.25" customHeight="1">
      <c r="A1156" s="119" t="s">
        <v>2881</v>
      </c>
      <c r="B1156" s="9">
        <v>19</v>
      </c>
      <c r="C1156" s="7" t="s">
        <v>1144</v>
      </c>
      <c r="D1156" s="187">
        <v>3</v>
      </c>
      <c r="E1156" s="7">
        <v>2.1</v>
      </c>
      <c r="F1156" s="7"/>
      <c r="G1156" s="7"/>
      <c r="H1156" s="7"/>
      <c r="I1156" s="7"/>
      <c r="J1156" s="7"/>
      <c r="K1156" s="7"/>
      <c r="L1156" s="7"/>
      <c r="M1156" s="7"/>
      <c r="N1156" s="7"/>
      <c r="O1156" s="7"/>
      <c r="P1156" s="7"/>
      <c r="Q1156" s="7"/>
      <c r="R1156" s="7"/>
      <c r="S1156" s="4"/>
    </row>
    <row r="1157" spans="1:19" customFormat="1" ht="14.25" customHeight="1">
      <c r="A1157" s="119" t="s">
        <v>2882</v>
      </c>
      <c r="B1157" s="9">
        <v>17.5</v>
      </c>
      <c r="C1157" s="7" t="s">
        <v>1141</v>
      </c>
      <c r="D1157" s="187">
        <v>3</v>
      </c>
      <c r="E1157" s="7">
        <v>2.1</v>
      </c>
      <c r="F1157" s="7"/>
      <c r="G1157" s="7"/>
      <c r="H1157" s="7"/>
      <c r="I1157" s="7"/>
      <c r="J1157" s="7"/>
      <c r="K1157" s="7"/>
      <c r="L1157" s="7"/>
      <c r="M1157" s="7"/>
      <c r="N1157" s="7"/>
      <c r="O1157" s="7"/>
      <c r="P1157" s="7"/>
      <c r="Q1157" s="7"/>
      <c r="R1157" s="7"/>
      <c r="S1157" s="7"/>
    </row>
    <row r="1158" spans="1:19" customFormat="1" ht="14.25" customHeight="1">
      <c r="A1158" s="119" t="s">
        <v>2883</v>
      </c>
      <c r="B1158" s="9">
        <v>20</v>
      </c>
      <c r="C1158" s="7" t="s">
        <v>1142</v>
      </c>
      <c r="D1158" s="187">
        <v>3</v>
      </c>
      <c r="E1158" s="7">
        <v>2.1</v>
      </c>
      <c r="F1158" s="7"/>
      <c r="G1158" s="7"/>
      <c r="H1158" s="7"/>
      <c r="I1158" s="7"/>
      <c r="J1158" s="7"/>
      <c r="K1158" s="7"/>
      <c r="L1158" s="7"/>
      <c r="M1158" s="7"/>
      <c r="N1158" s="7"/>
      <c r="O1158" s="7"/>
      <c r="P1158" s="7"/>
      <c r="Q1158" s="7"/>
      <c r="R1158" s="7"/>
      <c r="S1158" s="7"/>
    </row>
    <row r="1159" spans="1:19" customFormat="1" ht="14.25" customHeight="1">
      <c r="A1159" s="119" t="s">
        <v>3080</v>
      </c>
      <c r="B1159" s="9">
        <v>36</v>
      </c>
      <c r="C1159" s="7" t="s">
        <v>1214</v>
      </c>
      <c r="D1159" s="187">
        <v>3</v>
      </c>
      <c r="E1159" s="7">
        <v>1.5</v>
      </c>
      <c r="F1159" s="7"/>
      <c r="G1159" s="7"/>
      <c r="H1159" s="7"/>
      <c r="I1159" s="7"/>
      <c r="J1159" s="7"/>
      <c r="K1159" s="7"/>
      <c r="L1159" s="7"/>
      <c r="M1159" s="7"/>
      <c r="N1159" s="7"/>
      <c r="O1159" s="7"/>
      <c r="P1159" s="7"/>
      <c r="Q1159" s="7"/>
      <c r="R1159" s="7"/>
      <c r="S1159" s="7"/>
    </row>
    <row r="1160" spans="1:19" customFormat="1" ht="14.25" customHeight="1">
      <c r="A1160" s="119" t="s">
        <v>3081</v>
      </c>
      <c r="B1160" s="9">
        <v>36</v>
      </c>
      <c r="C1160" s="7" t="s">
        <v>1215</v>
      </c>
      <c r="D1160" s="187">
        <v>3</v>
      </c>
      <c r="E1160" s="7">
        <v>1.5</v>
      </c>
      <c r="F1160" s="7"/>
      <c r="G1160" s="7"/>
      <c r="H1160" s="7"/>
      <c r="I1160" s="7"/>
      <c r="J1160" s="7"/>
      <c r="K1160" s="7"/>
      <c r="L1160" s="7"/>
      <c r="M1160" s="7"/>
      <c r="N1160" s="7"/>
      <c r="O1160" s="7"/>
      <c r="P1160" s="7"/>
      <c r="Q1160" s="7"/>
      <c r="R1160" s="7"/>
      <c r="S1160" s="7"/>
    </row>
    <row r="1161" spans="1:19" customFormat="1" ht="14.25" customHeight="1">
      <c r="A1161" s="119" t="s">
        <v>3082</v>
      </c>
      <c r="B1161" s="9">
        <v>36</v>
      </c>
      <c r="C1161" s="7" t="s">
        <v>1216</v>
      </c>
      <c r="D1161" s="187">
        <v>6</v>
      </c>
      <c r="E1161" s="7">
        <v>1.5</v>
      </c>
      <c r="F1161" s="7"/>
      <c r="G1161" s="7"/>
      <c r="H1161" s="7"/>
      <c r="I1161" s="7"/>
      <c r="J1161" s="7"/>
      <c r="K1161" s="7"/>
      <c r="L1161" s="7"/>
      <c r="M1161" s="7"/>
      <c r="N1161" s="7"/>
      <c r="O1161" s="7"/>
      <c r="P1161" s="7"/>
      <c r="Q1161" s="7"/>
      <c r="R1161" s="7"/>
      <c r="S1161" s="7"/>
    </row>
    <row r="1162" spans="1:19" customFormat="1" ht="14.25" customHeight="1">
      <c r="A1162" s="119" t="s">
        <v>3083</v>
      </c>
      <c r="B1162" s="9">
        <v>36</v>
      </c>
      <c r="C1162" s="7" t="s">
        <v>3176</v>
      </c>
      <c r="D1162" s="187">
        <v>3</v>
      </c>
      <c r="E1162" s="7">
        <v>1.5</v>
      </c>
      <c r="F1162" s="7"/>
      <c r="G1162" s="7"/>
      <c r="H1162" s="7"/>
      <c r="I1162" s="7"/>
      <c r="J1162" s="7"/>
      <c r="K1162" s="7"/>
      <c r="L1162" s="7"/>
      <c r="M1162" s="7"/>
      <c r="N1162" s="7"/>
      <c r="O1162" s="7"/>
      <c r="P1162" s="7"/>
      <c r="Q1162" s="7"/>
      <c r="R1162" s="7"/>
      <c r="S1162" s="7"/>
    </row>
    <row r="1163" spans="1:19" customFormat="1" ht="14.25" customHeight="1">
      <c r="A1163" s="119" t="s">
        <v>3084</v>
      </c>
      <c r="B1163" s="9">
        <v>36</v>
      </c>
      <c r="C1163" s="7" t="s">
        <v>1218</v>
      </c>
      <c r="D1163" s="187">
        <v>3</v>
      </c>
      <c r="E1163" s="7">
        <v>1.5</v>
      </c>
      <c r="F1163" s="7"/>
      <c r="G1163" s="7"/>
      <c r="H1163" s="7"/>
      <c r="I1163" s="7"/>
      <c r="J1163" s="7"/>
      <c r="K1163" s="7"/>
      <c r="L1163" s="7"/>
      <c r="M1163" s="7"/>
      <c r="N1163" s="7"/>
      <c r="O1163" s="7"/>
      <c r="P1163" s="7"/>
      <c r="Q1163" s="7"/>
      <c r="R1163" s="7"/>
      <c r="S1163" s="7"/>
    </row>
    <row r="1164" spans="1:19" customFormat="1" ht="14.25" customHeight="1">
      <c r="A1164" s="128" t="s">
        <v>3085</v>
      </c>
      <c r="B1164" s="9">
        <v>17</v>
      </c>
      <c r="C1164" s="7" t="s">
        <v>1367</v>
      </c>
      <c r="D1164" s="187">
        <v>3</v>
      </c>
      <c r="E1164" s="7">
        <v>1.6</v>
      </c>
      <c r="F1164" s="7"/>
      <c r="G1164" s="7"/>
      <c r="H1164" s="7"/>
      <c r="I1164" s="7"/>
      <c r="J1164" s="7"/>
      <c r="K1164" s="7"/>
      <c r="L1164" s="7"/>
      <c r="M1164" s="7"/>
      <c r="N1164" s="7"/>
      <c r="O1164" s="7"/>
      <c r="P1164" s="7"/>
      <c r="Q1164" s="7"/>
      <c r="R1164" s="7"/>
      <c r="S1164" s="7"/>
    </row>
    <row r="1165" spans="1:19" customFormat="1" ht="14.25" customHeight="1">
      <c r="A1165" s="128" t="s">
        <v>3086</v>
      </c>
      <c r="B1165" s="9">
        <v>17</v>
      </c>
      <c r="C1165" s="7" t="s">
        <v>1227</v>
      </c>
      <c r="D1165" s="187">
        <v>3</v>
      </c>
      <c r="E1165" s="7">
        <v>1.6</v>
      </c>
      <c r="F1165" s="7"/>
      <c r="G1165" s="7"/>
      <c r="H1165" s="7"/>
      <c r="I1165" s="7"/>
      <c r="J1165" s="7"/>
      <c r="K1165" s="7"/>
      <c r="L1165" s="7"/>
      <c r="M1165" s="7"/>
      <c r="N1165" s="7"/>
      <c r="O1165" s="7"/>
      <c r="P1165" s="7"/>
      <c r="Q1165" s="7"/>
      <c r="R1165" s="7"/>
      <c r="S1165" s="7"/>
    </row>
    <row r="1166" spans="1:19" customFormat="1" ht="14.25" customHeight="1">
      <c r="A1166" s="128" t="s">
        <v>3087</v>
      </c>
      <c r="B1166" s="9">
        <v>17</v>
      </c>
      <c r="C1166" s="7" t="s">
        <v>1228</v>
      </c>
      <c r="D1166" s="187">
        <v>3</v>
      </c>
      <c r="E1166" s="7">
        <v>1.6</v>
      </c>
      <c r="F1166" s="7"/>
      <c r="G1166" s="7"/>
      <c r="H1166" s="7"/>
      <c r="I1166" s="7"/>
      <c r="J1166" s="7"/>
      <c r="K1166" s="7"/>
      <c r="L1166" s="7"/>
      <c r="M1166" s="7"/>
      <c r="N1166" s="7"/>
      <c r="O1166" s="7"/>
      <c r="P1166" s="7"/>
      <c r="Q1166" s="7"/>
      <c r="R1166" s="7"/>
      <c r="S1166" s="7"/>
    </row>
    <row r="1167" spans="1:19" customFormat="1" ht="14.25" customHeight="1">
      <c r="A1167" s="128" t="s">
        <v>3088</v>
      </c>
      <c r="B1167" s="9">
        <v>17</v>
      </c>
      <c r="C1167" s="7" t="s">
        <v>1229</v>
      </c>
      <c r="D1167" s="187">
        <v>3</v>
      </c>
      <c r="E1167" s="7">
        <v>1.6</v>
      </c>
      <c r="F1167" s="7"/>
      <c r="G1167" s="7"/>
      <c r="H1167" s="7"/>
      <c r="I1167" s="7"/>
      <c r="J1167" s="7"/>
      <c r="K1167" s="7"/>
      <c r="L1167" s="7"/>
      <c r="M1167" s="7"/>
      <c r="N1167" s="7"/>
      <c r="O1167" s="7"/>
      <c r="P1167" s="7"/>
      <c r="Q1167" s="7"/>
      <c r="R1167" s="7"/>
      <c r="S1167" s="7"/>
    </row>
    <row r="1168" spans="1:19" customFormat="1" ht="14.25" customHeight="1">
      <c r="A1168" s="128" t="s">
        <v>3089</v>
      </c>
      <c r="B1168" s="9">
        <v>17</v>
      </c>
      <c r="C1168" s="7" t="s">
        <v>1230</v>
      </c>
      <c r="D1168" s="187">
        <v>3</v>
      </c>
      <c r="E1168" s="7">
        <v>1.6</v>
      </c>
      <c r="F1168" s="7"/>
      <c r="G1168" s="7"/>
      <c r="H1168" s="7"/>
      <c r="I1168" s="7"/>
      <c r="J1168" s="7"/>
      <c r="K1168" s="7"/>
      <c r="L1168" s="7"/>
      <c r="M1168" s="7"/>
      <c r="N1168" s="7"/>
      <c r="O1168" s="7"/>
      <c r="P1168" s="7"/>
      <c r="Q1168" s="7"/>
      <c r="R1168" s="7"/>
      <c r="S1168" s="7"/>
    </row>
    <row r="1169" spans="1:19" customFormat="1" ht="14.25" customHeight="1">
      <c r="A1169" s="119" t="s">
        <v>3090</v>
      </c>
      <c r="B1169" s="9">
        <v>19.7</v>
      </c>
      <c r="C1169" s="7" t="s">
        <v>1673</v>
      </c>
      <c r="D1169" s="187">
        <v>3</v>
      </c>
      <c r="E1169" s="7">
        <v>1.5</v>
      </c>
      <c r="F1169" s="7"/>
      <c r="G1169" s="7"/>
      <c r="H1169" s="7"/>
      <c r="I1169" s="7"/>
      <c r="J1169" s="7"/>
      <c r="K1169" s="7"/>
      <c r="L1169" s="7"/>
      <c r="M1169" s="7"/>
      <c r="N1169" s="7"/>
      <c r="O1169" s="7"/>
      <c r="P1169" s="7"/>
      <c r="Q1169" s="7"/>
      <c r="R1169" s="7"/>
      <c r="S1169" s="7"/>
    </row>
    <row r="1170" spans="1:19" customFormat="1" ht="14.25" customHeight="1">
      <c r="A1170" s="119" t="s">
        <v>3091</v>
      </c>
      <c r="B1170" s="9">
        <v>19.5</v>
      </c>
      <c r="C1170" s="7" t="s">
        <v>1674</v>
      </c>
      <c r="D1170" s="187">
        <v>3</v>
      </c>
      <c r="E1170" s="7">
        <v>1.5</v>
      </c>
      <c r="F1170" s="7"/>
      <c r="G1170" s="7"/>
      <c r="H1170" s="7"/>
      <c r="I1170" s="7"/>
      <c r="J1170" s="7"/>
      <c r="K1170" s="7"/>
      <c r="L1170" s="7"/>
      <c r="M1170" s="7"/>
      <c r="N1170" s="7"/>
      <c r="O1170" s="7"/>
      <c r="P1170" s="7"/>
      <c r="Q1170" s="7"/>
      <c r="R1170" s="7"/>
      <c r="S1170" s="7"/>
    </row>
    <row r="1171" spans="1:19" customFormat="1" ht="14.25" customHeight="1">
      <c r="A1171" s="119" t="s">
        <v>3092</v>
      </c>
      <c r="B1171" s="9">
        <v>19.2</v>
      </c>
      <c r="C1171" s="7" t="s">
        <v>1676</v>
      </c>
      <c r="D1171" s="187">
        <v>3</v>
      </c>
      <c r="E1171" s="7">
        <v>1.5</v>
      </c>
      <c r="F1171" s="7"/>
      <c r="G1171" s="7"/>
      <c r="H1171" s="7"/>
      <c r="I1171" s="7"/>
      <c r="J1171" s="7"/>
      <c r="K1171" s="7"/>
      <c r="L1171" s="7"/>
      <c r="M1171" s="7"/>
      <c r="N1171" s="7"/>
      <c r="O1171" s="7"/>
      <c r="P1171" s="7"/>
      <c r="Q1171" s="7"/>
      <c r="R1171" s="7"/>
      <c r="S1171" s="7"/>
    </row>
    <row r="1172" spans="1:19" customFormat="1" ht="14.25" customHeight="1">
      <c r="A1172" s="119" t="s">
        <v>3093</v>
      </c>
      <c r="B1172" s="9">
        <v>19.399999999999999</v>
      </c>
      <c r="C1172" s="7" t="s">
        <v>1675</v>
      </c>
      <c r="D1172" s="187">
        <v>3</v>
      </c>
      <c r="E1172" s="7">
        <v>1.5</v>
      </c>
      <c r="F1172" s="7"/>
      <c r="G1172" s="7"/>
      <c r="H1172" s="7"/>
      <c r="I1172" s="7"/>
      <c r="J1172" s="7"/>
      <c r="K1172" s="7"/>
      <c r="L1172" s="7"/>
      <c r="M1172" s="7"/>
      <c r="N1172" s="7"/>
      <c r="O1172" s="7"/>
      <c r="P1172" s="7"/>
      <c r="Q1172" s="7"/>
      <c r="R1172" s="7"/>
      <c r="S1172" s="7"/>
    </row>
    <row r="1173" spans="1:19" customFormat="1" ht="14.25" customHeight="1">
      <c r="A1173" s="119" t="s">
        <v>3094</v>
      </c>
      <c r="B1173" s="9">
        <v>19.399999999999999</v>
      </c>
      <c r="C1173" s="7" t="s">
        <v>1677</v>
      </c>
      <c r="D1173" s="187">
        <v>3</v>
      </c>
      <c r="E1173" s="7">
        <v>1.5</v>
      </c>
      <c r="F1173" s="7"/>
      <c r="G1173" s="7"/>
      <c r="H1173" s="7"/>
      <c r="I1173" s="7"/>
      <c r="J1173" s="7"/>
      <c r="K1173" s="7"/>
      <c r="L1173" s="7"/>
      <c r="M1173" s="7"/>
      <c r="N1173" s="7"/>
      <c r="O1173" s="7"/>
      <c r="P1173" s="7"/>
      <c r="Q1173" s="7"/>
      <c r="R1173" s="7"/>
      <c r="S1173" s="7"/>
    </row>
    <row r="1174" spans="1:19" customFormat="1" ht="14.25" customHeight="1">
      <c r="A1174" s="119" t="s">
        <v>3095</v>
      </c>
      <c r="B1174" s="9">
        <v>19.600000000000001</v>
      </c>
      <c r="C1174" s="7" t="s">
        <v>1678</v>
      </c>
      <c r="D1174" s="187">
        <v>3</v>
      </c>
      <c r="E1174" s="7">
        <v>1.5</v>
      </c>
      <c r="F1174" s="7"/>
      <c r="G1174" s="7"/>
      <c r="H1174" s="7"/>
      <c r="I1174" s="7"/>
      <c r="J1174" s="7"/>
      <c r="K1174" s="7"/>
      <c r="L1174" s="7"/>
      <c r="M1174" s="7"/>
      <c r="N1174" s="7"/>
      <c r="O1174" s="7"/>
      <c r="P1174" s="7"/>
      <c r="Q1174" s="7"/>
      <c r="R1174" s="7"/>
      <c r="S1174" s="7"/>
    </row>
    <row r="1175" spans="1:19" customFormat="1" ht="14.25" customHeight="1">
      <c r="A1175" s="119" t="s">
        <v>2860</v>
      </c>
      <c r="B1175" s="9">
        <v>31.5</v>
      </c>
      <c r="C1175" s="7" t="s">
        <v>1163</v>
      </c>
      <c r="D1175" s="187">
        <v>3</v>
      </c>
      <c r="E1175" s="7">
        <v>2</v>
      </c>
      <c r="F1175" s="7"/>
      <c r="G1175" s="7"/>
      <c r="H1175" s="7"/>
      <c r="I1175" s="7"/>
      <c r="J1175" s="7"/>
      <c r="K1175" s="7"/>
      <c r="L1175" s="7"/>
      <c r="M1175" s="7"/>
      <c r="N1175" s="7"/>
      <c r="O1175" s="7"/>
      <c r="P1175" s="7"/>
      <c r="Q1175" s="7"/>
      <c r="R1175" s="7"/>
      <c r="S1175" s="7"/>
    </row>
    <row r="1176" spans="1:19" customFormat="1" ht="14.25" customHeight="1">
      <c r="A1176" s="119" t="s">
        <v>2861</v>
      </c>
      <c r="B1176" s="9">
        <v>32.200000000000003</v>
      </c>
      <c r="C1176" s="7" t="s">
        <v>1164</v>
      </c>
      <c r="D1176" s="187">
        <v>3</v>
      </c>
      <c r="E1176" s="7">
        <v>2</v>
      </c>
      <c r="F1176" s="7"/>
      <c r="G1176" s="7"/>
      <c r="H1176" s="7"/>
      <c r="I1176" s="7"/>
      <c r="J1176" s="7"/>
      <c r="K1176" s="7"/>
      <c r="L1176" s="7"/>
      <c r="M1176" s="7"/>
      <c r="N1176" s="7"/>
      <c r="O1176" s="7"/>
      <c r="P1176" s="7"/>
      <c r="Q1176" s="7"/>
      <c r="R1176" s="7"/>
      <c r="S1176" s="7"/>
    </row>
    <row r="1177" spans="1:19" customFormat="1" ht="14.25" customHeight="1">
      <c r="A1177" s="119" t="s">
        <v>2862</v>
      </c>
      <c r="B1177" s="9">
        <v>23.8</v>
      </c>
      <c r="C1177" s="7" t="s">
        <v>1166</v>
      </c>
      <c r="D1177" s="187">
        <v>3</v>
      </c>
      <c r="E1177" s="7">
        <v>1.1000000000000001</v>
      </c>
      <c r="F1177" s="7"/>
      <c r="G1177" s="7"/>
      <c r="H1177" s="7"/>
      <c r="I1177" s="7"/>
      <c r="J1177" s="7"/>
      <c r="K1177" s="7"/>
      <c r="L1177" s="7"/>
      <c r="M1177" s="7"/>
      <c r="N1177" s="7"/>
      <c r="O1177" s="7"/>
      <c r="P1177" s="7"/>
      <c r="Q1177" s="7"/>
      <c r="R1177" s="7"/>
      <c r="S1177" s="7"/>
    </row>
    <row r="1178" spans="1:19" customFormat="1" ht="14.25" customHeight="1">
      <c r="A1178" s="119" t="s">
        <v>2863</v>
      </c>
      <c r="B1178" s="9">
        <v>24.8</v>
      </c>
      <c r="C1178" s="51" t="s">
        <v>1167</v>
      </c>
      <c r="D1178" s="192">
        <v>3</v>
      </c>
      <c r="E1178" s="7">
        <v>1.1000000000000001</v>
      </c>
      <c r="F1178" s="7"/>
      <c r="G1178" s="7"/>
      <c r="H1178" s="7"/>
      <c r="I1178" s="7"/>
      <c r="J1178" s="7"/>
      <c r="K1178" s="7"/>
      <c r="L1178" s="7"/>
      <c r="M1178" s="7"/>
      <c r="N1178" s="7"/>
      <c r="O1178" s="7"/>
      <c r="P1178" s="7"/>
      <c r="Q1178" s="7"/>
      <c r="R1178" s="7"/>
      <c r="S1178" s="7"/>
    </row>
    <row r="1179" spans="1:19" customFormat="1" ht="14.25" customHeight="1">
      <c r="A1179" s="119" t="s">
        <v>2864</v>
      </c>
      <c r="B1179" s="9">
        <v>21.8</v>
      </c>
      <c r="C1179" s="7" t="s">
        <v>1168</v>
      </c>
      <c r="D1179" s="187">
        <v>3</v>
      </c>
      <c r="E1179" s="7">
        <v>0.95</v>
      </c>
      <c r="F1179" s="7"/>
      <c r="G1179" s="7"/>
      <c r="H1179" s="7"/>
      <c r="I1179" s="7"/>
      <c r="J1179" s="7"/>
      <c r="K1179" s="7"/>
      <c r="L1179" s="7"/>
      <c r="M1179" s="7"/>
      <c r="N1179" s="7"/>
      <c r="O1179" s="7"/>
      <c r="P1179" s="7"/>
      <c r="Q1179" s="7"/>
      <c r="R1179" s="7"/>
      <c r="S1179" s="7"/>
    </row>
    <row r="1180" spans="1:19" customFormat="1" ht="14.25" customHeight="1">
      <c r="A1180" s="119" t="s">
        <v>2865</v>
      </c>
      <c r="B1180" s="9">
        <v>23.7</v>
      </c>
      <c r="C1180" s="7" t="s">
        <v>1169</v>
      </c>
      <c r="D1180" s="187">
        <v>3</v>
      </c>
      <c r="E1180" s="7">
        <v>0.95</v>
      </c>
      <c r="F1180" s="7"/>
      <c r="G1180" s="7"/>
      <c r="H1180" s="7"/>
      <c r="I1180" s="7"/>
      <c r="J1180" s="7"/>
      <c r="K1180" s="7"/>
      <c r="L1180" s="7"/>
      <c r="M1180" s="7"/>
      <c r="N1180" s="7"/>
      <c r="O1180" s="7"/>
      <c r="P1180" s="7"/>
      <c r="Q1180" s="7"/>
      <c r="R1180" s="7"/>
      <c r="S1180" s="7"/>
    </row>
    <row r="1181" spans="1:19" customFormat="1" ht="14.25" customHeight="1">
      <c r="A1181" s="119" t="s">
        <v>2866</v>
      </c>
      <c r="B1181" s="9">
        <v>19.3</v>
      </c>
      <c r="C1181" s="7" t="s">
        <v>1235</v>
      </c>
      <c r="D1181" s="187">
        <v>3</v>
      </c>
      <c r="E1181" s="7">
        <v>1.39</v>
      </c>
      <c r="F1181" s="7"/>
      <c r="G1181" s="7"/>
      <c r="H1181" s="7"/>
      <c r="I1181" s="7"/>
      <c r="J1181" s="7"/>
      <c r="K1181" s="7"/>
      <c r="L1181" s="7"/>
      <c r="M1181" s="7"/>
      <c r="N1181" s="7"/>
      <c r="O1181" s="7"/>
      <c r="P1181" s="7"/>
      <c r="Q1181" s="7"/>
      <c r="R1181" s="7"/>
      <c r="S1181" s="7"/>
    </row>
    <row r="1182" spans="1:19" customFormat="1" ht="14.25" customHeight="1">
      <c r="A1182" s="119" t="s">
        <v>2867</v>
      </c>
      <c r="B1182" s="9">
        <v>18.8</v>
      </c>
      <c r="C1182" s="7" t="s">
        <v>1236</v>
      </c>
      <c r="D1182" s="187">
        <v>3</v>
      </c>
      <c r="E1182" s="7">
        <v>1.3</v>
      </c>
      <c r="F1182" s="7"/>
      <c r="G1182" s="7"/>
      <c r="H1182" s="7"/>
      <c r="I1182" s="7"/>
      <c r="J1182" s="7"/>
      <c r="K1182" s="7"/>
      <c r="L1182" s="7"/>
      <c r="M1182" s="7"/>
      <c r="N1182" s="7"/>
      <c r="O1182" s="7"/>
      <c r="P1182" s="7"/>
      <c r="Q1182" s="7"/>
      <c r="R1182" s="7"/>
      <c r="S1182" s="7"/>
    </row>
    <row r="1183" spans="1:19" customFormat="1" ht="14.25" customHeight="1">
      <c r="A1183" s="119" t="s">
        <v>2868</v>
      </c>
      <c r="B1183" s="9">
        <v>17.8</v>
      </c>
      <c r="C1183" s="7" t="s">
        <v>1364</v>
      </c>
      <c r="D1183" s="187">
        <v>3</v>
      </c>
      <c r="E1183" s="7">
        <v>1.3</v>
      </c>
      <c r="F1183" s="7"/>
      <c r="G1183" s="7"/>
      <c r="H1183" s="7"/>
      <c r="I1183" s="7"/>
      <c r="J1183" s="7"/>
      <c r="K1183" s="7"/>
      <c r="L1183" s="7"/>
      <c r="M1183" s="7"/>
      <c r="N1183" s="7"/>
      <c r="O1183" s="7"/>
      <c r="P1183" s="7"/>
      <c r="Q1183" s="7"/>
      <c r="R1183" s="7"/>
      <c r="S1183" s="7"/>
    </row>
    <row r="1184" spans="1:19" customFormat="1" ht="14.25" customHeight="1">
      <c r="A1184" s="119" t="s">
        <v>2869</v>
      </c>
      <c r="B1184" s="9">
        <v>24.8</v>
      </c>
      <c r="C1184" s="7" t="s">
        <v>1234</v>
      </c>
      <c r="D1184" s="187">
        <v>3</v>
      </c>
      <c r="E1184" s="7">
        <v>1.3</v>
      </c>
      <c r="F1184" s="7"/>
      <c r="G1184" s="7"/>
      <c r="H1184" s="7"/>
      <c r="I1184" s="7"/>
      <c r="J1184" s="7"/>
      <c r="K1184" s="7"/>
      <c r="L1184" s="7"/>
      <c r="M1184" s="7"/>
      <c r="N1184" s="7"/>
      <c r="O1184" s="7"/>
      <c r="P1184" s="7"/>
      <c r="Q1184" s="7"/>
      <c r="R1184" s="7"/>
      <c r="S1184" s="7"/>
    </row>
    <row r="1185" spans="1:19" customFormat="1" ht="14.25" customHeight="1">
      <c r="A1185" s="128" t="s">
        <v>3075</v>
      </c>
      <c r="B1185" s="9">
        <v>33</v>
      </c>
      <c r="C1185" s="7" t="s">
        <v>1475</v>
      </c>
      <c r="D1185" s="187">
        <v>3</v>
      </c>
      <c r="E1185" s="7">
        <v>2.15</v>
      </c>
      <c r="F1185" s="7"/>
      <c r="G1185" s="7"/>
      <c r="H1185" s="7"/>
      <c r="I1185" s="7"/>
      <c r="J1185" s="7"/>
      <c r="K1185" s="7"/>
      <c r="L1185" s="7"/>
      <c r="M1185" s="7"/>
      <c r="N1185" s="7"/>
      <c r="O1185" s="7"/>
      <c r="P1185" s="7"/>
      <c r="Q1185" s="7"/>
      <c r="R1185" s="7"/>
      <c r="S1185" s="7"/>
    </row>
    <row r="1186" spans="1:19" customFormat="1" ht="14.25" customHeight="1">
      <c r="A1186" s="128" t="s">
        <v>3076</v>
      </c>
      <c r="B1186" s="9">
        <v>33</v>
      </c>
      <c r="C1186" s="135" t="s">
        <v>3318</v>
      </c>
      <c r="D1186" s="187">
        <v>3</v>
      </c>
      <c r="E1186" s="7">
        <v>2.15</v>
      </c>
      <c r="F1186" s="7"/>
      <c r="G1186" s="7"/>
      <c r="H1186" s="7"/>
      <c r="I1186" s="7"/>
      <c r="J1186" s="7"/>
      <c r="K1186" s="7"/>
      <c r="L1186" s="7"/>
      <c r="M1186" s="7"/>
      <c r="N1186" s="7"/>
      <c r="O1186" s="7"/>
      <c r="P1186" s="7"/>
      <c r="Q1186" s="7"/>
      <c r="R1186" s="7"/>
      <c r="S1186" s="7"/>
    </row>
    <row r="1187" spans="1:19" customFormat="1" ht="14.25" customHeight="1">
      <c r="A1187" s="128" t="s">
        <v>3077</v>
      </c>
      <c r="B1187" s="9">
        <v>33</v>
      </c>
      <c r="C1187" s="7" t="s">
        <v>1476</v>
      </c>
      <c r="D1187" s="187">
        <v>3</v>
      </c>
      <c r="E1187" s="7">
        <v>2.15</v>
      </c>
      <c r="F1187" s="7"/>
      <c r="G1187" s="7"/>
      <c r="H1187" s="7"/>
      <c r="I1187" s="7"/>
      <c r="J1187" s="7"/>
      <c r="K1187" s="7"/>
      <c r="L1187" s="7"/>
      <c r="M1187" s="7"/>
      <c r="N1187" s="7"/>
      <c r="O1187" s="7"/>
      <c r="P1187" s="7"/>
      <c r="Q1187" s="7"/>
      <c r="R1187" s="7"/>
      <c r="S1187" s="7"/>
    </row>
    <row r="1188" spans="1:19" customFormat="1" ht="14.25" customHeight="1">
      <c r="A1188" s="128" t="s">
        <v>3078</v>
      </c>
      <c r="B1188" s="9">
        <v>33</v>
      </c>
      <c r="C1188" s="7" t="s">
        <v>1477</v>
      </c>
      <c r="D1188" s="187">
        <v>3</v>
      </c>
      <c r="E1188" s="7">
        <v>2.15</v>
      </c>
      <c r="F1188" s="7"/>
      <c r="G1188" s="7"/>
      <c r="H1188" s="7"/>
      <c r="I1188" s="7"/>
      <c r="J1188" s="7"/>
      <c r="K1188" s="7"/>
      <c r="L1188" s="7"/>
      <c r="M1188" s="7"/>
      <c r="N1188" s="7"/>
      <c r="O1188" s="7"/>
      <c r="P1188" s="7"/>
      <c r="Q1188" s="7"/>
      <c r="R1188" s="7"/>
      <c r="S1188" s="7"/>
    </row>
    <row r="1189" spans="1:19" customFormat="1" ht="14.25" customHeight="1">
      <c r="A1189" s="128" t="s">
        <v>3079</v>
      </c>
      <c r="B1189" s="9">
        <v>33</v>
      </c>
      <c r="C1189" s="7" t="s">
        <v>1366</v>
      </c>
      <c r="D1189" s="187">
        <v>3</v>
      </c>
      <c r="E1189" s="7">
        <v>2.15</v>
      </c>
      <c r="F1189" s="7"/>
      <c r="G1189" s="7"/>
      <c r="H1189" s="7"/>
      <c r="I1189" s="7"/>
      <c r="J1189" s="7"/>
      <c r="K1189" s="7"/>
      <c r="L1189" s="7"/>
      <c r="M1189" s="7"/>
      <c r="N1189" s="7"/>
      <c r="O1189" s="7"/>
      <c r="P1189" s="7"/>
      <c r="Q1189" s="7"/>
      <c r="R1189" s="7"/>
      <c r="S1189" s="7"/>
    </row>
    <row r="1190" spans="1:19" customFormat="1" ht="14.25" customHeight="1">
      <c r="A1190" s="152" t="s">
        <v>3391</v>
      </c>
      <c r="B1190" s="9">
        <v>18.899999999999999</v>
      </c>
      <c r="C1190" s="7" t="s">
        <v>2147</v>
      </c>
      <c r="D1190" s="187">
        <v>5</v>
      </c>
      <c r="E1190" s="7">
        <v>1.1000000000000001</v>
      </c>
      <c r="F1190" s="7"/>
      <c r="G1190" s="7"/>
      <c r="H1190" s="7"/>
      <c r="I1190" s="7"/>
      <c r="J1190" s="7"/>
      <c r="K1190" s="7"/>
      <c r="L1190" s="7"/>
      <c r="M1190" s="7"/>
      <c r="N1190" s="7"/>
      <c r="O1190" s="7"/>
      <c r="P1190" s="7"/>
      <c r="Q1190" s="7"/>
      <c r="R1190" s="7"/>
      <c r="S1190" s="7"/>
    </row>
    <row r="1191" spans="1:19" customFormat="1" ht="14.25" customHeight="1">
      <c r="A1191" s="152" t="s">
        <v>3652</v>
      </c>
      <c r="B1191" s="9">
        <v>13.9</v>
      </c>
      <c r="C1191" s="7" t="s">
        <v>2161</v>
      </c>
      <c r="D1191" s="190">
        <v>10</v>
      </c>
      <c r="E1191" s="7">
        <v>0.39</v>
      </c>
      <c r="F1191" s="7"/>
      <c r="G1191" s="7"/>
      <c r="H1191" s="7"/>
      <c r="I1191" s="7"/>
      <c r="J1191" s="7"/>
      <c r="K1191" s="7"/>
      <c r="L1191" s="7"/>
      <c r="M1191" s="7"/>
      <c r="N1191" s="7"/>
      <c r="O1191" s="7"/>
      <c r="P1191" s="7"/>
      <c r="Q1191" s="7"/>
      <c r="R1191" s="7"/>
      <c r="S1191" s="7"/>
    </row>
    <row r="1192" spans="1:19" customFormat="1" ht="14.25" customHeight="1">
      <c r="A1192" s="151" t="s">
        <v>3654</v>
      </c>
      <c r="B1192" s="9">
        <v>10</v>
      </c>
      <c r="C1192" s="7" t="s">
        <v>2163</v>
      </c>
      <c r="D1192" s="190">
        <v>3</v>
      </c>
      <c r="E1192" s="7">
        <v>0.3</v>
      </c>
      <c r="F1192" s="7"/>
      <c r="G1192" s="7"/>
      <c r="H1192" s="7"/>
      <c r="I1192" s="7"/>
      <c r="J1192" s="7"/>
      <c r="K1192" s="7"/>
      <c r="L1192" s="7"/>
      <c r="M1192" s="7"/>
      <c r="N1192" s="7"/>
      <c r="O1192" s="7"/>
      <c r="P1192" s="7"/>
      <c r="Q1192" s="7"/>
      <c r="R1192" s="7"/>
      <c r="S1192" s="7"/>
    </row>
    <row r="1193" spans="1:19" customFormat="1" ht="14.25" customHeight="1">
      <c r="A1193" s="151" t="s">
        <v>3663</v>
      </c>
      <c r="B1193" s="124">
        <f>9.5/6</f>
        <v>1.5833333333333333</v>
      </c>
      <c r="C1193" s="7" t="s">
        <v>2158</v>
      </c>
      <c r="D1193" s="187">
        <v>100</v>
      </c>
      <c r="E1193" s="7">
        <v>0.04</v>
      </c>
      <c r="F1193" s="7"/>
      <c r="G1193" s="7"/>
      <c r="H1193" s="7"/>
      <c r="I1193" s="7"/>
      <c r="J1193" s="7"/>
      <c r="K1193" s="7"/>
      <c r="L1193" s="7"/>
      <c r="M1193" s="7"/>
      <c r="N1193" s="7"/>
      <c r="O1193" s="7"/>
      <c r="P1193" s="7"/>
      <c r="Q1193" s="7"/>
      <c r="R1193" s="7"/>
      <c r="S1193" s="7"/>
    </row>
  </sheetData>
  <phoneticPr fontId="2"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F12"/>
  <sheetViews>
    <sheetView workbookViewId="0">
      <selection activeCell="F11" sqref="F11"/>
    </sheetView>
  </sheetViews>
  <sheetFormatPr defaultRowHeight="14.25"/>
  <cols>
    <col min="1" max="1" width="9" style="66"/>
    <col min="2" max="2" width="15.125" style="66" bestFit="1" customWidth="1"/>
    <col min="3" max="3" width="9" style="66"/>
    <col min="4" max="4" width="14.125" style="66" bestFit="1" customWidth="1"/>
    <col min="5" max="5" width="9.625" style="66" bestFit="1" customWidth="1"/>
    <col min="6" max="6" width="16.125" style="66" bestFit="1" customWidth="1"/>
  </cols>
  <sheetData>
    <row r="1" spans="1:6">
      <c r="A1" s="66" t="s">
        <v>1034</v>
      </c>
      <c r="C1" s="66" t="s">
        <v>1033</v>
      </c>
      <c r="E1" s="66" t="s">
        <v>1035</v>
      </c>
    </row>
    <row r="2" spans="1:6">
      <c r="A2" s="66" t="s">
        <v>1053</v>
      </c>
      <c r="B2" s="66" t="s">
        <v>1055</v>
      </c>
      <c r="C2" s="66" t="s">
        <v>1039</v>
      </c>
      <c r="D2" s="66" t="s">
        <v>1038</v>
      </c>
      <c r="E2" s="66" t="s">
        <v>1031</v>
      </c>
      <c r="F2" s="66" t="s">
        <v>1032</v>
      </c>
    </row>
    <row r="3" spans="1:6">
      <c r="A3" s="66" t="s">
        <v>1078</v>
      </c>
      <c r="B3" s="66" t="s">
        <v>1093</v>
      </c>
      <c r="C3" s="66" t="s">
        <v>1049</v>
      </c>
      <c r="D3" s="66" t="s">
        <v>1048</v>
      </c>
      <c r="E3" s="66" t="s">
        <v>1046</v>
      </c>
      <c r="F3" s="66" t="s">
        <v>1047</v>
      </c>
    </row>
    <row r="4" spans="1:6">
      <c r="A4" s="66" t="s">
        <v>1079</v>
      </c>
      <c r="B4" s="66" t="s">
        <v>1080</v>
      </c>
      <c r="C4" s="66" t="s">
        <v>1050</v>
      </c>
      <c r="D4" s="66" t="s">
        <v>1051</v>
      </c>
      <c r="E4" s="66" t="s">
        <v>1056</v>
      </c>
      <c r="F4" s="66" t="s">
        <v>1057</v>
      </c>
    </row>
    <row r="5" spans="1:6">
      <c r="A5" s="66" t="s">
        <v>1081</v>
      </c>
      <c r="B5" s="66" t="s">
        <v>1082</v>
      </c>
      <c r="C5" s="66" t="s">
        <v>1054</v>
      </c>
      <c r="D5" s="66" t="s">
        <v>1052</v>
      </c>
      <c r="E5" s="67" t="s">
        <v>1060</v>
      </c>
      <c r="F5" s="66" t="s">
        <v>1045</v>
      </c>
    </row>
    <row r="6" spans="1:6">
      <c r="A6" s="66" t="s">
        <v>1084</v>
      </c>
      <c r="B6" s="66" t="s">
        <v>1083</v>
      </c>
      <c r="C6" s="66" t="s">
        <v>1065</v>
      </c>
      <c r="D6" s="66" t="s">
        <v>1064</v>
      </c>
      <c r="E6" s="66" t="s">
        <v>1063</v>
      </c>
      <c r="F6" s="66" t="s">
        <v>1062</v>
      </c>
    </row>
    <row r="7" spans="1:6">
      <c r="A7" s="66" t="s">
        <v>1099</v>
      </c>
      <c r="B7" s="66" t="s">
        <v>1100</v>
      </c>
      <c r="C7" s="66" t="s">
        <v>1068</v>
      </c>
      <c r="D7" s="66" t="s">
        <v>1066</v>
      </c>
      <c r="E7" s="66" t="s">
        <v>1017</v>
      </c>
      <c r="F7" s="66" t="s">
        <v>1104</v>
      </c>
    </row>
    <row r="8" spans="1:6">
      <c r="C8" s="66" t="s">
        <v>1069</v>
      </c>
      <c r="D8" s="66" t="s">
        <v>1067</v>
      </c>
    </row>
    <row r="9" spans="1:6">
      <c r="C9" s="66" t="s">
        <v>1070</v>
      </c>
      <c r="D9" s="66" t="s">
        <v>1071</v>
      </c>
    </row>
    <row r="10" spans="1:6">
      <c r="C10" s="66" t="s">
        <v>1073</v>
      </c>
      <c r="D10" s="66" t="s">
        <v>1072</v>
      </c>
    </row>
    <row r="11" spans="1:6">
      <c r="C11" s="66" t="s">
        <v>1075</v>
      </c>
      <c r="D11" s="66" t="s">
        <v>1074</v>
      </c>
    </row>
    <row r="12" spans="1:6">
      <c r="C12" s="66" t="s">
        <v>1077</v>
      </c>
      <c r="D12" s="66" t="s">
        <v>1076</v>
      </c>
    </row>
  </sheetData>
  <phoneticPr fontId="5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6"/>
  <dimension ref="A2:E41"/>
  <sheetViews>
    <sheetView topLeftCell="A14" workbookViewId="0">
      <selection activeCell="C16" sqref="C16:C38"/>
    </sheetView>
  </sheetViews>
  <sheetFormatPr defaultRowHeight="12"/>
  <cols>
    <col min="1" max="1" width="29.5" style="141" bestFit="1" customWidth="1"/>
    <col min="2" max="2" width="9" style="141"/>
    <col min="3" max="3" width="6.75" style="141" bestFit="1" customWidth="1"/>
    <col min="4" max="16384" width="9" style="141"/>
  </cols>
  <sheetData>
    <row r="2" spans="1:5">
      <c r="A2" s="141" t="s">
        <v>3396</v>
      </c>
      <c r="B2" s="141">
        <f>0.5*0.4*0.39</f>
        <v>7.8000000000000014E-2</v>
      </c>
      <c r="C2" s="141">
        <v>107</v>
      </c>
      <c r="D2" s="141">
        <f>B2*C2</f>
        <v>8.3460000000000019</v>
      </c>
    </row>
    <row r="3" spans="1:5">
      <c r="A3" s="141" t="s">
        <v>3397</v>
      </c>
      <c r="B3" s="141">
        <f>0.715*0.265*0.345</f>
        <v>6.5368874999999993E-2</v>
      </c>
      <c r="C3" s="141">
        <v>13</v>
      </c>
      <c r="D3" s="141">
        <f t="shared" ref="D3:D11" si="0">B3*C3</f>
        <v>0.84979537499999991</v>
      </c>
      <c r="E3" s="141">
        <f>B2/B3</f>
        <v>1.1932284286673134</v>
      </c>
    </row>
    <row r="4" spans="1:5">
      <c r="A4" s="141" t="s">
        <v>3398</v>
      </c>
      <c r="B4" s="141">
        <f>0.44*0.44*0.47</f>
        <v>9.099199999999999E-2</v>
      </c>
      <c r="C4" s="141">
        <v>1</v>
      </c>
      <c r="D4" s="141">
        <f t="shared" si="0"/>
        <v>9.099199999999999E-2</v>
      </c>
    </row>
    <row r="5" spans="1:5">
      <c r="A5" s="141" t="s">
        <v>3399</v>
      </c>
      <c r="B5" s="141">
        <f>0.31*0.38*0.32</f>
        <v>3.7696E-2</v>
      </c>
      <c r="C5" s="141">
        <v>1</v>
      </c>
      <c r="D5" s="141">
        <f t="shared" si="0"/>
        <v>3.7696E-2</v>
      </c>
    </row>
    <row r="6" spans="1:5">
      <c r="A6" s="141" t="s">
        <v>3400</v>
      </c>
      <c r="B6" s="141">
        <f>0.31*0.29*0.42</f>
        <v>3.7757999999999993E-2</v>
      </c>
      <c r="C6" s="141">
        <v>1</v>
      </c>
      <c r="D6" s="141">
        <f t="shared" si="0"/>
        <v>3.7757999999999993E-2</v>
      </c>
    </row>
    <row r="7" spans="1:5">
      <c r="A7" s="141" t="s">
        <v>3401</v>
      </c>
      <c r="B7" s="141">
        <f>0.31*0.29*0.42</f>
        <v>3.7757999999999993E-2</v>
      </c>
      <c r="C7" s="141">
        <v>1</v>
      </c>
      <c r="D7" s="141">
        <f t="shared" si="0"/>
        <v>3.7757999999999993E-2</v>
      </c>
    </row>
    <row r="8" spans="1:5">
      <c r="A8" s="141" t="s">
        <v>3402</v>
      </c>
      <c r="B8" s="141">
        <f>0.29*0.29*0.45</f>
        <v>3.7844999999999997E-2</v>
      </c>
      <c r="C8" s="141">
        <v>1</v>
      </c>
      <c r="D8" s="141">
        <f t="shared" si="0"/>
        <v>3.7844999999999997E-2</v>
      </c>
    </row>
    <row r="9" spans="1:5">
      <c r="A9" s="141" t="s">
        <v>3403</v>
      </c>
      <c r="B9" s="141">
        <f>0.51*0.27*0.3</f>
        <v>4.1310000000000006E-2</v>
      </c>
      <c r="C9" s="141">
        <v>1</v>
      </c>
      <c r="D9" s="141">
        <f t="shared" si="0"/>
        <v>4.1310000000000006E-2</v>
      </c>
    </row>
    <row r="10" spans="1:5">
      <c r="A10" s="141" t="s">
        <v>3404</v>
      </c>
      <c r="B10" s="141">
        <f>0.54*0.27*0.26</f>
        <v>3.7908000000000004E-2</v>
      </c>
      <c r="C10" s="141">
        <v>1</v>
      </c>
      <c r="D10" s="141">
        <f t="shared" si="0"/>
        <v>3.7908000000000004E-2</v>
      </c>
    </row>
    <row r="11" spans="1:5">
      <c r="A11" s="141" t="s">
        <v>3405</v>
      </c>
      <c r="B11" s="141">
        <f>0.54*0.27*0.26</f>
        <v>3.7908000000000004E-2</v>
      </c>
      <c r="C11" s="141">
        <v>1</v>
      </c>
      <c r="D11" s="141">
        <f t="shared" si="0"/>
        <v>3.7908000000000004E-2</v>
      </c>
    </row>
    <row r="12" spans="1:5">
      <c r="A12" s="141" t="s">
        <v>3397</v>
      </c>
      <c r="B12" s="141">
        <f>0.715*0.265*0.345</f>
        <v>6.5368874999999993E-2</v>
      </c>
      <c r="C12" s="141">
        <v>12</v>
      </c>
      <c r="D12" s="141">
        <f>B12*C12</f>
        <v>0.78442649999999992</v>
      </c>
    </row>
    <row r="13" spans="1:5" s="142" customFormat="1" ht="9.75" customHeight="1"/>
    <row r="14" spans="1:5">
      <c r="D14" s="141">
        <f>SUM(D2:D13)</f>
        <v>10.339396875000002</v>
      </c>
    </row>
    <row r="15" spans="1:5">
      <c r="B15" s="9" t="s">
        <v>3664</v>
      </c>
      <c r="C15" s="9" t="s">
        <v>3665</v>
      </c>
      <c r="D15" s="9" t="s">
        <v>3666</v>
      </c>
    </row>
    <row r="16" spans="1:5">
      <c r="A16" s="141" t="s">
        <v>1758</v>
      </c>
      <c r="B16" s="141">
        <v>2000</v>
      </c>
      <c r="C16" s="141">
        <v>-1000</v>
      </c>
      <c r="D16" s="141">
        <f>B16+C16</f>
        <v>1000</v>
      </c>
      <c r="E16" s="141">
        <v>1</v>
      </c>
    </row>
    <row r="17" spans="1:5">
      <c r="A17" s="141" t="s">
        <v>1759</v>
      </c>
      <c r="B17" s="141">
        <v>2000</v>
      </c>
      <c r="D17" s="141">
        <f t="shared" ref="D17:D38" si="1">B17+C17</f>
        <v>2000</v>
      </c>
      <c r="E17" s="141">
        <v>1</v>
      </c>
    </row>
    <row r="18" spans="1:5">
      <c r="A18" s="141" t="s">
        <v>1760</v>
      </c>
      <c r="B18" s="141">
        <v>2000</v>
      </c>
      <c r="C18" s="141">
        <v>-1000</v>
      </c>
      <c r="D18" s="141">
        <f t="shared" si="1"/>
        <v>1000</v>
      </c>
      <c r="E18" s="141">
        <v>1.5</v>
      </c>
    </row>
    <row r="19" spans="1:5">
      <c r="A19" s="141" t="s">
        <v>2895</v>
      </c>
      <c r="B19" s="141">
        <v>2000</v>
      </c>
      <c r="D19" s="141">
        <f t="shared" si="1"/>
        <v>2000</v>
      </c>
      <c r="E19" s="141">
        <v>1</v>
      </c>
    </row>
    <row r="20" spans="1:5">
      <c r="A20" s="141" t="s">
        <v>2896</v>
      </c>
      <c r="B20" s="141">
        <v>2000</v>
      </c>
      <c r="D20" s="141">
        <f t="shared" si="1"/>
        <v>2000</v>
      </c>
      <c r="E20" s="141">
        <v>1</v>
      </c>
    </row>
    <row r="21" spans="1:5">
      <c r="A21" s="141" t="s">
        <v>2897</v>
      </c>
      <c r="B21" s="141">
        <v>2000</v>
      </c>
      <c r="D21" s="141">
        <f t="shared" si="1"/>
        <v>2000</v>
      </c>
      <c r="E21" s="141">
        <v>1.5</v>
      </c>
    </row>
    <row r="22" spans="1:5">
      <c r="A22" s="141" t="s">
        <v>3041</v>
      </c>
      <c r="B22" s="141">
        <v>2000</v>
      </c>
      <c r="C22" s="141">
        <v>-1000</v>
      </c>
      <c r="D22" s="141">
        <f t="shared" si="1"/>
        <v>1000</v>
      </c>
      <c r="E22" s="141">
        <v>1</v>
      </c>
    </row>
    <row r="23" spans="1:5">
      <c r="A23" s="143" t="s">
        <v>1792</v>
      </c>
      <c r="B23" s="143">
        <v>1000</v>
      </c>
      <c r="C23" s="143"/>
      <c r="D23" s="141">
        <f t="shared" si="1"/>
        <v>1000</v>
      </c>
      <c r="E23" s="141">
        <f>1.5/2</f>
        <v>0.75</v>
      </c>
    </row>
    <row r="24" spans="1:5">
      <c r="A24" s="143" t="s">
        <v>1789</v>
      </c>
      <c r="B24" s="143">
        <v>500</v>
      </c>
      <c r="C24" s="143"/>
      <c r="D24" s="141">
        <f t="shared" si="1"/>
        <v>500</v>
      </c>
      <c r="E24" s="141">
        <f>1.5/4</f>
        <v>0.375</v>
      </c>
    </row>
    <row r="25" spans="1:5">
      <c r="A25" s="143" t="s">
        <v>1794</v>
      </c>
      <c r="B25" s="143">
        <v>500</v>
      </c>
      <c r="C25" s="143"/>
      <c r="D25" s="141">
        <f t="shared" si="1"/>
        <v>500</v>
      </c>
      <c r="E25" s="141">
        <f>1.5/4</f>
        <v>0.375</v>
      </c>
    </row>
    <row r="26" spans="1:5">
      <c r="A26" s="143" t="s">
        <v>1782</v>
      </c>
      <c r="B26" s="143">
        <v>500</v>
      </c>
      <c r="C26" s="143">
        <v>-250</v>
      </c>
      <c r="D26" s="141">
        <f t="shared" si="1"/>
        <v>250</v>
      </c>
      <c r="E26" s="141">
        <f>1.5/4</f>
        <v>0.375</v>
      </c>
    </row>
    <row r="27" spans="1:5">
      <c r="A27" s="143" t="s">
        <v>1781</v>
      </c>
      <c r="B27" s="143">
        <v>500</v>
      </c>
      <c r="C27" s="143"/>
      <c r="D27" s="141">
        <f t="shared" si="1"/>
        <v>500</v>
      </c>
      <c r="E27" s="141">
        <v>0.5</v>
      </c>
    </row>
    <row r="28" spans="1:5">
      <c r="A28" s="143" t="s">
        <v>1788</v>
      </c>
      <c r="B28" s="143">
        <v>500</v>
      </c>
      <c r="C28" s="143"/>
      <c r="D28" s="141">
        <f t="shared" si="1"/>
        <v>500</v>
      </c>
      <c r="E28" s="141">
        <v>0.5</v>
      </c>
    </row>
    <row r="29" spans="1:5">
      <c r="A29" s="143" t="s">
        <v>1791</v>
      </c>
      <c r="B29" s="143">
        <v>500</v>
      </c>
      <c r="C29" s="143"/>
      <c r="D29" s="141">
        <f t="shared" si="1"/>
        <v>500</v>
      </c>
      <c r="E29" s="141">
        <v>1</v>
      </c>
    </row>
    <row r="30" spans="1:5">
      <c r="A30" s="143" t="s">
        <v>1795</v>
      </c>
      <c r="B30" s="143">
        <v>500</v>
      </c>
      <c r="C30" s="143"/>
      <c r="D30" s="141">
        <f t="shared" si="1"/>
        <v>500</v>
      </c>
      <c r="E30" s="141">
        <v>1.5</v>
      </c>
    </row>
    <row r="31" spans="1:5">
      <c r="A31" s="143" t="s">
        <v>1793</v>
      </c>
      <c r="B31" s="143">
        <v>500</v>
      </c>
      <c r="C31" s="143">
        <v>-250</v>
      </c>
      <c r="D31" s="141">
        <f t="shared" si="1"/>
        <v>250</v>
      </c>
      <c r="E31" s="141">
        <v>1.5</v>
      </c>
    </row>
    <row r="32" spans="1:5">
      <c r="A32" s="143" t="s">
        <v>1790</v>
      </c>
      <c r="B32" s="143">
        <v>500</v>
      </c>
      <c r="C32" s="143">
        <v>-250</v>
      </c>
      <c r="D32" s="141">
        <f t="shared" si="1"/>
        <v>250</v>
      </c>
      <c r="E32" s="144">
        <f>B32/354*1.2</f>
        <v>1.6949152542372883</v>
      </c>
    </row>
    <row r="33" spans="1:5">
      <c r="A33" s="143" t="s">
        <v>1784</v>
      </c>
      <c r="B33" s="143">
        <v>50</v>
      </c>
      <c r="C33" s="143"/>
      <c r="D33" s="141">
        <f t="shared" si="1"/>
        <v>50</v>
      </c>
      <c r="E33" s="144">
        <f>B33/250*1.2</f>
        <v>0.24</v>
      </c>
    </row>
    <row r="34" spans="1:5">
      <c r="A34" s="143" t="s">
        <v>1783</v>
      </c>
      <c r="B34" s="143">
        <v>50</v>
      </c>
      <c r="C34" s="143">
        <v>-50</v>
      </c>
      <c r="D34" s="141">
        <f t="shared" si="1"/>
        <v>0</v>
      </c>
      <c r="E34" s="144">
        <f>B34/250*1.2</f>
        <v>0.24</v>
      </c>
    </row>
    <row r="35" spans="1:5">
      <c r="A35" s="143" t="s">
        <v>1787</v>
      </c>
      <c r="B35" s="143">
        <v>50</v>
      </c>
      <c r="C35" s="143"/>
      <c r="D35" s="141">
        <f t="shared" si="1"/>
        <v>50</v>
      </c>
      <c r="E35" s="144">
        <f>B35/250*1.2</f>
        <v>0.24</v>
      </c>
    </row>
    <row r="36" spans="1:5">
      <c r="A36" s="143" t="s">
        <v>1785</v>
      </c>
      <c r="B36" s="143">
        <v>50</v>
      </c>
      <c r="C36" s="143"/>
      <c r="D36" s="141">
        <f t="shared" si="1"/>
        <v>50</v>
      </c>
      <c r="E36" s="144">
        <f>B36/160*1.2</f>
        <v>0.375</v>
      </c>
    </row>
    <row r="37" spans="1:5">
      <c r="A37" s="143" t="s">
        <v>1780</v>
      </c>
      <c r="B37" s="143">
        <v>50</v>
      </c>
      <c r="C37" s="143"/>
      <c r="D37" s="141">
        <f t="shared" si="1"/>
        <v>50</v>
      </c>
      <c r="E37" s="144">
        <f>B37/160*1.2</f>
        <v>0.375</v>
      </c>
    </row>
    <row r="38" spans="1:5">
      <c r="A38" s="143" t="s">
        <v>1786</v>
      </c>
      <c r="B38" s="143">
        <v>50</v>
      </c>
      <c r="C38" s="143"/>
      <c r="D38" s="141">
        <f t="shared" si="1"/>
        <v>50</v>
      </c>
      <c r="E38" s="144">
        <f>B38/160*1.2</f>
        <v>0.375</v>
      </c>
    </row>
    <row r="39" spans="1:5" s="142" customFormat="1" ht="8.25" customHeight="1"/>
    <row r="40" spans="1:5">
      <c r="B40" s="141">
        <f>SUM(B16:B39)</f>
        <v>19800</v>
      </c>
      <c r="C40" s="141">
        <f>SUM(C16:C39)</f>
        <v>-3800</v>
      </c>
      <c r="D40" s="141">
        <f>SUM(D16:D39)</f>
        <v>16000</v>
      </c>
      <c r="E40" s="145">
        <f>SUM(E16:E39)</f>
        <v>18.414915254237282</v>
      </c>
    </row>
    <row r="41" spans="1:5">
      <c r="C41" s="141">
        <f>C40/B40</f>
        <v>-0.19191919191919191</v>
      </c>
    </row>
  </sheetData>
  <phoneticPr fontId="68"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D364"/>
  <sheetViews>
    <sheetView workbookViewId="0">
      <selection activeCell="B365" sqref="B365"/>
    </sheetView>
  </sheetViews>
  <sheetFormatPr defaultRowHeight="14.25"/>
  <cols>
    <col min="1" max="1" width="13.875" bestFit="1" customWidth="1"/>
    <col min="2" max="2" width="35" bestFit="1" customWidth="1"/>
    <col min="3" max="3" width="37.75" customWidth="1"/>
    <col min="4" max="4" width="71.625" bestFit="1" customWidth="1"/>
  </cols>
  <sheetData>
    <row r="1" spans="1:4">
      <c r="A1" s="23" t="s">
        <v>4240</v>
      </c>
      <c r="C1" s="23" t="s">
        <v>4242</v>
      </c>
      <c r="D1" s="23" t="s">
        <v>4241</v>
      </c>
    </row>
    <row r="2" spans="1:4">
      <c r="A2" s="23" t="s">
        <v>5182</v>
      </c>
      <c r="B2" s="23" t="s">
        <v>5184</v>
      </c>
      <c r="C2" s="23" t="s">
        <v>5127</v>
      </c>
      <c r="D2" s="23" t="s">
        <v>5126</v>
      </c>
    </row>
    <row r="3" spans="1:4">
      <c r="A3" s="23" t="s">
        <v>4684</v>
      </c>
      <c r="B3" s="23" t="s">
        <v>5185</v>
      </c>
      <c r="C3" s="23" t="s">
        <v>4686</v>
      </c>
      <c r="D3" s="23" t="s">
        <v>4685</v>
      </c>
    </row>
    <row r="4" spans="1:4">
      <c r="A4" s="23" t="s">
        <v>5188</v>
      </c>
      <c r="B4" s="23" t="s">
        <v>5189</v>
      </c>
      <c r="C4" s="23" t="s">
        <v>4597</v>
      </c>
      <c r="D4" s="23" t="s">
        <v>4596</v>
      </c>
    </row>
    <row r="5" spans="1:4">
      <c r="A5" s="23" t="s">
        <v>5190</v>
      </c>
      <c r="B5" s="23" t="s">
        <v>5191</v>
      </c>
      <c r="C5" s="23" t="s">
        <v>4774</v>
      </c>
      <c r="D5" s="23" t="s">
        <v>4773</v>
      </c>
    </row>
    <row r="6" spans="1:4">
      <c r="A6" s="23" t="s">
        <v>4292</v>
      </c>
      <c r="B6" s="23" t="s">
        <v>5200</v>
      </c>
      <c r="C6" s="23" t="s">
        <v>4294</v>
      </c>
      <c r="D6" s="23" t="s">
        <v>4293</v>
      </c>
    </row>
    <row r="7" spans="1:4">
      <c r="A7" s="23" t="s">
        <v>4323</v>
      </c>
      <c r="B7" s="23" t="s">
        <v>5195</v>
      </c>
      <c r="C7" s="23" t="s">
        <v>4324</v>
      </c>
      <c r="D7" s="23" t="s">
        <v>5187</v>
      </c>
    </row>
    <row r="8" spans="1:4">
      <c r="A8" s="23" t="s">
        <v>4612</v>
      </c>
      <c r="B8" s="23" t="s">
        <v>5196</v>
      </c>
      <c r="C8" s="23" t="s">
        <v>4614</v>
      </c>
      <c r="D8" s="23" t="s">
        <v>4613</v>
      </c>
    </row>
    <row r="9" spans="1:4">
      <c r="A9" s="23" t="s">
        <v>4609</v>
      </c>
      <c r="B9" s="23" t="s">
        <v>5197</v>
      </c>
      <c r="C9" s="23" t="s">
        <v>4611</v>
      </c>
      <c r="D9" s="23" t="s">
        <v>4610</v>
      </c>
    </row>
    <row r="10" spans="1:4">
      <c r="A10" s="23" t="s">
        <v>4729</v>
      </c>
      <c r="B10" s="23" t="s">
        <v>5208</v>
      </c>
      <c r="C10" s="23" t="s">
        <v>4730</v>
      </c>
      <c r="D10" s="23" t="s">
        <v>5183</v>
      </c>
    </row>
    <row r="11" spans="1:4">
      <c r="A11" s="23" t="s">
        <v>4940</v>
      </c>
      <c r="B11" s="23" t="s">
        <v>5244</v>
      </c>
      <c r="C11" s="23" t="s">
        <v>4942</v>
      </c>
      <c r="D11" s="23" t="s">
        <v>4941</v>
      </c>
    </row>
    <row r="12" spans="1:4">
      <c r="A12" s="23" t="s">
        <v>4967</v>
      </c>
      <c r="B12" s="23" t="s">
        <v>5192</v>
      </c>
      <c r="C12" s="23" t="s">
        <v>4969</v>
      </c>
      <c r="D12" s="23" t="s">
        <v>4968</v>
      </c>
    </row>
    <row r="13" spans="1:4">
      <c r="A13" s="23" t="s">
        <v>4964</v>
      </c>
      <c r="B13" s="23" t="s">
        <v>5193</v>
      </c>
      <c r="C13" s="23" t="s">
        <v>4966</v>
      </c>
      <c r="D13" s="23" t="s">
        <v>4965</v>
      </c>
    </row>
    <row r="14" spans="1:4">
      <c r="A14" s="23" t="s">
        <v>4295</v>
      </c>
      <c r="B14" s="23" t="s">
        <v>5198</v>
      </c>
      <c r="C14" s="23" t="s">
        <v>4297</v>
      </c>
      <c r="D14" s="23" t="s">
        <v>4296</v>
      </c>
    </row>
    <row r="15" spans="1:4">
      <c r="A15" s="23" t="s">
        <v>4758</v>
      </c>
      <c r="B15" s="23" t="s">
        <v>5199</v>
      </c>
      <c r="C15" s="23" t="s">
        <v>4760</v>
      </c>
      <c r="D15" s="23" t="s">
        <v>4759</v>
      </c>
    </row>
    <row r="16" spans="1:4">
      <c r="A16" s="23" t="s">
        <v>5112</v>
      </c>
      <c r="B16" s="23" t="s">
        <v>5194</v>
      </c>
      <c r="C16" s="23" t="s">
        <v>5114</v>
      </c>
      <c r="D16" s="23" t="s">
        <v>5113</v>
      </c>
    </row>
    <row r="17" spans="1:4">
      <c r="A17" s="23" t="s">
        <v>4377</v>
      </c>
      <c r="B17" s="23" t="s">
        <v>5201</v>
      </c>
      <c r="C17" s="23" t="s">
        <v>4379</v>
      </c>
      <c r="D17" s="23" t="s">
        <v>4378</v>
      </c>
    </row>
    <row r="18" spans="1:4">
      <c r="A18" s="23" t="s">
        <v>4679</v>
      </c>
      <c r="B18" s="23" t="s">
        <v>5204</v>
      </c>
      <c r="C18" s="23" t="s">
        <v>4681</v>
      </c>
      <c r="D18" s="23" t="s">
        <v>4680</v>
      </c>
    </row>
    <row r="19" spans="1:4">
      <c r="A19" s="23" t="s">
        <v>4650</v>
      </c>
      <c r="B19" s="23" t="s">
        <v>5205</v>
      </c>
      <c r="C19" s="23" t="s">
        <v>4652</v>
      </c>
      <c r="D19" s="23" t="s">
        <v>4651</v>
      </c>
    </row>
    <row r="20" spans="1:4">
      <c r="A20" s="23" t="s">
        <v>4780</v>
      </c>
      <c r="B20" s="23" t="s">
        <v>5202</v>
      </c>
      <c r="C20" s="23" t="s">
        <v>4782</v>
      </c>
      <c r="D20" s="23" t="s">
        <v>4781</v>
      </c>
    </row>
    <row r="21" spans="1:4">
      <c r="A21" s="23" t="s">
        <v>4540</v>
      </c>
      <c r="B21" s="23" t="s">
        <v>5203</v>
      </c>
      <c r="C21" s="23" t="s">
        <v>4542</v>
      </c>
      <c r="D21" s="23" t="s">
        <v>4541</v>
      </c>
    </row>
    <row r="22" spans="1:4">
      <c r="A22" s="23" t="s">
        <v>5082</v>
      </c>
      <c r="B22" s="23" t="s">
        <v>5206</v>
      </c>
      <c r="C22" s="23" t="s">
        <v>5084</v>
      </c>
      <c r="D22" s="23" t="s">
        <v>5083</v>
      </c>
    </row>
    <row r="23" spans="1:4">
      <c r="A23" s="23" t="s">
        <v>4700</v>
      </c>
      <c r="B23" s="23" t="s">
        <v>5207</v>
      </c>
      <c r="C23" s="23" t="s">
        <v>4702</v>
      </c>
      <c r="D23" s="23" t="s">
        <v>4701</v>
      </c>
    </row>
    <row r="24" spans="1:4">
      <c r="A24" s="23" t="s">
        <v>4697</v>
      </c>
      <c r="B24" s="23" t="s">
        <v>5209</v>
      </c>
      <c r="C24" s="23" t="s">
        <v>4699</v>
      </c>
      <c r="D24" s="23" t="s">
        <v>4698</v>
      </c>
    </row>
    <row r="25" spans="1:4">
      <c r="A25" s="23" t="s">
        <v>4807</v>
      </c>
      <c r="B25" t="s">
        <v>5210</v>
      </c>
      <c r="C25" s="23" t="s">
        <v>4809</v>
      </c>
      <c r="D25" s="23" t="s">
        <v>4808</v>
      </c>
    </row>
    <row r="26" spans="1:4">
      <c r="A26" s="23" t="s">
        <v>4435</v>
      </c>
      <c r="B26" s="23" t="s">
        <v>5245</v>
      </c>
      <c r="C26" s="23" t="s">
        <v>4437</v>
      </c>
      <c r="D26" s="23" t="s">
        <v>4436</v>
      </c>
    </row>
    <row r="27" spans="1:4">
      <c r="A27" s="23" t="s">
        <v>4449</v>
      </c>
      <c r="B27" s="23" t="s">
        <v>5249</v>
      </c>
      <c r="C27" s="23" t="s">
        <v>4451</v>
      </c>
      <c r="D27" s="23" t="s">
        <v>4450</v>
      </c>
    </row>
    <row r="28" spans="1:4">
      <c r="A28" s="23" t="s">
        <v>4884</v>
      </c>
      <c r="B28" s="23" t="s">
        <v>5222</v>
      </c>
      <c r="C28" s="23" t="s">
        <v>4886</v>
      </c>
      <c r="D28" s="23" t="s">
        <v>4885</v>
      </c>
    </row>
    <row r="29" spans="1:4">
      <c r="A29" s="23" t="s">
        <v>4246</v>
      </c>
      <c r="B29" s="23" t="s">
        <v>5212</v>
      </c>
      <c r="C29" s="23" t="s">
        <v>4248</v>
      </c>
      <c r="D29" s="23" t="s">
        <v>4247</v>
      </c>
    </row>
    <row r="30" spans="1:4">
      <c r="A30" s="23" t="s">
        <v>4522</v>
      </c>
      <c r="B30" s="23" t="s">
        <v>5213</v>
      </c>
      <c r="C30" s="23" t="s">
        <v>4524</v>
      </c>
      <c r="D30" s="23" t="s">
        <v>4523</v>
      </c>
    </row>
    <row r="31" spans="1:4">
      <c r="A31" s="23" t="s">
        <v>4821</v>
      </c>
      <c r="B31" s="23" t="s">
        <v>5246</v>
      </c>
      <c r="C31" s="23" t="s">
        <v>4823</v>
      </c>
      <c r="D31" s="23" t="s">
        <v>4822</v>
      </c>
    </row>
    <row r="32" spans="1:4">
      <c r="A32" s="23" t="s">
        <v>4558</v>
      </c>
      <c r="B32" s="23" t="s">
        <v>5214</v>
      </c>
      <c r="C32" s="23" t="s">
        <v>4560</v>
      </c>
      <c r="D32" s="23" t="s">
        <v>4559</v>
      </c>
    </row>
    <row r="33" spans="1:4">
      <c r="A33" s="23" t="s">
        <v>4555</v>
      </c>
      <c r="B33" s="23" t="s">
        <v>5215</v>
      </c>
      <c r="C33" s="23" t="s">
        <v>4557</v>
      </c>
      <c r="D33" s="23" t="s">
        <v>4556</v>
      </c>
    </row>
    <row r="34" spans="1:4">
      <c r="A34" s="23" t="s">
        <v>4500</v>
      </c>
      <c r="B34" s="23" t="s">
        <v>5216</v>
      </c>
      <c r="C34" s="23" t="s">
        <v>4502</v>
      </c>
      <c r="D34" s="23" t="s">
        <v>4501</v>
      </c>
    </row>
    <row r="35" spans="1:4">
      <c r="A35" s="23" t="s">
        <v>4503</v>
      </c>
      <c r="B35" s="23" t="s">
        <v>5217</v>
      </c>
      <c r="C35" s="23" t="s">
        <v>4502</v>
      </c>
      <c r="D35" s="23" t="s">
        <v>4504</v>
      </c>
    </row>
    <row r="36" spans="1:4">
      <c r="A36" s="23" t="s">
        <v>4691</v>
      </c>
      <c r="B36" s="23" t="s">
        <v>5218</v>
      </c>
      <c r="C36" s="23" t="s">
        <v>4693</v>
      </c>
      <c r="D36" s="23" t="s">
        <v>4692</v>
      </c>
    </row>
    <row r="37" spans="1:4">
      <c r="A37" s="23" t="s">
        <v>4546</v>
      </c>
      <c r="B37" s="23" t="s">
        <v>5219</v>
      </c>
      <c r="C37" s="23" t="s">
        <v>4548</v>
      </c>
      <c r="D37" s="23" t="s">
        <v>4547</v>
      </c>
    </row>
    <row r="38" spans="1:4">
      <c r="A38" s="23" t="s">
        <v>4731</v>
      </c>
      <c r="B38" s="23" t="s">
        <v>5220</v>
      </c>
      <c r="C38" s="23" t="s">
        <v>4733</v>
      </c>
      <c r="D38" s="23" t="s">
        <v>4732</v>
      </c>
    </row>
    <row r="39" spans="1:4">
      <c r="A39" s="23" t="s">
        <v>5094</v>
      </c>
      <c r="B39" s="23" t="s">
        <v>5221</v>
      </c>
      <c r="C39" s="23" t="s">
        <v>5096</v>
      </c>
      <c r="D39" s="23" t="s">
        <v>5095</v>
      </c>
    </row>
    <row r="40" spans="1:4">
      <c r="A40" s="23" t="s">
        <v>5060</v>
      </c>
      <c r="B40" s="23" t="s">
        <v>5247</v>
      </c>
      <c r="C40" s="23" t="s">
        <v>5062</v>
      </c>
      <c r="D40" s="23" t="s">
        <v>5061</v>
      </c>
    </row>
    <row r="41" spans="1:4">
      <c r="A41" s="23" t="s">
        <v>5034</v>
      </c>
      <c r="B41" s="23" t="s">
        <v>5211</v>
      </c>
      <c r="C41" s="23" t="s">
        <v>5036</v>
      </c>
      <c r="D41" s="23" t="s">
        <v>5035</v>
      </c>
    </row>
    <row r="42" spans="1:4">
      <c r="A42" s="23" t="s">
        <v>5152</v>
      </c>
      <c r="B42" s="23" t="s">
        <v>5223</v>
      </c>
      <c r="C42" s="23"/>
      <c r="D42" s="23" t="s">
        <v>5152</v>
      </c>
    </row>
    <row r="43" spans="1:4">
      <c r="A43" s="23" t="s">
        <v>4289</v>
      </c>
      <c r="B43" s="23" t="s">
        <v>5224</v>
      </c>
      <c r="C43" s="23" t="s">
        <v>4291</v>
      </c>
      <c r="D43" s="23" t="s">
        <v>4290</v>
      </c>
    </row>
    <row r="44" spans="1:4">
      <c r="A44" s="23" t="s">
        <v>4312</v>
      </c>
      <c r="B44" s="23" t="s">
        <v>5225</v>
      </c>
      <c r="C44" s="23" t="s">
        <v>4314</v>
      </c>
      <c r="D44" s="23" t="s">
        <v>4313</v>
      </c>
    </row>
    <row r="45" spans="1:4">
      <c r="A45" s="23" t="s">
        <v>4477</v>
      </c>
      <c r="B45" s="23" t="s">
        <v>5226</v>
      </c>
      <c r="C45" s="23" t="s">
        <v>4479</v>
      </c>
      <c r="D45" s="23" t="s">
        <v>4478</v>
      </c>
    </row>
    <row r="46" spans="1:4">
      <c r="A46" s="23" t="s">
        <v>4528</v>
      </c>
      <c r="B46" s="23" t="s">
        <v>5227</v>
      </c>
      <c r="C46" s="23" t="s">
        <v>4530</v>
      </c>
      <c r="D46" s="23" t="s">
        <v>4529</v>
      </c>
    </row>
    <row r="47" spans="1:4">
      <c r="A47" s="23" t="s">
        <v>4717</v>
      </c>
      <c r="B47" s="23" t="s">
        <v>5228</v>
      </c>
      <c r="C47" s="23" t="s">
        <v>4719</v>
      </c>
      <c r="D47" s="23" t="s">
        <v>4718</v>
      </c>
    </row>
    <row r="48" spans="1:4">
      <c r="A48" s="23" t="s">
        <v>4525</v>
      </c>
      <c r="B48" s="23" t="s">
        <v>5229</v>
      </c>
      <c r="C48" s="23" t="s">
        <v>4527</v>
      </c>
      <c r="D48" s="23" t="s">
        <v>4526</v>
      </c>
    </row>
    <row r="49" spans="1:4">
      <c r="A49" s="23" t="s">
        <v>4720</v>
      </c>
      <c r="B49" s="23" t="s">
        <v>5230</v>
      </c>
      <c r="C49" s="23" t="s">
        <v>4722</v>
      </c>
      <c r="D49" s="23" t="s">
        <v>4721</v>
      </c>
    </row>
    <row r="50" spans="1:4">
      <c r="A50" s="23" t="s">
        <v>4325</v>
      </c>
      <c r="B50" s="23" t="s">
        <v>5231</v>
      </c>
      <c r="C50" s="23" t="s">
        <v>4327</v>
      </c>
      <c r="D50" s="23" t="s">
        <v>4326</v>
      </c>
    </row>
    <row r="51" spans="1:4">
      <c r="A51" s="23" t="s">
        <v>4495</v>
      </c>
      <c r="B51" s="23" t="s">
        <v>5232</v>
      </c>
      <c r="C51" s="23" t="s">
        <v>4497</v>
      </c>
      <c r="D51" s="23" t="s">
        <v>4496</v>
      </c>
    </row>
    <row r="52" spans="1:4">
      <c r="A52" s="23" t="s">
        <v>4855</v>
      </c>
      <c r="B52" s="23" t="s">
        <v>5233</v>
      </c>
      <c r="C52" s="23" t="s">
        <v>4857</v>
      </c>
      <c r="D52" s="23" t="s">
        <v>4856</v>
      </c>
    </row>
    <row r="53" spans="1:4">
      <c r="A53" s="23" t="s">
        <v>4337</v>
      </c>
      <c r="B53" s="23" t="s">
        <v>5234</v>
      </c>
      <c r="C53" s="23" t="s">
        <v>4339</v>
      </c>
      <c r="D53" s="23" t="s">
        <v>4338</v>
      </c>
    </row>
    <row r="54" spans="1:4">
      <c r="A54" s="23" t="s">
        <v>4460</v>
      </c>
      <c r="B54" s="23" t="s">
        <v>5235</v>
      </c>
      <c r="C54" s="23" t="s">
        <v>4462</v>
      </c>
      <c r="D54" s="23" t="s">
        <v>4461</v>
      </c>
    </row>
    <row r="55" spans="1:4">
      <c r="A55" s="23" t="s">
        <v>4543</v>
      </c>
      <c r="B55" s="23" t="s">
        <v>5236</v>
      </c>
      <c r="C55" s="23" t="s">
        <v>4545</v>
      </c>
      <c r="D55" s="23" t="s">
        <v>4544</v>
      </c>
    </row>
    <row r="56" spans="1:4">
      <c r="A56" s="23" t="s">
        <v>4416</v>
      </c>
      <c r="B56" s="23" t="s">
        <v>5237</v>
      </c>
      <c r="C56" s="23" t="s">
        <v>4418</v>
      </c>
      <c r="D56" s="23" t="s">
        <v>4417</v>
      </c>
    </row>
    <row r="57" spans="1:4">
      <c r="A57" s="23" t="s">
        <v>4927</v>
      </c>
      <c r="B57" s="23" t="s">
        <v>5238</v>
      </c>
      <c r="C57" s="23" t="s">
        <v>4929</v>
      </c>
      <c r="D57" s="23" t="s">
        <v>4928</v>
      </c>
    </row>
    <row r="58" spans="1:4">
      <c r="A58" s="23" t="s">
        <v>4617</v>
      </c>
      <c r="B58" s="23" t="s">
        <v>5239</v>
      </c>
      <c r="C58" s="23" t="s">
        <v>4619</v>
      </c>
      <c r="D58" s="23" t="s">
        <v>4618</v>
      </c>
    </row>
    <row r="59" spans="1:4">
      <c r="A59" s="23" t="s">
        <v>4798</v>
      </c>
      <c r="B59" s="23" t="s">
        <v>5240</v>
      </c>
      <c r="C59" s="23" t="s">
        <v>4800</v>
      </c>
      <c r="D59" s="23" t="s">
        <v>4799</v>
      </c>
    </row>
    <row r="60" spans="1:4">
      <c r="A60" s="23" t="s">
        <v>4933</v>
      </c>
      <c r="B60" s="23" t="s">
        <v>5242</v>
      </c>
      <c r="C60" s="23" t="s">
        <v>4935</v>
      </c>
      <c r="D60" s="23" t="s">
        <v>4934</v>
      </c>
    </row>
    <row r="61" spans="1:4">
      <c r="A61" s="23" t="s">
        <v>4708</v>
      </c>
      <c r="B61" s="23" t="s">
        <v>5243</v>
      </c>
      <c r="C61" s="23" t="s">
        <v>4710</v>
      </c>
      <c r="D61" s="23" t="s">
        <v>4709</v>
      </c>
    </row>
    <row r="62" spans="1:4">
      <c r="A62" s="23" t="s">
        <v>4723</v>
      </c>
      <c r="B62" s="23" t="s">
        <v>5241</v>
      </c>
      <c r="C62" s="23" t="s">
        <v>4725</v>
      </c>
      <c r="D62" s="23" t="s">
        <v>4724</v>
      </c>
    </row>
    <row r="63" spans="1:4">
      <c r="A63" s="23" t="s">
        <v>5052</v>
      </c>
      <c r="B63" s="23" t="s">
        <v>5248</v>
      </c>
      <c r="C63" s="23" t="s">
        <v>5054</v>
      </c>
      <c r="D63" s="23" t="s">
        <v>5053</v>
      </c>
    </row>
    <row r="64" spans="1:4">
      <c r="A64" s="23" t="s">
        <v>4404</v>
      </c>
      <c r="B64" s="23" t="s">
        <v>5250</v>
      </c>
      <c r="C64" s="23" t="s">
        <v>4406</v>
      </c>
      <c r="D64" s="23" t="s">
        <v>4405</v>
      </c>
    </row>
    <row r="65" spans="1:4">
      <c r="A65" s="23" t="s">
        <v>4534</v>
      </c>
      <c r="B65" s="23" t="s">
        <v>5251</v>
      </c>
      <c r="C65" s="23" t="s">
        <v>4536</v>
      </c>
      <c r="D65" s="23" t="s">
        <v>4535</v>
      </c>
    </row>
    <row r="66" spans="1:4">
      <c r="A66" s="23" t="s">
        <v>4726</v>
      </c>
      <c r="B66" s="23" t="s">
        <v>5252</v>
      </c>
      <c r="C66" s="23" t="s">
        <v>4728</v>
      </c>
      <c r="D66" s="23" t="s">
        <v>4727</v>
      </c>
    </row>
    <row r="67" spans="1:4">
      <c r="A67" s="23" t="s">
        <v>4452</v>
      </c>
      <c r="B67" s="23" t="s">
        <v>5253</v>
      </c>
      <c r="C67" s="23" t="s">
        <v>4454</v>
      </c>
      <c r="D67" s="23" t="s">
        <v>4453</v>
      </c>
    </row>
    <row r="68" spans="1:4">
      <c r="A68" s="23" t="s">
        <v>4537</v>
      </c>
      <c r="B68" s="23" t="s">
        <v>5254</v>
      </c>
      <c r="C68" s="23" t="s">
        <v>4539</v>
      </c>
      <c r="D68" s="23" t="s">
        <v>4538</v>
      </c>
    </row>
    <row r="69" spans="1:4">
      <c r="A69" s="23" t="s">
        <v>5049</v>
      </c>
      <c r="B69" s="23" t="s">
        <v>5255</v>
      </c>
      <c r="C69" s="23" t="s">
        <v>5051</v>
      </c>
      <c r="D69" s="23" t="s">
        <v>5050</v>
      </c>
    </row>
    <row r="70" spans="1:4">
      <c r="A70" s="23" t="s">
        <v>4531</v>
      </c>
      <c r="B70" s="23" t="s">
        <v>5256</v>
      </c>
      <c r="C70" s="23" t="s">
        <v>4533</v>
      </c>
      <c r="D70" s="23" t="s">
        <v>4532</v>
      </c>
    </row>
    <row r="71" spans="1:4">
      <c r="A71" s="23" t="s">
        <v>4919</v>
      </c>
      <c r="B71" s="23" t="s">
        <v>5257</v>
      </c>
      <c r="C71" s="23" t="s">
        <v>4921</v>
      </c>
      <c r="D71" s="23" t="s">
        <v>4920</v>
      </c>
    </row>
    <row r="72" spans="1:4">
      <c r="A72" s="23" t="s">
        <v>4768</v>
      </c>
      <c r="B72" s="23" t="s">
        <v>5258</v>
      </c>
      <c r="C72" s="23" t="s">
        <v>4770</v>
      </c>
      <c r="D72" s="23" t="s">
        <v>4769</v>
      </c>
    </row>
    <row r="73" spans="1:4">
      <c r="A73" s="23" t="s">
        <v>4845</v>
      </c>
      <c r="B73" s="23" t="s">
        <v>5259</v>
      </c>
      <c r="C73" s="23" t="s">
        <v>4847</v>
      </c>
      <c r="D73" s="23" t="s">
        <v>4846</v>
      </c>
    </row>
    <row r="74" spans="1:4">
      <c r="A74" s="23" t="s">
        <v>4832</v>
      </c>
      <c r="B74" s="23" t="s">
        <v>5260</v>
      </c>
      <c r="C74" s="23" t="s">
        <v>4834</v>
      </c>
      <c r="D74" s="23" t="s">
        <v>4833</v>
      </c>
    </row>
    <row r="75" spans="1:4">
      <c r="A75" s="23" t="s">
        <v>5016</v>
      </c>
      <c r="B75" s="23" t="s">
        <v>5261</v>
      </c>
      <c r="C75" s="23" t="s">
        <v>5018</v>
      </c>
      <c r="D75" s="23" t="s">
        <v>5017</v>
      </c>
    </row>
    <row r="76" spans="1:4">
      <c r="A76" s="23" t="s">
        <v>4835</v>
      </c>
      <c r="B76" s="23" t="s">
        <v>5262</v>
      </c>
      <c r="C76" s="23" t="s">
        <v>4837</v>
      </c>
      <c r="D76" s="23" t="s">
        <v>4836</v>
      </c>
    </row>
    <row r="77" spans="1:4">
      <c r="A77" s="23" t="s">
        <v>4317</v>
      </c>
      <c r="B77" s="23" t="s">
        <v>5263</v>
      </c>
      <c r="C77" s="23" t="s">
        <v>4319</v>
      </c>
      <c r="D77" s="23" t="s">
        <v>4318</v>
      </c>
    </row>
    <row r="78" spans="1:4">
      <c r="A78" s="23" t="s">
        <v>5128</v>
      </c>
      <c r="B78" s="23" t="s">
        <v>5264</v>
      </c>
      <c r="C78" s="23" t="s">
        <v>5130</v>
      </c>
      <c r="D78" s="23" t="s">
        <v>5129</v>
      </c>
    </row>
    <row r="79" spans="1:4">
      <c r="A79" s="23" t="s">
        <v>4908</v>
      </c>
      <c r="B79" s="23" t="s">
        <v>5265</v>
      </c>
      <c r="C79" s="23" t="s">
        <v>4910</v>
      </c>
      <c r="D79" s="23" t="s">
        <v>4909</v>
      </c>
    </row>
    <row r="80" spans="1:4">
      <c r="A80" s="23" t="s">
        <v>4668</v>
      </c>
      <c r="B80" s="23" t="s">
        <v>5266</v>
      </c>
      <c r="C80" s="23" t="s">
        <v>4670</v>
      </c>
      <c r="D80" s="23" t="s">
        <v>4669</v>
      </c>
    </row>
    <row r="81" spans="1:4">
      <c r="A81" s="23" t="s">
        <v>4671</v>
      </c>
      <c r="B81" s="23" t="s">
        <v>5267</v>
      </c>
      <c r="C81" s="23" t="s">
        <v>4673</v>
      </c>
      <c r="D81" s="23" t="s">
        <v>4672</v>
      </c>
    </row>
    <row r="82" spans="1:4">
      <c r="A82" s="23" t="s">
        <v>4674</v>
      </c>
      <c r="B82" s="23" t="s">
        <v>5268</v>
      </c>
      <c r="C82" s="23" t="s">
        <v>4676</v>
      </c>
      <c r="D82" s="23" t="s">
        <v>4675</v>
      </c>
    </row>
    <row r="83" spans="1:4">
      <c r="A83" s="23" t="s">
        <v>4848</v>
      </c>
      <c r="B83" s="23" t="s">
        <v>5269</v>
      </c>
      <c r="C83" s="23" t="s">
        <v>4850</v>
      </c>
      <c r="D83" s="23" t="s">
        <v>4849</v>
      </c>
    </row>
    <row r="84" spans="1:4">
      <c r="A84" s="23" t="s">
        <v>4549</v>
      </c>
      <c r="B84" s="23" t="s">
        <v>5458</v>
      </c>
      <c r="C84" s="23" t="s">
        <v>4551</v>
      </c>
      <c r="D84" s="23" t="s">
        <v>4550</v>
      </c>
    </row>
    <row r="85" spans="1:4">
      <c r="A85" s="23" t="s">
        <v>4383</v>
      </c>
      <c r="B85" s="23" t="s">
        <v>5270</v>
      </c>
      <c r="C85" s="23" t="s">
        <v>4385</v>
      </c>
      <c r="D85" s="23" t="s">
        <v>4384</v>
      </c>
    </row>
    <row r="86" spans="1:4">
      <c r="A86" s="23" t="s">
        <v>5271</v>
      </c>
      <c r="B86" s="23" t="s">
        <v>5272</v>
      </c>
      <c r="C86" s="23" t="s">
        <v>4429</v>
      </c>
      <c r="D86" s="23" t="s">
        <v>4428</v>
      </c>
    </row>
    <row r="87" spans="1:4">
      <c r="A87" s="23" t="s">
        <v>4273</v>
      </c>
      <c r="B87" s="23" t="s">
        <v>5273</v>
      </c>
      <c r="C87" s="23" t="s">
        <v>4275</v>
      </c>
      <c r="D87" s="23" t="s">
        <v>4274</v>
      </c>
    </row>
    <row r="88" spans="1:4">
      <c r="A88" s="23" t="s">
        <v>4970</v>
      </c>
      <c r="B88" s="23" t="s">
        <v>5274</v>
      </c>
      <c r="C88" s="23" t="s">
        <v>4972</v>
      </c>
      <c r="D88" s="23" t="s">
        <v>4971</v>
      </c>
    </row>
    <row r="89" spans="1:4">
      <c r="A89" s="23" t="s">
        <v>4711</v>
      </c>
      <c r="B89" s="23" t="s">
        <v>5275</v>
      </c>
      <c r="C89" s="23" t="s">
        <v>4713</v>
      </c>
      <c r="D89" s="23" t="s">
        <v>4712</v>
      </c>
    </row>
    <row r="90" spans="1:4">
      <c r="A90" s="23" t="s">
        <v>4286</v>
      </c>
      <c r="B90" s="23" t="s">
        <v>5276</v>
      </c>
      <c r="C90" s="23" t="s">
        <v>4288</v>
      </c>
      <c r="D90" s="23" t="s">
        <v>4287</v>
      </c>
    </row>
    <row r="91" spans="1:4">
      <c r="A91" s="23" t="s">
        <v>4714</v>
      </c>
      <c r="B91" s="23" t="s">
        <v>5277</v>
      </c>
      <c r="C91" s="23" t="s">
        <v>4716</v>
      </c>
      <c r="D91" s="23" t="s">
        <v>4715</v>
      </c>
    </row>
    <row r="92" spans="1:4">
      <c r="A92" s="23" t="s">
        <v>5278</v>
      </c>
      <c r="B92" s="23" t="s">
        <v>5279</v>
      </c>
      <c r="C92" s="23" t="s">
        <v>4937</v>
      </c>
      <c r="D92" s="23" t="s">
        <v>4936</v>
      </c>
    </row>
    <row r="93" spans="1:4">
      <c r="A93" s="23" t="s">
        <v>5280</v>
      </c>
      <c r="B93" s="23" t="s">
        <v>5290</v>
      </c>
      <c r="C93" s="23" t="s">
        <v>4939</v>
      </c>
      <c r="D93" s="23" t="s">
        <v>4938</v>
      </c>
    </row>
    <row r="94" spans="1:4">
      <c r="A94" s="23" t="s">
        <v>4243</v>
      </c>
      <c r="B94" s="23" t="s">
        <v>5281</v>
      </c>
      <c r="C94" s="23" t="s">
        <v>4245</v>
      </c>
      <c r="D94" s="23" t="s">
        <v>4244</v>
      </c>
    </row>
    <row r="95" spans="1:4">
      <c r="A95" s="23" t="s">
        <v>4320</v>
      </c>
      <c r="B95" s="23" t="s">
        <v>5282</v>
      </c>
      <c r="C95" s="23" t="s">
        <v>4322</v>
      </c>
      <c r="D95" s="23" t="s">
        <v>4321</v>
      </c>
    </row>
    <row r="96" spans="1:4">
      <c r="A96" s="23" t="s">
        <v>5158</v>
      </c>
      <c r="B96" s="23" t="s">
        <v>5283</v>
      </c>
      <c r="C96" s="23" t="s">
        <v>5160</v>
      </c>
      <c r="D96" s="23" t="s">
        <v>5159</v>
      </c>
    </row>
    <row r="97" spans="1:4">
      <c r="A97" s="23" t="s">
        <v>4349</v>
      </c>
      <c r="B97" s="23" t="s">
        <v>5284</v>
      </c>
      <c r="C97" s="23" t="s">
        <v>4351</v>
      </c>
      <c r="D97" s="23" t="s">
        <v>4350</v>
      </c>
    </row>
    <row r="98" spans="1:4">
      <c r="A98" s="23" t="s">
        <v>5285</v>
      </c>
      <c r="B98" s="23" t="s">
        <v>5286</v>
      </c>
      <c r="C98" s="23" t="s">
        <v>4464</v>
      </c>
      <c r="D98" s="23" t="s">
        <v>4463</v>
      </c>
    </row>
    <row r="99" spans="1:4">
      <c r="A99" s="23" t="s">
        <v>4268</v>
      </c>
      <c r="B99" s="23" t="s">
        <v>5287</v>
      </c>
      <c r="C99" s="23" t="s">
        <v>4270</v>
      </c>
      <c r="D99" s="23" t="s">
        <v>4269</v>
      </c>
    </row>
    <row r="100" spans="1:4">
      <c r="A100" s="23" t="s">
        <v>4973</v>
      </c>
      <c r="B100" s="23" t="s">
        <v>5288</v>
      </c>
      <c r="C100" s="23" t="s">
        <v>4975</v>
      </c>
      <c r="D100" s="23" t="s">
        <v>4974</v>
      </c>
    </row>
    <row r="101" spans="1:4">
      <c r="A101" s="23" t="s">
        <v>4517</v>
      </c>
      <c r="B101" s="23" t="s">
        <v>5292</v>
      </c>
      <c r="C101" s="23" t="s">
        <v>4519</v>
      </c>
      <c r="D101" s="23" t="s">
        <v>4518</v>
      </c>
    </row>
    <row r="102" spans="1:4">
      <c r="A102" s="23" t="s">
        <v>5289</v>
      </c>
      <c r="B102" s="23" t="s">
        <v>5291</v>
      </c>
      <c r="C102" s="23" t="s">
        <v>4584</v>
      </c>
      <c r="D102" s="23" t="s">
        <v>4583</v>
      </c>
    </row>
    <row r="103" spans="1:4">
      <c r="A103" s="23" t="s">
        <v>5293</v>
      </c>
      <c r="B103" s="23" t="s">
        <v>5294</v>
      </c>
      <c r="C103" s="23" t="s">
        <v>4862</v>
      </c>
      <c r="D103" s="23" t="s">
        <v>4861</v>
      </c>
    </row>
    <row r="104" spans="1:4">
      <c r="A104" s="23" t="s">
        <v>4734</v>
      </c>
      <c r="B104" s="23" t="s">
        <v>5295</v>
      </c>
      <c r="C104" s="23" t="s">
        <v>4736</v>
      </c>
      <c r="D104" s="23" t="s">
        <v>4735</v>
      </c>
    </row>
    <row r="105" spans="1:4">
      <c r="A105" s="23" t="s">
        <v>4793</v>
      </c>
      <c r="B105" s="23" t="s">
        <v>5296</v>
      </c>
      <c r="C105" s="23" t="s">
        <v>4795</v>
      </c>
      <c r="D105" s="23" t="s">
        <v>4794</v>
      </c>
    </row>
    <row r="106" spans="1:4">
      <c r="A106" s="23" t="s">
        <v>5297</v>
      </c>
      <c r="B106" s="23" t="s">
        <v>5427</v>
      </c>
      <c r="C106" s="23" t="s">
        <v>4683</v>
      </c>
      <c r="D106" s="23" t="s">
        <v>4682</v>
      </c>
    </row>
    <row r="107" spans="1:4">
      <c r="A107" s="23" t="s">
        <v>5298</v>
      </c>
      <c r="B107" s="23" t="s">
        <v>5299</v>
      </c>
      <c r="C107" s="23" t="s">
        <v>5109</v>
      </c>
      <c r="D107" s="23" t="s">
        <v>5108</v>
      </c>
    </row>
    <row r="108" spans="1:4">
      <c r="A108" s="23" t="s">
        <v>4278</v>
      </c>
      <c r="B108" s="23" t="s">
        <v>5300</v>
      </c>
      <c r="C108" s="23" t="s">
        <v>4280</v>
      </c>
      <c r="D108" s="23" t="s">
        <v>4279</v>
      </c>
    </row>
    <row r="109" spans="1:4">
      <c r="A109" s="23" t="s">
        <v>5301</v>
      </c>
      <c r="B109" s="23" t="s">
        <v>5302</v>
      </c>
      <c r="C109" s="23" t="s">
        <v>4280</v>
      </c>
      <c r="D109" s="23" t="s">
        <v>4860</v>
      </c>
    </row>
    <row r="110" spans="1:4">
      <c r="A110" s="23" t="s">
        <v>5303</v>
      </c>
      <c r="B110" s="23" t="s">
        <v>5273</v>
      </c>
      <c r="C110" s="23" t="s">
        <v>4272</v>
      </c>
      <c r="D110" s="23" t="s">
        <v>4271</v>
      </c>
    </row>
    <row r="111" spans="1:4">
      <c r="A111" s="23" t="s">
        <v>5304</v>
      </c>
      <c r="B111" s="23" t="s">
        <v>5305</v>
      </c>
      <c r="C111" s="23" t="s">
        <v>4640</v>
      </c>
      <c r="D111" s="23" t="s">
        <v>4639</v>
      </c>
    </row>
    <row r="112" spans="1:4">
      <c r="A112" s="23" t="s">
        <v>4334</v>
      </c>
      <c r="B112" s="23" t="s">
        <v>5306</v>
      </c>
      <c r="C112" s="23" t="s">
        <v>4336</v>
      </c>
      <c r="D112" s="23" t="s">
        <v>4335</v>
      </c>
    </row>
    <row r="113" spans="1:4">
      <c r="A113" s="23" t="s">
        <v>5307</v>
      </c>
      <c r="B113" s="23" t="s">
        <v>5308</v>
      </c>
      <c r="C113" s="23" t="s">
        <v>5076</v>
      </c>
      <c r="D113" s="23" t="s">
        <v>5075</v>
      </c>
    </row>
    <row r="114" spans="1:4">
      <c r="A114" s="23" t="s">
        <v>5072</v>
      </c>
      <c r="B114" s="23" t="s">
        <v>5309</v>
      </c>
      <c r="C114" s="23" t="s">
        <v>5074</v>
      </c>
      <c r="D114" s="23" t="s">
        <v>5073</v>
      </c>
    </row>
    <row r="115" spans="1:4">
      <c r="A115" s="23" t="s">
        <v>5310</v>
      </c>
      <c r="B115" s="23" t="s">
        <v>5311</v>
      </c>
      <c r="C115" s="23" t="s">
        <v>5068</v>
      </c>
      <c r="D115" s="23" t="s">
        <v>5067</v>
      </c>
    </row>
    <row r="116" spans="1:4">
      <c r="A116" s="23" t="s">
        <v>5069</v>
      </c>
      <c r="B116" s="23" t="s">
        <v>5312</v>
      </c>
      <c r="C116" s="23" t="s">
        <v>5071</v>
      </c>
      <c r="D116" s="23" t="s">
        <v>5070</v>
      </c>
    </row>
    <row r="117" spans="1:4">
      <c r="A117" s="23" t="s">
        <v>4930</v>
      </c>
      <c r="B117" s="23" t="s">
        <v>5313</v>
      </c>
      <c r="C117" s="23" t="s">
        <v>4932</v>
      </c>
      <c r="D117" s="23" t="s">
        <v>4931</v>
      </c>
    </row>
    <row r="118" spans="1:4">
      <c r="A118" s="23" t="s">
        <v>5022</v>
      </c>
      <c r="B118" s="23" t="s">
        <v>5314</v>
      </c>
      <c r="C118" s="23" t="s">
        <v>5024</v>
      </c>
      <c r="D118" s="23" t="s">
        <v>5023</v>
      </c>
    </row>
    <row r="119" spans="1:4">
      <c r="A119" s="23" t="s">
        <v>5011</v>
      </c>
      <c r="B119" s="23" t="s">
        <v>5315</v>
      </c>
      <c r="C119" s="23" t="s">
        <v>5013</v>
      </c>
      <c r="D119" s="23" t="s">
        <v>5012</v>
      </c>
    </row>
    <row r="120" spans="1:4">
      <c r="A120" s="23" t="s">
        <v>4997</v>
      </c>
      <c r="B120" s="23" t="s">
        <v>5316</v>
      </c>
      <c r="C120" s="23" t="s">
        <v>4999</v>
      </c>
      <c r="D120" s="23" t="s">
        <v>4998</v>
      </c>
    </row>
    <row r="121" spans="1:4">
      <c r="A121" s="23" t="s">
        <v>5000</v>
      </c>
      <c r="B121" s="23" t="s">
        <v>5317</v>
      </c>
      <c r="C121" s="23" t="s">
        <v>5002</v>
      </c>
      <c r="D121" s="23" t="s">
        <v>5001</v>
      </c>
    </row>
    <row r="122" spans="1:4">
      <c r="A122" s="23" t="s">
        <v>5319</v>
      </c>
      <c r="B122" s="23" t="s">
        <v>5318</v>
      </c>
      <c r="C122" s="23" t="s">
        <v>4996</v>
      </c>
      <c r="D122" s="23" t="s">
        <v>4995</v>
      </c>
    </row>
    <row r="123" spans="1:4">
      <c r="A123" s="23" t="s">
        <v>4961</v>
      </c>
      <c r="B123" s="23" t="s">
        <v>5320</v>
      </c>
      <c r="C123" s="23" t="s">
        <v>4963</v>
      </c>
      <c r="D123" s="23" t="s">
        <v>4962</v>
      </c>
    </row>
    <row r="124" spans="1:4">
      <c r="A124" s="23" t="s">
        <v>5008</v>
      </c>
      <c r="B124" s="23" t="s">
        <v>5321</v>
      </c>
      <c r="C124" s="23" t="s">
        <v>5010</v>
      </c>
      <c r="D124" s="23" t="s">
        <v>5009</v>
      </c>
    </row>
    <row r="125" spans="1:4">
      <c r="A125" s="23" t="s">
        <v>5005</v>
      </c>
      <c r="B125" s="23" t="s">
        <v>5322</v>
      </c>
      <c r="C125" s="23" t="s">
        <v>5007</v>
      </c>
      <c r="D125" s="23" t="s">
        <v>5006</v>
      </c>
    </row>
    <row r="126" spans="1:4">
      <c r="A126" s="23" t="s">
        <v>5166</v>
      </c>
      <c r="B126" s="23" t="s">
        <v>5323</v>
      </c>
      <c r="C126" s="23" t="s">
        <v>5168</v>
      </c>
      <c r="D126" s="23" t="s">
        <v>5167</v>
      </c>
    </row>
    <row r="127" spans="1:4">
      <c r="A127" s="23" t="s">
        <v>5324</v>
      </c>
      <c r="B127" s="23" t="s">
        <v>5466</v>
      </c>
      <c r="C127" s="23" t="s">
        <v>5066</v>
      </c>
      <c r="D127" s="23" t="s">
        <v>5065</v>
      </c>
    </row>
    <row r="128" spans="1:4">
      <c r="A128" s="23" t="s">
        <v>5325</v>
      </c>
      <c r="B128" s="23" t="s">
        <v>5328</v>
      </c>
      <c r="C128" s="23" t="s">
        <v>4333</v>
      </c>
      <c r="D128" s="23" t="s">
        <v>4332</v>
      </c>
    </row>
    <row r="129" spans="1:4">
      <c r="A129" s="23" t="s">
        <v>5326</v>
      </c>
      <c r="B129" s="23" t="s">
        <v>5340</v>
      </c>
      <c r="C129" s="23" t="s">
        <v>4476</v>
      </c>
      <c r="D129" s="23" t="s">
        <v>4475</v>
      </c>
    </row>
    <row r="130" spans="1:4">
      <c r="A130" s="23" t="s">
        <v>5327</v>
      </c>
      <c r="B130" s="23" t="s">
        <v>5331</v>
      </c>
      <c r="C130" s="23" t="s">
        <v>4486</v>
      </c>
      <c r="D130" s="23" t="s">
        <v>4485</v>
      </c>
    </row>
    <row r="131" spans="1:4">
      <c r="A131" s="23" t="s">
        <v>5330</v>
      </c>
      <c r="B131" s="23" t="s">
        <v>5329</v>
      </c>
      <c r="C131" s="23" t="s">
        <v>4494</v>
      </c>
      <c r="D131" s="23" t="s">
        <v>4493</v>
      </c>
    </row>
    <row r="132" spans="1:4">
      <c r="A132" s="23" t="s">
        <v>4659</v>
      </c>
      <c r="B132" s="23" t="s">
        <v>5332</v>
      </c>
      <c r="C132" s="23" t="s">
        <v>4661</v>
      </c>
      <c r="D132" s="23" t="s">
        <v>4660</v>
      </c>
    </row>
    <row r="133" spans="1:4">
      <c r="A133" s="23" t="s">
        <v>5087</v>
      </c>
      <c r="B133" s="23" t="s">
        <v>5335</v>
      </c>
      <c r="C133" s="23" t="s">
        <v>5089</v>
      </c>
      <c r="D133" s="23" t="s">
        <v>5088</v>
      </c>
    </row>
    <row r="134" spans="1:4">
      <c r="A134" s="23" t="s">
        <v>4490</v>
      </c>
      <c r="B134" s="23" t="s">
        <v>5334</v>
      </c>
      <c r="C134" s="23" t="s">
        <v>4492</v>
      </c>
      <c r="D134" s="23" t="s">
        <v>4491</v>
      </c>
    </row>
    <row r="135" spans="1:4">
      <c r="A135" s="23" t="s">
        <v>4413</v>
      </c>
      <c r="B135" s="23" t="s">
        <v>5336</v>
      </c>
      <c r="C135" s="23" t="s">
        <v>4415</v>
      </c>
      <c r="D135" s="23" t="s">
        <v>4414</v>
      </c>
    </row>
    <row r="136" spans="1:4">
      <c r="A136" s="23" t="s">
        <v>4593</v>
      </c>
      <c r="B136" s="23" t="s">
        <v>5337</v>
      </c>
      <c r="C136" s="23" t="s">
        <v>4595</v>
      </c>
      <c r="D136" s="23" t="s">
        <v>4594</v>
      </c>
    </row>
    <row r="137" spans="1:4">
      <c r="A137" s="23" t="s">
        <v>5161</v>
      </c>
      <c r="B137" s="23" t="s">
        <v>5338</v>
      </c>
      <c r="C137" s="23" t="s">
        <v>5163</v>
      </c>
      <c r="D137" s="23" t="s">
        <v>5162</v>
      </c>
    </row>
    <row r="138" spans="1:4">
      <c r="A138" s="23" t="s">
        <v>4443</v>
      </c>
      <c r="B138" s="23" t="s">
        <v>5333</v>
      </c>
      <c r="C138" s="23" t="s">
        <v>4445</v>
      </c>
      <c r="D138" s="23" t="s">
        <v>4444</v>
      </c>
    </row>
    <row r="139" spans="1:4">
      <c r="A139" s="23" t="s">
        <v>4380</v>
      </c>
      <c r="B139" s="23" t="s">
        <v>5339</v>
      </c>
      <c r="C139" s="23" t="s">
        <v>4382</v>
      </c>
      <c r="D139" s="23" t="s">
        <v>4381</v>
      </c>
    </row>
    <row r="140" spans="1:4">
      <c r="A140" s="23" t="s">
        <v>4755</v>
      </c>
      <c r="B140" s="23" t="s">
        <v>5341</v>
      </c>
      <c r="C140" s="23" t="s">
        <v>4757</v>
      </c>
      <c r="D140" s="23" t="s">
        <v>4756</v>
      </c>
    </row>
    <row r="141" spans="1:4">
      <c r="A141" s="23" t="s">
        <v>5342</v>
      </c>
      <c r="B141" s="23" t="s">
        <v>5343</v>
      </c>
      <c r="C141" s="23" t="s">
        <v>4767</v>
      </c>
      <c r="D141" s="23" t="s">
        <v>4766</v>
      </c>
    </row>
    <row r="142" spans="1:4">
      <c r="A142" s="23" t="s">
        <v>4632</v>
      </c>
      <c r="B142" s="23" t="s">
        <v>5344</v>
      </c>
      <c r="C142" s="23" t="s">
        <v>4634</v>
      </c>
      <c r="D142" s="23" t="s">
        <v>4633</v>
      </c>
    </row>
    <row r="143" spans="1:4">
      <c r="A143" s="23" t="s">
        <v>5346</v>
      </c>
      <c r="B143" s="23" t="s">
        <v>5347</v>
      </c>
      <c r="C143" s="23" t="s">
        <v>4690</v>
      </c>
      <c r="D143" s="23" t="s">
        <v>4689</v>
      </c>
    </row>
    <row r="144" spans="1:4">
      <c r="A144" s="23" t="s">
        <v>4752</v>
      </c>
      <c r="B144" s="23" t="s">
        <v>5348</v>
      </c>
      <c r="C144" s="23" t="s">
        <v>4754</v>
      </c>
      <c r="D144" s="23" t="s">
        <v>4753</v>
      </c>
    </row>
    <row r="145" spans="1:4">
      <c r="A145" s="23" t="s">
        <v>4472</v>
      </c>
      <c r="B145" s="23" t="s">
        <v>5349</v>
      </c>
      <c r="C145" s="23" t="s">
        <v>4474</v>
      </c>
      <c r="D145" s="23" t="s">
        <v>4473</v>
      </c>
    </row>
    <row r="146" spans="1:4">
      <c r="A146" s="23" t="s">
        <v>4566</v>
      </c>
      <c r="B146" s="23" t="s">
        <v>5345</v>
      </c>
      <c r="C146" s="23" t="s">
        <v>4568</v>
      </c>
      <c r="D146" s="23" t="s">
        <v>4567</v>
      </c>
    </row>
    <row r="147" spans="1:4">
      <c r="A147" s="23" t="s">
        <v>5350</v>
      </c>
      <c r="B147" s="23" t="s">
        <v>5351</v>
      </c>
      <c r="C147" s="23"/>
      <c r="D147" s="23" t="s">
        <v>4915</v>
      </c>
    </row>
    <row r="148" spans="1:4">
      <c r="A148" s="23" t="s">
        <v>4858</v>
      </c>
      <c r="B148" s="23" t="s">
        <v>5352</v>
      </c>
      <c r="C148" s="23" t="s">
        <v>4852</v>
      </c>
      <c r="D148" s="23" t="s">
        <v>4859</v>
      </c>
    </row>
    <row r="149" spans="1:4">
      <c r="A149" s="23" t="s">
        <v>4851</v>
      </c>
      <c r="B149" s="23" t="s">
        <v>5353</v>
      </c>
      <c r="C149" s="23"/>
      <c r="D149" s="23" t="s">
        <v>4851</v>
      </c>
    </row>
    <row r="150" spans="1:4">
      <c r="A150" s="23" t="s">
        <v>5354</v>
      </c>
      <c r="B150" s="23" t="s">
        <v>5355</v>
      </c>
      <c r="C150" s="23" t="s">
        <v>4772</v>
      </c>
      <c r="D150" s="23" t="s">
        <v>4771</v>
      </c>
    </row>
    <row r="151" spans="1:4">
      <c r="A151" s="23" t="s">
        <v>5358</v>
      </c>
      <c r="B151" s="23" t="s">
        <v>5359</v>
      </c>
      <c r="C151" s="23" t="s">
        <v>4914</v>
      </c>
      <c r="D151" s="23" t="s">
        <v>4913</v>
      </c>
    </row>
    <row r="152" spans="1:4">
      <c r="A152" s="23" t="s">
        <v>5360</v>
      </c>
      <c r="B152" s="23" t="s">
        <v>5361</v>
      </c>
      <c r="C152" s="23" t="s">
        <v>4797</v>
      </c>
      <c r="D152" s="23" t="s">
        <v>4796</v>
      </c>
    </row>
    <row r="153" spans="1:4">
      <c r="A153" s="23" t="s">
        <v>5356</v>
      </c>
      <c r="B153" s="23" t="s">
        <v>5357</v>
      </c>
      <c r="C153" s="23" t="s">
        <v>5038</v>
      </c>
      <c r="D153" s="23" t="s">
        <v>5037</v>
      </c>
    </row>
    <row r="154" spans="1:4">
      <c r="A154" s="23" t="s">
        <v>4440</v>
      </c>
      <c r="B154" s="23" t="s">
        <v>5362</v>
      </c>
      <c r="C154" s="23" t="s">
        <v>4442</v>
      </c>
      <c r="D154" s="23" t="s">
        <v>4441</v>
      </c>
    </row>
    <row r="155" spans="1:4">
      <c r="A155" s="23" t="s">
        <v>4514</v>
      </c>
      <c r="B155" s="23" t="s">
        <v>5363</v>
      </c>
      <c r="C155" s="23" t="s">
        <v>4516</v>
      </c>
      <c r="D155" s="23" t="s">
        <v>4515</v>
      </c>
    </row>
    <row r="156" spans="1:4">
      <c r="A156" s="23" t="s">
        <v>4343</v>
      </c>
      <c r="B156" s="23" t="s">
        <v>5364</v>
      </c>
      <c r="C156" s="23" t="s">
        <v>4345</v>
      </c>
      <c r="D156" s="23" t="s">
        <v>4344</v>
      </c>
    </row>
    <row r="157" spans="1:4">
      <c r="A157" s="23" t="s">
        <v>4301</v>
      </c>
      <c r="B157" s="23" t="s">
        <v>5365</v>
      </c>
      <c r="C157" s="23" t="s">
        <v>4303</v>
      </c>
      <c r="D157" s="23" t="s">
        <v>4302</v>
      </c>
    </row>
    <row r="158" spans="1:4">
      <c r="A158" s="23" t="s">
        <v>4872</v>
      </c>
      <c r="B158" s="23" t="s">
        <v>5366</v>
      </c>
      <c r="C158" s="23" t="s">
        <v>4874</v>
      </c>
      <c r="D158" s="23" t="s">
        <v>4873</v>
      </c>
    </row>
    <row r="159" spans="1:4">
      <c r="A159" s="23" t="s">
        <v>5367</v>
      </c>
      <c r="B159" s="23" t="s">
        <v>5379</v>
      </c>
      <c r="C159" s="23" t="s">
        <v>4410</v>
      </c>
      <c r="D159" s="23" t="s">
        <v>4409</v>
      </c>
    </row>
    <row r="160" spans="1:4">
      <c r="A160" s="23" t="s">
        <v>4252</v>
      </c>
      <c r="B160" s="23" t="s">
        <v>5380</v>
      </c>
      <c r="C160" s="23" t="s">
        <v>4254</v>
      </c>
      <c r="D160" s="23" t="s">
        <v>4253</v>
      </c>
    </row>
    <row r="161" spans="1:4">
      <c r="A161" s="23" t="s">
        <v>4359</v>
      </c>
      <c r="B161" s="23" t="s">
        <v>5368</v>
      </c>
      <c r="C161" s="23" t="s">
        <v>4361</v>
      </c>
      <c r="D161" s="23" t="s">
        <v>4360</v>
      </c>
    </row>
    <row r="162" spans="1:4">
      <c r="A162" s="23" t="s">
        <v>5369</v>
      </c>
      <c r="B162" s="23" t="s">
        <v>5370</v>
      </c>
      <c r="C162" s="23" t="s">
        <v>4439</v>
      </c>
      <c r="D162" s="23" t="s">
        <v>4438</v>
      </c>
    </row>
    <row r="163" spans="1:4">
      <c r="A163" s="23" t="s">
        <v>5371</v>
      </c>
      <c r="B163" s="23" t="s">
        <v>5372</v>
      </c>
      <c r="C163" s="23" t="s">
        <v>5170</v>
      </c>
      <c r="D163" s="23" t="s">
        <v>5169</v>
      </c>
    </row>
    <row r="164" spans="1:4">
      <c r="A164" s="23" t="s">
        <v>5373</v>
      </c>
      <c r="B164" s="23" t="s">
        <v>5374</v>
      </c>
      <c r="C164" s="23" t="s">
        <v>4638</v>
      </c>
      <c r="D164" s="23" t="s">
        <v>4637</v>
      </c>
    </row>
    <row r="165" spans="1:4">
      <c r="A165" s="23" t="s">
        <v>5375</v>
      </c>
      <c r="B165" s="23" t="s">
        <v>5376</v>
      </c>
      <c r="C165" s="23" t="s">
        <v>4412</v>
      </c>
      <c r="D165" s="23" t="s">
        <v>4411</v>
      </c>
    </row>
    <row r="166" spans="1:4">
      <c r="A166" s="23" t="s">
        <v>4255</v>
      </c>
      <c r="B166" s="23" t="s">
        <v>5377</v>
      </c>
      <c r="C166" s="23" t="s">
        <v>4257</v>
      </c>
      <c r="D166" s="23" t="s">
        <v>4256</v>
      </c>
    </row>
    <row r="167" spans="1:4">
      <c r="A167" s="23" t="s">
        <v>5378</v>
      </c>
      <c r="B167" s="23" t="s">
        <v>5381</v>
      </c>
      <c r="C167" s="23" t="s">
        <v>5015</v>
      </c>
      <c r="D167" s="23" t="s">
        <v>5014</v>
      </c>
    </row>
    <row r="168" spans="1:4">
      <c r="A168" s="23" t="s">
        <v>5382</v>
      </c>
      <c r="B168" s="23" t="s">
        <v>5383</v>
      </c>
      <c r="C168" s="23" t="s">
        <v>4953</v>
      </c>
      <c r="D168" s="23" t="s">
        <v>4952</v>
      </c>
    </row>
    <row r="169" spans="1:4">
      <c r="A169" s="23" t="s">
        <v>4951</v>
      </c>
      <c r="B169" s="23" t="s">
        <v>5383</v>
      </c>
      <c r="C169" s="23" t="s">
        <v>4953</v>
      </c>
      <c r="D169" s="23" t="s">
        <v>4954</v>
      </c>
    </row>
    <row r="170" spans="1:4">
      <c r="A170" s="23" t="s">
        <v>5384</v>
      </c>
      <c r="B170" s="23" t="s">
        <v>5385</v>
      </c>
      <c r="C170" s="23" t="s">
        <v>5100</v>
      </c>
      <c r="D170" s="23" t="s">
        <v>5099</v>
      </c>
    </row>
    <row r="171" spans="1:4">
      <c r="A171" s="23" t="s">
        <v>5031</v>
      </c>
      <c r="B171" s="23" t="s">
        <v>5386</v>
      </c>
      <c r="C171" s="23" t="s">
        <v>5033</v>
      </c>
      <c r="D171" s="23" t="s">
        <v>5032</v>
      </c>
    </row>
    <row r="172" spans="1:4">
      <c r="A172" s="23" t="s">
        <v>4386</v>
      </c>
      <c r="B172" s="23" t="s">
        <v>5387</v>
      </c>
      <c r="C172" s="23" t="s">
        <v>4388</v>
      </c>
      <c r="D172" s="23" t="s">
        <v>4387</v>
      </c>
    </row>
    <row r="173" spans="1:4">
      <c r="A173" s="23" t="s">
        <v>4419</v>
      </c>
      <c r="B173" s="23" t="s">
        <v>5388</v>
      </c>
      <c r="C173" s="23" t="s">
        <v>4421</v>
      </c>
      <c r="D173" s="23" t="s">
        <v>4420</v>
      </c>
    </row>
    <row r="174" spans="1:4">
      <c r="A174" s="23" t="s">
        <v>4869</v>
      </c>
      <c r="B174" s="23" t="s">
        <v>5389</v>
      </c>
      <c r="C174" s="23" t="s">
        <v>4871</v>
      </c>
      <c r="D174" s="23" t="s">
        <v>4870</v>
      </c>
    </row>
    <row r="175" spans="1:4">
      <c r="A175" s="23" t="s">
        <v>5392</v>
      </c>
      <c r="B175" s="23" t="s">
        <v>5393</v>
      </c>
      <c r="C175" s="23" t="s">
        <v>5132</v>
      </c>
      <c r="D175" s="23" t="s">
        <v>5131</v>
      </c>
    </row>
    <row r="176" spans="1:4">
      <c r="A176" s="23" t="s">
        <v>5394</v>
      </c>
      <c r="B176" s="23" t="s">
        <v>5395</v>
      </c>
      <c r="C176" s="23" t="s">
        <v>4267</v>
      </c>
      <c r="D176" s="23" t="s">
        <v>4266</v>
      </c>
    </row>
    <row r="177" spans="1:4">
      <c r="A177" s="23" t="s">
        <v>4304</v>
      </c>
      <c r="B177" s="23" t="s">
        <v>5390</v>
      </c>
      <c r="C177" s="23" t="s">
        <v>4306</v>
      </c>
      <c r="D177" s="23" t="s">
        <v>4305</v>
      </c>
    </row>
    <row r="178" spans="1:4">
      <c r="A178" s="23" t="s">
        <v>4393</v>
      </c>
      <c r="B178" s="23" t="s">
        <v>5391</v>
      </c>
      <c r="C178" s="23" t="s">
        <v>4395</v>
      </c>
      <c r="D178" s="23" t="s">
        <v>4394</v>
      </c>
    </row>
    <row r="179" spans="1:4">
      <c r="A179" s="23" t="s">
        <v>5396</v>
      </c>
      <c r="B179" s="23" t="s">
        <v>5397</v>
      </c>
      <c r="C179" s="23" t="s">
        <v>5181</v>
      </c>
      <c r="D179" s="23" t="s">
        <v>5180</v>
      </c>
    </row>
    <row r="180" spans="1:4">
      <c r="A180" s="23" t="s">
        <v>5398</v>
      </c>
      <c r="B180" s="23" t="s">
        <v>5399</v>
      </c>
      <c r="C180" s="23" t="s">
        <v>5179</v>
      </c>
      <c r="D180" s="23" t="s">
        <v>5178</v>
      </c>
    </row>
    <row r="181" spans="1:4">
      <c r="A181" s="23" t="s">
        <v>5400</v>
      </c>
      <c r="B181" s="23" t="s">
        <v>5401</v>
      </c>
      <c r="C181" s="23" t="s">
        <v>4365</v>
      </c>
      <c r="D181" s="23" t="s">
        <v>4364</v>
      </c>
    </row>
    <row r="182" spans="1:4">
      <c r="A182" s="23" t="s">
        <v>4916</v>
      </c>
      <c r="B182" s="23" t="s">
        <v>5402</v>
      </c>
      <c r="C182" s="23" t="s">
        <v>4918</v>
      </c>
      <c r="D182" s="23" t="s">
        <v>4917</v>
      </c>
    </row>
    <row r="183" spans="1:4">
      <c r="A183" s="23" t="s">
        <v>5403</v>
      </c>
      <c r="B183" s="23" t="s">
        <v>5404</v>
      </c>
      <c r="C183" s="23" t="s">
        <v>5064</v>
      </c>
      <c r="D183" s="23" t="s">
        <v>5063</v>
      </c>
    </row>
    <row r="184" spans="1:4">
      <c r="A184" s="23" t="s">
        <v>5405</v>
      </c>
      <c r="B184" s="23" t="s">
        <v>5407</v>
      </c>
      <c r="C184" s="23" t="s">
        <v>5157</v>
      </c>
      <c r="D184" s="23" t="s">
        <v>5156</v>
      </c>
    </row>
    <row r="185" spans="1:4">
      <c r="A185" s="23" t="s">
        <v>5406</v>
      </c>
      <c r="B185" s="23" t="s">
        <v>5408</v>
      </c>
      <c r="C185" s="23" t="s">
        <v>4631</v>
      </c>
      <c r="D185" s="23" t="s">
        <v>4630</v>
      </c>
    </row>
    <row r="186" spans="1:4">
      <c r="A186" s="23" t="s">
        <v>5409</v>
      </c>
      <c r="B186" s="23" t="s">
        <v>5410</v>
      </c>
      <c r="C186" s="23" t="s">
        <v>4425</v>
      </c>
      <c r="D186" s="23" t="s">
        <v>4424</v>
      </c>
    </row>
    <row r="187" spans="1:4">
      <c r="A187" s="23" t="s">
        <v>5411</v>
      </c>
      <c r="B187" s="23" t="s">
        <v>5415</v>
      </c>
      <c r="C187" s="23" t="s">
        <v>5177</v>
      </c>
      <c r="D187" s="23" t="s">
        <v>5176</v>
      </c>
    </row>
    <row r="188" spans="1:4">
      <c r="A188" s="23" t="s">
        <v>5412</v>
      </c>
      <c r="B188" s="23" t="s">
        <v>5413</v>
      </c>
      <c r="C188" s="23" t="s">
        <v>4565</v>
      </c>
      <c r="D188" s="23" t="s">
        <v>4564</v>
      </c>
    </row>
    <row r="189" spans="1:4">
      <c r="A189" s="23" t="s">
        <v>5414</v>
      </c>
      <c r="B189" s="23" t="s">
        <v>5416</v>
      </c>
      <c r="C189" s="23" t="s">
        <v>4403</v>
      </c>
      <c r="D189" s="23" t="s">
        <v>4402</v>
      </c>
    </row>
    <row r="190" spans="1:4">
      <c r="A190" s="23" t="s">
        <v>5417</v>
      </c>
      <c r="B190" s="23" t="s">
        <v>5418</v>
      </c>
      <c r="C190" s="23" t="s">
        <v>4762</v>
      </c>
      <c r="D190" s="23" t="s">
        <v>4761</v>
      </c>
    </row>
    <row r="191" spans="1:4">
      <c r="A191" s="23" t="s">
        <v>5419</v>
      </c>
      <c r="B191" s="23" t="s">
        <v>5420</v>
      </c>
      <c r="C191" s="23" t="s">
        <v>4459</v>
      </c>
      <c r="D191" s="23" t="s">
        <v>4458</v>
      </c>
    </row>
    <row r="192" spans="1:4">
      <c r="A192" s="23" t="s">
        <v>4258</v>
      </c>
      <c r="B192" s="23" t="s">
        <v>5421</v>
      </c>
      <c r="C192" s="23" t="s">
        <v>4260</v>
      </c>
      <c r="D192" s="23" t="s">
        <v>4259</v>
      </c>
    </row>
    <row r="193" spans="1:4">
      <c r="A193" s="23" t="s">
        <v>4646</v>
      </c>
      <c r="B193" s="23" t="s">
        <v>5422</v>
      </c>
      <c r="C193" s="23" t="s">
        <v>4645</v>
      </c>
      <c r="D193" s="23" t="s">
        <v>4647</v>
      </c>
    </row>
    <row r="194" spans="1:4">
      <c r="A194" s="23" t="s">
        <v>5423</v>
      </c>
      <c r="B194" s="23" t="s">
        <v>5424</v>
      </c>
      <c r="C194" s="23" t="s">
        <v>5175</v>
      </c>
      <c r="D194" s="23" t="s">
        <v>5174</v>
      </c>
    </row>
    <row r="195" spans="1:4">
      <c r="A195" s="23" t="s">
        <v>5425</v>
      </c>
      <c r="B195" s="23" t="s">
        <v>5426</v>
      </c>
      <c r="C195" s="23" t="s">
        <v>4311</v>
      </c>
      <c r="D195" s="23" t="s">
        <v>4310</v>
      </c>
    </row>
    <row r="196" spans="1:4">
      <c r="A196" s="23" t="s">
        <v>4346</v>
      </c>
      <c r="B196" s="23" t="s">
        <v>5428</v>
      </c>
      <c r="C196" s="23" t="s">
        <v>4348</v>
      </c>
      <c r="D196" s="23" t="s">
        <v>4347</v>
      </c>
    </row>
    <row r="197" spans="1:4">
      <c r="A197" s="23" t="s">
        <v>4307</v>
      </c>
      <c r="B197" s="23" t="s">
        <v>5429</v>
      </c>
      <c r="C197" s="23" t="s">
        <v>4309</v>
      </c>
      <c r="D197" s="23" t="s">
        <v>4308</v>
      </c>
    </row>
    <row r="198" spans="1:4">
      <c r="A198" s="23" t="s">
        <v>5430</v>
      </c>
      <c r="B198" s="23" t="s">
        <v>5431</v>
      </c>
      <c r="C198" s="23" t="s">
        <v>4904</v>
      </c>
      <c r="D198" s="23" t="s">
        <v>4903</v>
      </c>
    </row>
    <row r="199" spans="1:4">
      <c r="A199" s="23" t="s">
        <v>4374</v>
      </c>
      <c r="B199" s="23" t="s">
        <v>5432</v>
      </c>
      <c r="C199" s="23" t="s">
        <v>4376</v>
      </c>
      <c r="D199" s="23" t="s">
        <v>4375</v>
      </c>
    </row>
    <row r="200" spans="1:4">
      <c r="A200" s="23" t="s">
        <v>5433</v>
      </c>
      <c r="B200" s="23" t="s">
        <v>5434</v>
      </c>
      <c r="C200" s="23" t="s">
        <v>4363</v>
      </c>
      <c r="D200" s="23" t="s">
        <v>4362</v>
      </c>
    </row>
    <row r="201" spans="1:4">
      <c r="A201" s="23" t="s">
        <v>4511</v>
      </c>
      <c r="B201" s="23" t="s">
        <v>5435</v>
      </c>
      <c r="C201" s="23" t="s">
        <v>4513</v>
      </c>
      <c r="D201" s="23" t="s">
        <v>4512</v>
      </c>
    </row>
    <row r="202" spans="1:4">
      <c r="A202" s="23" t="s">
        <v>5436</v>
      </c>
      <c r="B202" s="23" t="s">
        <v>5437</v>
      </c>
      <c r="C202" s="23" t="s">
        <v>4423</v>
      </c>
      <c r="D202" s="23" t="s">
        <v>4422</v>
      </c>
    </row>
    <row r="203" spans="1:4">
      <c r="A203" s="23" t="s">
        <v>5438</v>
      </c>
      <c r="B203" s="23" t="s">
        <v>5439</v>
      </c>
      <c r="C203" s="23" t="s">
        <v>4265</v>
      </c>
      <c r="D203" s="23" t="s">
        <v>4264</v>
      </c>
    </row>
    <row r="204" spans="1:4">
      <c r="A204" s="23" t="s">
        <v>4446</v>
      </c>
      <c r="B204" s="23" t="s">
        <v>5440</v>
      </c>
      <c r="C204" s="23" t="s">
        <v>4448</v>
      </c>
      <c r="D204" s="23" t="s">
        <v>4447</v>
      </c>
    </row>
    <row r="205" spans="1:4">
      <c r="A205" s="23" t="s">
        <v>4656</v>
      </c>
      <c r="B205" s="23" t="s">
        <v>5441</v>
      </c>
      <c r="C205" s="23" t="s">
        <v>4658</v>
      </c>
      <c r="D205" s="23" t="s">
        <v>4657</v>
      </c>
    </row>
    <row r="206" spans="1:4">
      <c r="A206" s="23" t="s">
        <v>4905</v>
      </c>
      <c r="B206" s="23" t="s">
        <v>5442</v>
      </c>
      <c r="C206" s="23" t="s">
        <v>4907</v>
      </c>
      <c r="D206" s="23" t="s">
        <v>4906</v>
      </c>
    </row>
    <row r="207" spans="1:4">
      <c r="A207" s="23" t="s">
        <v>5443</v>
      </c>
      <c r="B207" s="23" t="s">
        <v>5444</v>
      </c>
      <c r="C207" s="23" t="s">
        <v>4688</v>
      </c>
      <c r="D207" s="23" t="s">
        <v>4687</v>
      </c>
    </row>
    <row r="208" spans="1:4">
      <c r="A208" s="23" t="s">
        <v>5445</v>
      </c>
      <c r="B208" s="23" t="s">
        <v>5446</v>
      </c>
      <c r="C208" s="23" t="s">
        <v>4825</v>
      </c>
      <c r="D208" s="23" t="s">
        <v>4824</v>
      </c>
    </row>
    <row r="209" spans="1:4">
      <c r="A209" s="23" t="s">
        <v>4826</v>
      </c>
      <c r="B209" s="23" t="s">
        <v>5446</v>
      </c>
      <c r="C209" s="23" t="s">
        <v>4828</v>
      </c>
      <c r="D209" s="23" t="s">
        <v>4827</v>
      </c>
    </row>
    <row r="210" spans="1:4">
      <c r="A210" s="23" t="s">
        <v>5447</v>
      </c>
      <c r="B210" s="23" t="s">
        <v>5448</v>
      </c>
      <c r="C210" s="23" t="s">
        <v>4373</v>
      </c>
      <c r="D210" s="23" t="s">
        <v>4372</v>
      </c>
    </row>
    <row r="211" spans="1:4">
      <c r="A211" s="23" t="s">
        <v>4703</v>
      </c>
      <c r="B211" s="23" t="s">
        <v>5449</v>
      </c>
      <c r="C211" s="23" t="s">
        <v>4705</v>
      </c>
      <c r="D211" s="23" t="s">
        <v>4704</v>
      </c>
    </row>
    <row r="212" spans="1:4">
      <c r="A212" s="23" t="s">
        <v>4580</v>
      </c>
      <c r="B212" s="23" t="s">
        <v>5450</v>
      </c>
      <c r="C212" s="23" t="s">
        <v>4582</v>
      </c>
      <c r="D212" s="23" t="s">
        <v>4581</v>
      </c>
    </row>
    <row r="213" spans="1:4">
      <c r="A213" s="23" t="s">
        <v>5451</v>
      </c>
      <c r="B213" s="23" t="s">
        <v>5455</v>
      </c>
      <c r="C213" s="23" t="s">
        <v>4944</v>
      </c>
      <c r="D213" s="23" t="s">
        <v>4943</v>
      </c>
    </row>
    <row r="214" spans="1:4">
      <c r="A214" s="23" t="s">
        <v>5454</v>
      </c>
      <c r="B214" s="23" t="s">
        <v>5456</v>
      </c>
      <c r="C214" s="23" t="s">
        <v>4817</v>
      </c>
      <c r="D214" s="23" t="s">
        <v>4816</v>
      </c>
    </row>
    <row r="215" spans="1:4">
      <c r="A215" s="23" t="s">
        <v>4775</v>
      </c>
      <c r="B215" s="23" t="s">
        <v>5453</v>
      </c>
      <c r="C215" s="23" t="s">
        <v>4777</v>
      </c>
      <c r="D215" s="23" t="s">
        <v>4776</v>
      </c>
    </row>
    <row r="216" spans="1:4">
      <c r="A216" s="23" t="s">
        <v>4829</v>
      </c>
      <c r="B216" s="23" t="s">
        <v>5452</v>
      </c>
      <c r="C216" s="23" t="s">
        <v>4831</v>
      </c>
      <c r="D216" s="23" t="s">
        <v>4830</v>
      </c>
    </row>
    <row r="217" spans="1:4">
      <c r="A217" s="23" t="s">
        <v>5457</v>
      </c>
      <c r="B217" s="23" t="s">
        <v>5459</v>
      </c>
      <c r="C217" s="23" t="s">
        <v>4946</v>
      </c>
      <c r="D217" s="23" t="s">
        <v>4945</v>
      </c>
    </row>
    <row r="218" spans="1:4">
      <c r="A218" s="23" t="s">
        <v>5460</v>
      </c>
      <c r="B218" s="23" t="s">
        <v>5461</v>
      </c>
      <c r="C218" s="23" t="s">
        <v>4427</v>
      </c>
      <c r="D218" s="23" t="s">
        <v>4426</v>
      </c>
    </row>
    <row r="219" spans="1:4">
      <c r="A219" s="23" t="s">
        <v>5462</v>
      </c>
      <c r="B219" s="23" t="s">
        <v>5463</v>
      </c>
      <c r="C219" s="23" t="s">
        <v>4642</v>
      </c>
      <c r="D219" s="23" t="s">
        <v>4641</v>
      </c>
    </row>
    <row r="220" spans="1:4">
      <c r="A220" s="23" t="s">
        <v>5464</v>
      </c>
      <c r="B220" s="23" t="s">
        <v>5465</v>
      </c>
      <c r="C220" s="23" t="s">
        <v>4390</v>
      </c>
      <c r="D220" s="23" t="s">
        <v>4389</v>
      </c>
    </row>
    <row r="221" spans="1:4">
      <c r="A221" s="23" t="s">
        <v>5467</v>
      </c>
      <c r="B221" s="23" t="s">
        <v>5468</v>
      </c>
      <c r="C221" s="23" t="s">
        <v>5081</v>
      </c>
      <c r="D221" s="23" t="s">
        <v>5080</v>
      </c>
    </row>
    <row r="222" spans="1:4">
      <c r="A222" s="23" t="s">
        <v>4620</v>
      </c>
      <c r="B222" s="23" t="s">
        <v>5470</v>
      </c>
      <c r="C222" s="23" t="s">
        <v>4622</v>
      </c>
      <c r="D222" s="23" t="s">
        <v>4621</v>
      </c>
    </row>
    <row r="223" spans="1:4">
      <c r="A223" s="23" t="s">
        <v>5469</v>
      </c>
      <c r="B223" s="23" t="s">
        <v>5484</v>
      </c>
      <c r="C223" s="23" t="s">
        <v>5111</v>
      </c>
      <c r="D223" s="23" t="s">
        <v>5110</v>
      </c>
    </row>
    <row r="224" spans="1:4">
      <c r="A224" s="23" t="s">
        <v>5472</v>
      </c>
      <c r="B224" s="23" t="s">
        <v>5473</v>
      </c>
      <c r="C224" s="23" t="s">
        <v>4277</v>
      </c>
      <c r="D224" s="23" t="s">
        <v>4276</v>
      </c>
    </row>
    <row r="225" spans="1:4">
      <c r="A225" s="23" t="s">
        <v>5475</v>
      </c>
      <c r="B225" s="23" t="s">
        <v>5476</v>
      </c>
      <c r="C225" s="23" t="s">
        <v>4779</v>
      </c>
      <c r="D225" s="23" t="s">
        <v>4778</v>
      </c>
    </row>
    <row r="226" spans="1:4">
      <c r="A226" s="23" t="s">
        <v>4249</v>
      </c>
      <c r="B226" s="23" t="s">
        <v>5474</v>
      </c>
      <c r="C226" s="23" t="s">
        <v>4251</v>
      </c>
      <c r="D226" s="23" t="s">
        <v>4250</v>
      </c>
    </row>
    <row r="227" spans="1:4">
      <c r="A227" s="23" t="s">
        <v>5477</v>
      </c>
      <c r="B227" s="23" t="s">
        <v>5478</v>
      </c>
      <c r="C227" s="23" t="s">
        <v>4521</v>
      </c>
      <c r="D227" s="23" t="s">
        <v>4520</v>
      </c>
    </row>
    <row r="228" spans="1:4">
      <c r="A228" s="23" t="s">
        <v>5479</v>
      </c>
      <c r="B228" s="23" t="s">
        <v>5480</v>
      </c>
      <c r="C228" s="23" t="s">
        <v>4678</v>
      </c>
      <c r="D228" s="23" t="s">
        <v>4677</v>
      </c>
    </row>
    <row r="229" spans="1:4">
      <c r="A229" s="23" t="s">
        <v>5481</v>
      </c>
      <c r="B229" s="23" t="s">
        <v>5482</v>
      </c>
      <c r="C229" s="23" t="s">
        <v>4592</v>
      </c>
      <c r="D229" s="23" t="s">
        <v>4591</v>
      </c>
    </row>
    <row r="230" spans="1:4">
      <c r="A230" s="23" t="s">
        <v>5483</v>
      </c>
      <c r="B230" s="23" t="s">
        <v>5471</v>
      </c>
      <c r="C230" s="23" t="s">
        <v>5004</v>
      </c>
      <c r="D230" s="23" t="s">
        <v>5003</v>
      </c>
    </row>
    <row r="231" spans="1:4">
      <c r="A231" s="23" t="s">
        <v>5485</v>
      </c>
      <c r="B231" s="23" t="s">
        <v>5486</v>
      </c>
      <c r="C231" s="23" t="s">
        <v>4649</v>
      </c>
      <c r="D231" s="23" t="s">
        <v>4648</v>
      </c>
    </row>
    <row r="232" spans="1:4">
      <c r="A232" s="23" t="s">
        <v>5487</v>
      </c>
      <c r="B232" s="23" t="s">
        <v>5488</v>
      </c>
      <c r="C232" s="23" t="s">
        <v>4469</v>
      </c>
      <c r="D232" s="23" t="s">
        <v>4468</v>
      </c>
    </row>
    <row r="233" spans="1:4">
      <c r="A233" s="23" t="s">
        <v>4399</v>
      </c>
      <c r="B233" s="23" t="s">
        <v>5489</v>
      </c>
      <c r="C233" s="23" t="s">
        <v>4401</v>
      </c>
      <c r="D233" s="23" t="s">
        <v>4400</v>
      </c>
    </row>
    <row r="234" spans="1:4">
      <c r="A234" s="23" t="s">
        <v>5490</v>
      </c>
      <c r="B234" s="23" t="s">
        <v>5492</v>
      </c>
      <c r="C234" s="23" t="s">
        <v>4331</v>
      </c>
      <c r="D234" s="23" t="s">
        <v>4330</v>
      </c>
    </row>
    <row r="235" spans="1:4">
      <c r="A235" s="23" t="s">
        <v>5491</v>
      </c>
      <c r="B235" s="23" t="s">
        <v>5493</v>
      </c>
      <c r="C235" s="23" t="s">
        <v>4950</v>
      </c>
      <c r="D235" s="23" t="s">
        <v>4949</v>
      </c>
    </row>
    <row r="236" spans="1:4">
      <c r="A236" s="23" t="s">
        <v>5494</v>
      </c>
      <c r="B236" s="23" t="s">
        <v>5495</v>
      </c>
      <c r="C236" s="23" t="s">
        <v>4570</v>
      </c>
      <c r="D236" s="23" t="s">
        <v>4569</v>
      </c>
    </row>
    <row r="237" spans="1:4">
      <c r="A237" s="23" t="s">
        <v>5496</v>
      </c>
      <c r="B237" s="23" t="s">
        <v>5497</v>
      </c>
      <c r="C237" s="23" t="s">
        <v>4636</v>
      </c>
      <c r="D237" s="23" t="s">
        <v>4635</v>
      </c>
    </row>
    <row r="238" spans="1:4">
      <c r="A238" s="23" t="s">
        <v>5498</v>
      </c>
      <c r="B238" s="23" t="s">
        <v>5499</v>
      </c>
      <c r="C238" s="23" t="s">
        <v>5107</v>
      </c>
      <c r="D238" s="23" t="s">
        <v>5106</v>
      </c>
    </row>
    <row r="239" spans="1:4">
      <c r="A239" s="23" t="s">
        <v>5500</v>
      </c>
      <c r="B239" s="23" t="s">
        <v>5501</v>
      </c>
      <c r="C239" s="23" t="s">
        <v>5105</v>
      </c>
      <c r="D239" s="23" t="s">
        <v>5104</v>
      </c>
    </row>
    <row r="240" spans="1:4">
      <c r="A240" s="23" t="s">
        <v>5502</v>
      </c>
      <c r="B240" s="23" t="s">
        <v>5503</v>
      </c>
      <c r="C240" s="23" t="s">
        <v>4510</v>
      </c>
      <c r="D240" s="23" t="s">
        <v>4509</v>
      </c>
    </row>
    <row r="241" spans="1:4">
      <c r="A241" s="23" t="s">
        <v>5504</v>
      </c>
      <c r="B241" s="23" t="s">
        <v>5505</v>
      </c>
      <c r="C241" s="23" t="s">
        <v>4329</v>
      </c>
      <c r="D241" s="23" t="s">
        <v>4328</v>
      </c>
    </row>
    <row r="242" spans="1:4">
      <c r="A242" s="23" t="s">
        <v>4790</v>
      </c>
      <c r="B242" s="23" t="s">
        <v>5506</v>
      </c>
      <c r="C242" s="23" t="s">
        <v>4792</v>
      </c>
      <c r="D242" s="23" t="s">
        <v>4791</v>
      </c>
    </row>
    <row r="243" spans="1:4">
      <c r="A243" s="23" t="s">
        <v>4465</v>
      </c>
      <c r="B243" s="23" t="s">
        <v>5507</v>
      </c>
      <c r="C243" s="23" t="s">
        <v>4467</v>
      </c>
      <c r="D243" s="23" t="s">
        <v>4466</v>
      </c>
    </row>
    <row r="244" spans="1:4">
      <c r="A244" s="23" t="s">
        <v>4625</v>
      </c>
      <c r="B244" s="23" t="s">
        <v>5508</v>
      </c>
      <c r="C244" s="23" t="s">
        <v>4627</v>
      </c>
      <c r="D244" s="23" t="s">
        <v>4626</v>
      </c>
    </row>
    <row r="245" spans="1:4">
      <c r="A245" s="23" t="s">
        <v>5509</v>
      </c>
      <c r="B245" s="23" t="s">
        <v>5510</v>
      </c>
      <c r="C245" s="23" t="s">
        <v>4392</v>
      </c>
      <c r="D245" s="23" t="s">
        <v>4391</v>
      </c>
    </row>
    <row r="246" spans="1:4">
      <c r="A246" s="23" t="s">
        <v>5511</v>
      </c>
      <c r="B246" s="23" t="s">
        <v>5513</v>
      </c>
      <c r="C246" s="23" t="s">
        <v>4508</v>
      </c>
      <c r="D246" s="23" t="s">
        <v>4507</v>
      </c>
    </row>
    <row r="247" spans="1:4">
      <c r="A247" s="23" t="s">
        <v>4396</v>
      </c>
      <c r="B247" s="23" t="s">
        <v>5514</v>
      </c>
      <c r="C247" s="23" t="s">
        <v>4398</v>
      </c>
      <c r="D247" s="23" t="s">
        <v>4397</v>
      </c>
    </row>
    <row r="248" spans="1:4">
      <c r="A248" s="23" t="s">
        <v>4261</v>
      </c>
      <c r="B248" s="23" t="s">
        <v>5512</v>
      </c>
      <c r="C248" s="23" t="s">
        <v>4263</v>
      </c>
      <c r="D248" s="23" t="s">
        <v>4262</v>
      </c>
    </row>
    <row r="249" spans="1:4">
      <c r="A249" s="23" t="s">
        <v>5515</v>
      </c>
      <c r="B249" s="23" t="s">
        <v>5516</v>
      </c>
      <c r="C249" s="23" t="s">
        <v>4784</v>
      </c>
      <c r="D249" s="23" t="s">
        <v>4783</v>
      </c>
    </row>
    <row r="250" spans="1:4">
      <c r="A250" s="23" t="s">
        <v>5517</v>
      </c>
      <c r="B250" s="23" t="s">
        <v>5519</v>
      </c>
      <c r="C250" s="23" t="s">
        <v>4368</v>
      </c>
      <c r="D250" s="23" t="s">
        <v>5518</v>
      </c>
    </row>
    <row r="251" spans="1:4">
      <c r="A251" s="23" t="s">
        <v>4369</v>
      </c>
      <c r="B251" s="23" t="s">
        <v>5520</v>
      </c>
      <c r="C251" s="23" t="s">
        <v>4371</v>
      </c>
      <c r="D251" s="23" t="s">
        <v>4370</v>
      </c>
    </row>
    <row r="252" spans="1:4">
      <c r="A252" s="23" t="s">
        <v>5521</v>
      </c>
      <c r="B252" s="23" t="s">
        <v>5522</v>
      </c>
      <c r="C252" s="23" t="s">
        <v>4842</v>
      </c>
      <c r="D252" s="23" t="s">
        <v>4841</v>
      </c>
    </row>
    <row r="253" spans="1:4">
      <c r="A253" s="23" t="s">
        <v>5523</v>
      </c>
      <c r="B253" s="23" t="s">
        <v>5524</v>
      </c>
      <c r="C253" s="23" t="s">
        <v>4316</v>
      </c>
      <c r="D253" s="23" t="s">
        <v>4315</v>
      </c>
    </row>
    <row r="254" spans="1:4">
      <c r="A254" s="23" t="s">
        <v>4992</v>
      </c>
      <c r="B254" s="23" t="s">
        <v>5525</v>
      </c>
      <c r="C254" s="23" t="s">
        <v>4994</v>
      </c>
      <c r="D254" s="23" t="s">
        <v>4993</v>
      </c>
    </row>
    <row r="255" spans="1:4">
      <c r="A255" s="23" t="s">
        <v>4340</v>
      </c>
      <c r="B255" s="23" t="s">
        <v>5526</v>
      </c>
      <c r="C255" s="23" t="s">
        <v>4342</v>
      </c>
      <c r="D255" s="23" t="s">
        <v>4341</v>
      </c>
    </row>
    <row r="256" spans="1:4">
      <c r="A256" s="23" t="s">
        <v>5527</v>
      </c>
      <c r="B256" s="23" t="s">
        <v>5529</v>
      </c>
      <c r="C256" s="23" t="s">
        <v>4434</v>
      </c>
      <c r="D256" s="23" t="s">
        <v>4433</v>
      </c>
    </row>
    <row r="257" spans="1:4">
      <c r="A257" s="23" t="s">
        <v>5528</v>
      </c>
      <c r="B257" s="23" t="s">
        <v>5530</v>
      </c>
      <c r="C257" s="23" t="s">
        <v>4285</v>
      </c>
      <c r="D257" s="23" t="s">
        <v>4284</v>
      </c>
    </row>
    <row r="258" spans="1:4">
      <c r="A258" s="23" t="s">
        <v>5531</v>
      </c>
      <c r="B258" s="23" t="s">
        <v>5533</v>
      </c>
      <c r="C258" s="23" t="s">
        <v>4471</v>
      </c>
      <c r="D258" s="23" t="s">
        <v>4470</v>
      </c>
    </row>
    <row r="259" spans="1:4">
      <c r="A259" s="23" t="s">
        <v>4455</v>
      </c>
      <c r="B259" s="23" t="s">
        <v>5534</v>
      </c>
      <c r="C259" s="23" t="s">
        <v>4457</v>
      </c>
      <c r="D259" s="23" t="s">
        <v>4456</v>
      </c>
    </row>
    <row r="260" spans="1:4">
      <c r="A260" s="23" t="s">
        <v>5532</v>
      </c>
      <c r="B260" s="23" t="s">
        <v>5535</v>
      </c>
      <c r="C260" s="23" t="s">
        <v>5091</v>
      </c>
      <c r="D260" s="23" t="s">
        <v>5090</v>
      </c>
    </row>
    <row r="261" spans="1:4">
      <c r="A261" s="23" t="s">
        <v>5536</v>
      </c>
      <c r="B261" s="23" t="s">
        <v>5537</v>
      </c>
      <c r="C261" s="23" t="s">
        <v>5098</v>
      </c>
      <c r="D261" s="23" t="s">
        <v>5097</v>
      </c>
    </row>
    <row r="262" spans="1:4">
      <c r="A262" s="23" t="s">
        <v>5538</v>
      </c>
      <c r="B262" s="23" t="s">
        <v>5539</v>
      </c>
      <c r="C262" s="23" t="s">
        <v>4408</v>
      </c>
      <c r="D262" s="23" t="s">
        <v>4407</v>
      </c>
    </row>
    <row r="263" spans="1:4">
      <c r="A263" s="23" t="s">
        <v>5186</v>
      </c>
      <c r="B263" s="23" t="s">
        <v>5540</v>
      </c>
      <c r="C263" s="23" t="s">
        <v>4926</v>
      </c>
      <c r="D263" s="23" t="s">
        <v>4982</v>
      </c>
    </row>
    <row r="264" spans="1:4">
      <c r="A264" s="23" t="s">
        <v>4574</v>
      </c>
      <c r="B264" s="23" t="s">
        <v>5541</v>
      </c>
      <c r="C264" s="23" t="s">
        <v>4576</v>
      </c>
      <c r="D264" s="23" t="s">
        <v>4575</v>
      </c>
    </row>
    <row r="265" spans="1:4">
      <c r="A265" s="23" t="s">
        <v>4571</v>
      </c>
      <c r="B265" s="23" t="s">
        <v>5542</v>
      </c>
      <c r="C265" s="23" t="s">
        <v>4573</v>
      </c>
      <c r="D265" s="23" t="s">
        <v>4572</v>
      </c>
    </row>
    <row r="266" spans="1:4">
      <c r="A266" s="23" t="s">
        <v>5543</v>
      </c>
      <c r="B266" s="23" t="s">
        <v>5544</v>
      </c>
      <c r="C266" s="23" t="s">
        <v>5142</v>
      </c>
      <c r="D266" s="23" t="s">
        <v>5141</v>
      </c>
    </row>
    <row r="267" spans="1:4">
      <c r="A267" s="23" t="s">
        <v>5145</v>
      </c>
      <c r="B267" s="23" t="s">
        <v>5545</v>
      </c>
      <c r="C267" s="23" t="s">
        <v>5147</v>
      </c>
      <c r="D267" s="23" t="s">
        <v>5146</v>
      </c>
    </row>
    <row r="268" spans="1:4">
      <c r="A268" s="23" t="s">
        <v>5552</v>
      </c>
      <c r="B268" s="23" t="s">
        <v>5546</v>
      </c>
      <c r="C268" s="23" t="s">
        <v>5144</v>
      </c>
      <c r="D268" s="23" t="s">
        <v>5143</v>
      </c>
    </row>
    <row r="269" spans="1:4">
      <c r="A269" s="23" t="s">
        <v>5547</v>
      </c>
      <c r="B269" s="23" t="s">
        <v>5548</v>
      </c>
      <c r="C269" s="23" t="s">
        <v>5137</v>
      </c>
      <c r="D269" s="23" t="s">
        <v>5136</v>
      </c>
    </row>
    <row r="270" spans="1:4">
      <c r="A270" s="23" t="s">
        <v>5133</v>
      </c>
      <c r="B270" s="23" t="s">
        <v>5549</v>
      </c>
      <c r="C270" s="23" t="s">
        <v>5135</v>
      </c>
      <c r="D270" s="23" t="s">
        <v>5134</v>
      </c>
    </row>
    <row r="271" spans="1:4">
      <c r="A271" s="23" t="s">
        <v>5138</v>
      </c>
      <c r="B271" s="23" t="s">
        <v>5550</v>
      </c>
      <c r="C271" s="23" t="s">
        <v>5140</v>
      </c>
      <c r="D271" s="23" t="s">
        <v>5139</v>
      </c>
    </row>
    <row r="272" spans="1:4">
      <c r="A272" s="23" t="s">
        <v>5551</v>
      </c>
      <c r="B272" s="23" t="s">
        <v>5553</v>
      </c>
      <c r="C272" s="23" t="s">
        <v>5165</v>
      </c>
      <c r="D272" s="23" t="s">
        <v>5164</v>
      </c>
    </row>
    <row r="273" spans="1:4">
      <c r="A273" s="23" t="s">
        <v>5554</v>
      </c>
      <c r="B273" s="23" t="s">
        <v>5555</v>
      </c>
      <c r="C273" s="23" t="s">
        <v>4506</v>
      </c>
      <c r="D273" s="23" t="s">
        <v>4505</v>
      </c>
    </row>
    <row r="274" spans="1:4">
      <c r="A274" s="23" t="s">
        <v>4922</v>
      </c>
      <c r="B274" s="23" t="s">
        <v>5556</v>
      </c>
      <c r="C274" s="23" t="s">
        <v>4924</v>
      </c>
      <c r="D274" s="23" t="s">
        <v>4923</v>
      </c>
    </row>
    <row r="275" spans="1:4">
      <c r="A275" s="23" t="s">
        <v>4577</v>
      </c>
      <c r="B275" s="23" t="s">
        <v>5557</v>
      </c>
      <c r="C275" s="23" t="s">
        <v>4579</v>
      </c>
      <c r="D275" s="23" t="s">
        <v>4578</v>
      </c>
    </row>
    <row r="276" spans="1:4">
      <c r="A276" s="23" t="s">
        <v>4281</v>
      </c>
      <c r="B276" s="23" t="s">
        <v>5558</v>
      </c>
      <c r="C276" s="23" t="s">
        <v>4283</v>
      </c>
      <c r="D276" s="23" t="s">
        <v>4282</v>
      </c>
    </row>
    <row r="277" spans="1:4">
      <c r="A277" s="23" t="s">
        <v>5559</v>
      </c>
      <c r="B277" s="23" t="s">
        <v>5560</v>
      </c>
      <c r="C277" s="23" t="s">
        <v>4616</v>
      </c>
      <c r="D277" s="23" t="s">
        <v>4615</v>
      </c>
    </row>
    <row r="278" spans="1:4">
      <c r="A278" s="23" t="s">
        <v>5562</v>
      </c>
      <c r="B278" s="23" t="s">
        <v>5561</v>
      </c>
      <c r="C278" s="23" t="s">
        <v>4707</v>
      </c>
      <c r="D278" s="23" t="s">
        <v>4706</v>
      </c>
    </row>
    <row r="279" spans="1:4">
      <c r="A279" s="23" t="s">
        <v>5563</v>
      </c>
      <c r="B279" s="23" t="s">
        <v>5564</v>
      </c>
      <c r="C279" s="23" t="s">
        <v>4608</v>
      </c>
      <c r="D279" s="23" t="s">
        <v>4607</v>
      </c>
    </row>
    <row r="280" spans="1:4">
      <c r="A280" s="23" t="s">
        <v>4604</v>
      </c>
      <c r="B280" s="23" t="s">
        <v>5565</v>
      </c>
      <c r="C280" s="23" t="s">
        <v>4606</v>
      </c>
      <c r="D280" s="23" t="s">
        <v>4605</v>
      </c>
    </row>
    <row r="281" spans="1:4">
      <c r="A281" s="23" t="s">
        <v>4601</v>
      </c>
      <c r="B281" s="23" t="s">
        <v>5566</v>
      </c>
      <c r="C281" s="23" t="s">
        <v>4603</v>
      </c>
      <c r="D281" s="23" t="s">
        <v>4602</v>
      </c>
    </row>
    <row r="282" spans="1:4">
      <c r="A282" s="23" t="s">
        <v>5567</v>
      </c>
      <c r="B282" s="23" t="s">
        <v>5568</v>
      </c>
      <c r="C282" s="23" t="s">
        <v>4948</v>
      </c>
      <c r="D282" s="23" t="s">
        <v>4947</v>
      </c>
    </row>
    <row r="283" spans="1:4">
      <c r="A283" s="23" t="s">
        <v>4740</v>
      </c>
      <c r="B283" s="23" t="s">
        <v>5569</v>
      </c>
      <c r="C283" s="23" t="s">
        <v>4742</v>
      </c>
      <c r="D283" s="23" t="s">
        <v>4741</v>
      </c>
    </row>
    <row r="284" spans="1:4">
      <c r="A284" s="23" t="s">
        <v>5029</v>
      </c>
      <c r="B284" s="23" t="s">
        <v>5570</v>
      </c>
      <c r="C284" s="23" t="s">
        <v>5028</v>
      </c>
      <c r="D284" s="23" t="s">
        <v>5030</v>
      </c>
    </row>
    <row r="285" spans="1:4">
      <c r="A285" s="23" t="s">
        <v>5026</v>
      </c>
      <c r="B285" s="23" t="s">
        <v>5571</v>
      </c>
      <c r="C285" s="23" t="s">
        <v>5028</v>
      </c>
      <c r="D285" s="23" t="s">
        <v>5027</v>
      </c>
    </row>
    <row r="286" spans="1:4">
      <c r="A286" s="23" t="s">
        <v>5572</v>
      </c>
      <c r="B286" s="23" t="s">
        <v>5573</v>
      </c>
      <c r="C286" s="23" t="s">
        <v>4587</v>
      </c>
      <c r="D286" s="23" t="s">
        <v>4586</v>
      </c>
    </row>
    <row r="287" spans="1:4">
      <c r="A287" s="23" t="s">
        <v>4746</v>
      </c>
      <c r="B287" s="23" t="s">
        <v>5574</v>
      </c>
      <c r="C287" s="23" t="s">
        <v>4748</v>
      </c>
      <c r="D287" s="23" t="s">
        <v>4747</v>
      </c>
    </row>
    <row r="288" spans="1:4">
      <c r="A288" s="23" t="s">
        <v>4480</v>
      </c>
      <c r="B288" s="23" t="s">
        <v>5575</v>
      </c>
      <c r="C288" s="23" t="s">
        <v>4482</v>
      </c>
      <c r="D288" s="23" t="s">
        <v>4481</v>
      </c>
    </row>
    <row r="289" spans="1:4">
      <c r="A289" s="23" t="s">
        <v>4743</v>
      </c>
      <c r="B289" s="23" t="s">
        <v>5576</v>
      </c>
      <c r="C289" s="23" t="s">
        <v>4745</v>
      </c>
      <c r="D289" s="23" t="s">
        <v>4744</v>
      </c>
    </row>
    <row r="290" spans="1:4">
      <c r="A290" s="23" t="s">
        <v>5577</v>
      </c>
      <c r="B290" s="23" t="s">
        <v>5578</v>
      </c>
      <c r="C290" s="23" t="s">
        <v>4356</v>
      </c>
      <c r="D290" s="23" t="s">
        <v>4355</v>
      </c>
    </row>
    <row r="291" spans="1:4">
      <c r="A291" s="23" t="s">
        <v>4785</v>
      </c>
      <c r="B291" s="23" t="s">
        <v>5579</v>
      </c>
      <c r="C291" s="23" t="s">
        <v>4787</v>
      </c>
      <c r="D291" s="23" t="s">
        <v>4786</v>
      </c>
    </row>
    <row r="292" spans="1:4">
      <c r="A292" s="23" t="s">
        <v>4487</v>
      </c>
      <c r="B292" s="23" t="s">
        <v>5580</v>
      </c>
      <c r="C292" s="23" t="s">
        <v>4489</v>
      </c>
      <c r="D292" s="23" t="s">
        <v>4488</v>
      </c>
    </row>
    <row r="293" spans="1:4">
      <c r="A293" s="23" t="s">
        <v>4749</v>
      </c>
      <c r="B293" s="23" t="s">
        <v>5581</v>
      </c>
      <c r="C293" s="23" t="s">
        <v>4751</v>
      </c>
      <c r="D293" s="23" t="s">
        <v>4750</v>
      </c>
    </row>
    <row r="294" spans="1:4">
      <c r="A294" s="23" t="s">
        <v>4552</v>
      </c>
      <c r="B294" s="23" t="s">
        <v>5582</v>
      </c>
      <c r="C294" s="23" t="s">
        <v>4554</v>
      </c>
      <c r="D294" s="23" t="s">
        <v>4553</v>
      </c>
    </row>
    <row r="295" spans="1:4">
      <c r="A295" s="23" t="s">
        <v>5583</v>
      </c>
      <c r="B295" s="23" t="s">
        <v>5584</v>
      </c>
      <c r="C295" s="23" t="s">
        <v>4283</v>
      </c>
      <c r="D295" s="23" t="s">
        <v>4585</v>
      </c>
    </row>
    <row r="296" spans="1:4">
      <c r="A296" s="23" t="s">
        <v>4737</v>
      </c>
      <c r="B296" s="23" t="s">
        <v>5585</v>
      </c>
      <c r="C296" s="23" t="s">
        <v>4739</v>
      </c>
      <c r="D296" s="23" t="s">
        <v>4738</v>
      </c>
    </row>
    <row r="297" spans="1:4">
      <c r="A297" s="23" t="s">
        <v>5586</v>
      </c>
      <c r="B297" s="23" t="s">
        <v>5587</v>
      </c>
      <c r="C297" s="23" t="s">
        <v>4484</v>
      </c>
      <c r="D297" s="23" t="s">
        <v>4483</v>
      </c>
    </row>
    <row r="298" spans="1:4">
      <c r="A298" s="23" t="s">
        <v>4804</v>
      </c>
      <c r="B298" s="23" t="s">
        <v>5588</v>
      </c>
      <c r="C298" s="23" t="s">
        <v>4806</v>
      </c>
      <c r="D298" s="23" t="s">
        <v>4805</v>
      </c>
    </row>
    <row r="299" spans="1:4">
      <c r="A299" s="23" t="s">
        <v>4352</v>
      </c>
      <c r="B299" s="23" t="s">
        <v>5589</v>
      </c>
      <c r="C299" s="23" t="s">
        <v>4354</v>
      </c>
      <c r="D299" s="23" t="s">
        <v>4353</v>
      </c>
    </row>
    <row r="300" spans="1:4">
      <c r="A300" s="23" t="s">
        <v>4801</v>
      </c>
      <c r="B300" s="23" t="s">
        <v>5590</v>
      </c>
      <c r="C300" s="23" t="s">
        <v>4803</v>
      </c>
      <c r="D300" s="23" t="s">
        <v>4802</v>
      </c>
    </row>
    <row r="301" spans="1:4">
      <c r="A301" s="23" t="s">
        <v>4588</v>
      </c>
      <c r="B301" s="23" t="s">
        <v>5591</v>
      </c>
      <c r="C301" s="23" t="s">
        <v>4590</v>
      </c>
      <c r="D301" s="23" t="s">
        <v>4589</v>
      </c>
    </row>
    <row r="302" spans="1:4">
      <c r="A302" s="23" t="s">
        <v>5592</v>
      </c>
      <c r="B302" s="23" t="s">
        <v>5593</v>
      </c>
      <c r="C302" s="23" t="s">
        <v>4358</v>
      </c>
      <c r="D302" s="23" t="s">
        <v>4357</v>
      </c>
    </row>
    <row r="303" spans="1:4">
      <c r="A303" s="23" t="s">
        <v>4810</v>
      </c>
      <c r="B303" s="23" t="s">
        <v>5594</v>
      </c>
      <c r="C303" s="23" t="s">
        <v>4812</v>
      </c>
      <c r="D303" s="23" t="s">
        <v>4811</v>
      </c>
    </row>
    <row r="304" spans="1:4">
      <c r="A304" s="23" t="s">
        <v>4653</v>
      </c>
      <c r="B304" s="23" t="s">
        <v>5595</v>
      </c>
      <c r="C304" s="23" t="s">
        <v>4655</v>
      </c>
      <c r="D304" s="23" t="s">
        <v>4654</v>
      </c>
    </row>
    <row r="305" spans="1:4">
      <c r="A305" s="23" t="s">
        <v>4813</v>
      </c>
      <c r="B305" s="23" t="s">
        <v>5596</v>
      </c>
      <c r="C305" s="23" t="s">
        <v>4815</v>
      </c>
      <c r="D305" s="23" t="s">
        <v>4814</v>
      </c>
    </row>
    <row r="306" spans="1:4">
      <c r="A306" s="23" t="s">
        <v>5598</v>
      </c>
      <c r="B306" s="23" t="s">
        <v>5599</v>
      </c>
      <c r="C306" s="23" t="s">
        <v>4367</v>
      </c>
      <c r="D306" s="23" t="s">
        <v>4366</v>
      </c>
    </row>
    <row r="307" spans="1:4">
      <c r="A307" s="23" t="s">
        <v>4662</v>
      </c>
      <c r="B307" s="23" t="s">
        <v>5597</v>
      </c>
      <c r="C307" s="23" t="s">
        <v>4664</v>
      </c>
      <c r="D307" s="23" t="s">
        <v>4663</v>
      </c>
    </row>
    <row r="308" spans="1:4">
      <c r="A308" s="23" t="s">
        <v>5600</v>
      </c>
      <c r="B308" s="23" t="s">
        <v>5605</v>
      </c>
      <c r="C308" s="23" t="s">
        <v>4844</v>
      </c>
      <c r="D308" s="23" t="s">
        <v>4843</v>
      </c>
    </row>
    <row r="309" spans="1:4">
      <c r="A309" s="23" t="s">
        <v>4818</v>
      </c>
      <c r="B309" s="23" t="s">
        <v>5604</v>
      </c>
      <c r="C309" s="23" t="s">
        <v>4820</v>
      </c>
      <c r="D309" s="23" t="s">
        <v>4819</v>
      </c>
    </row>
    <row r="310" spans="1:4">
      <c r="A310" s="23" t="s">
        <v>4430</v>
      </c>
      <c r="B310" s="23" t="s">
        <v>5601</v>
      </c>
      <c r="C310" s="23" t="s">
        <v>4432</v>
      </c>
      <c r="D310" s="23" t="s">
        <v>4431</v>
      </c>
    </row>
    <row r="311" spans="1:4">
      <c r="A311" s="23" t="s">
        <v>4665</v>
      </c>
      <c r="B311" s="23" t="s">
        <v>5602</v>
      </c>
      <c r="C311" s="23" t="s">
        <v>4667</v>
      </c>
      <c r="D311" s="23" t="s">
        <v>4666</v>
      </c>
    </row>
    <row r="312" spans="1:4">
      <c r="A312" s="23" t="s">
        <v>4976</v>
      </c>
      <c r="B312" s="23" t="s">
        <v>5603</v>
      </c>
      <c r="C312" s="23" t="s">
        <v>4978</v>
      </c>
      <c r="D312" s="23" t="s">
        <v>4977</v>
      </c>
    </row>
    <row r="313" spans="1:4">
      <c r="A313" s="23" t="s">
        <v>4298</v>
      </c>
      <c r="B313" s="23" t="s">
        <v>5606</v>
      </c>
      <c r="C313" s="23" t="s">
        <v>4300</v>
      </c>
      <c r="D313" s="23" t="s">
        <v>4299</v>
      </c>
    </row>
    <row r="314" spans="1:4">
      <c r="A314" s="23" t="s">
        <v>5607</v>
      </c>
      <c r="B314" s="23" t="s">
        <v>5608</v>
      </c>
      <c r="C314" s="23" t="s">
        <v>5046</v>
      </c>
      <c r="D314" s="23" t="s">
        <v>5045</v>
      </c>
    </row>
    <row r="315" spans="1:4">
      <c r="A315" s="23" t="s">
        <v>5609</v>
      </c>
      <c r="B315" s="23" t="s">
        <v>5610</v>
      </c>
      <c r="C315" s="23" t="s">
        <v>5154</v>
      </c>
      <c r="D315" s="23" t="s">
        <v>5153</v>
      </c>
    </row>
    <row r="316" spans="1:4">
      <c r="A316" s="23" t="s">
        <v>5611</v>
      </c>
      <c r="B316" s="23" t="s">
        <v>5612</v>
      </c>
      <c r="C316" s="23" t="s">
        <v>4926</v>
      </c>
      <c r="D316" s="23" t="s">
        <v>5155</v>
      </c>
    </row>
    <row r="317" spans="1:4">
      <c r="A317" s="23" t="s">
        <v>4866</v>
      </c>
      <c r="B317" s="23" t="s">
        <v>5613</v>
      </c>
      <c r="C317" s="23" t="s">
        <v>4868</v>
      </c>
      <c r="D317" s="23" t="s">
        <v>4867</v>
      </c>
    </row>
    <row r="318" spans="1:4">
      <c r="A318" s="23" t="s">
        <v>4878</v>
      </c>
      <c r="B318" s="23" t="s">
        <v>5614</v>
      </c>
      <c r="C318" s="23" t="s">
        <v>4880</v>
      </c>
      <c r="D318" s="23" t="s">
        <v>4879</v>
      </c>
    </row>
    <row r="319" spans="1:4">
      <c r="A319" s="23" t="s">
        <v>4900</v>
      </c>
      <c r="B319" s="23" t="s">
        <v>5615</v>
      </c>
      <c r="C319" s="23" t="s">
        <v>4902</v>
      </c>
      <c r="D319" s="23" t="s">
        <v>4901</v>
      </c>
    </row>
    <row r="320" spans="1:4">
      <c r="A320" s="23" t="s">
        <v>4893</v>
      </c>
      <c r="B320" s="23" t="s">
        <v>5616</v>
      </c>
      <c r="C320" s="23" t="s">
        <v>4895</v>
      </c>
      <c r="D320" s="23" t="s">
        <v>4894</v>
      </c>
    </row>
    <row r="321" spans="1:4">
      <c r="A321" s="23" t="s">
        <v>5077</v>
      </c>
      <c r="B321" s="23" t="s">
        <v>5617</v>
      </c>
      <c r="C321" s="23" t="s">
        <v>5079</v>
      </c>
      <c r="D321" s="23" t="s">
        <v>5078</v>
      </c>
    </row>
    <row r="322" spans="1:4">
      <c r="A322" s="23" t="s">
        <v>5019</v>
      </c>
      <c r="B322" s="23" t="s">
        <v>5618</v>
      </c>
      <c r="C322" s="23" t="s">
        <v>5021</v>
      </c>
      <c r="D322" s="23" t="s">
        <v>5020</v>
      </c>
    </row>
    <row r="323" spans="1:4">
      <c r="A323" s="23" t="s">
        <v>4887</v>
      </c>
      <c r="B323" s="23" t="s">
        <v>5619</v>
      </c>
      <c r="C323" s="23" t="s">
        <v>4889</v>
      </c>
      <c r="D323" s="23" t="s">
        <v>4888</v>
      </c>
    </row>
    <row r="324" spans="1:4">
      <c r="A324" s="23" t="s">
        <v>4881</v>
      </c>
      <c r="B324" s="23" t="s">
        <v>5620</v>
      </c>
      <c r="C324" s="23" t="s">
        <v>4883</v>
      </c>
      <c r="D324" s="23" t="s">
        <v>4882</v>
      </c>
    </row>
    <row r="325" spans="1:4">
      <c r="A325" s="23" t="s">
        <v>4890</v>
      </c>
      <c r="B325" s="23" t="s">
        <v>5621</v>
      </c>
      <c r="C325" s="23" t="s">
        <v>4892</v>
      </c>
      <c r="D325" s="23" t="s">
        <v>4891</v>
      </c>
    </row>
    <row r="326" spans="1:4">
      <c r="A326" s="23" t="s">
        <v>5622</v>
      </c>
      <c r="B326" s="23" t="s">
        <v>5407</v>
      </c>
      <c r="C326" s="23" t="s">
        <v>4629</v>
      </c>
      <c r="D326" s="23" t="s">
        <v>4628</v>
      </c>
    </row>
    <row r="327" spans="1:4">
      <c r="A327" s="23" t="s">
        <v>5623</v>
      </c>
      <c r="B327" s="23" t="s">
        <v>5624</v>
      </c>
      <c r="C327" s="23" t="s">
        <v>4624</v>
      </c>
      <c r="D327" s="23" t="s">
        <v>4623</v>
      </c>
    </row>
    <row r="328" spans="1:4">
      <c r="A328" s="23" t="s">
        <v>4643</v>
      </c>
      <c r="B328" s="23" t="s">
        <v>5422</v>
      </c>
      <c r="C328" s="23" t="s">
        <v>4645</v>
      </c>
      <c r="D328" s="23" t="s">
        <v>4644</v>
      </c>
    </row>
    <row r="329" spans="1:4">
      <c r="A329" s="23" t="s">
        <v>5625</v>
      </c>
      <c r="B329" s="23" t="s">
        <v>4875</v>
      </c>
      <c r="C329" s="23" t="s">
        <v>4877</v>
      </c>
      <c r="D329" s="23" t="s">
        <v>4876</v>
      </c>
    </row>
    <row r="330" spans="1:4">
      <c r="A330" s="23" t="s">
        <v>4897</v>
      </c>
      <c r="B330" s="23" t="s">
        <v>5448</v>
      </c>
      <c r="C330" s="23" t="s">
        <v>4899</v>
      </c>
      <c r="D330" s="23" t="s">
        <v>4898</v>
      </c>
    </row>
    <row r="331" spans="1:4">
      <c r="A331" s="23" t="s">
        <v>5626</v>
      </c>
      <c r="B331" s="23" t="s">
        <v>5482</v>
      </c>
      <c r="C331" s="23" t="s">
        <v>4592</v>
      </c>
      <c r="D331" s="23" t="s">
        <v>4896</v>
      </c>
    </row>
    <row r="332" spans="1:4">
      <c r="A332" s="23" t="s">
        <v>4863</v>
      </c>
      <c r="B332" s="23" t="s">
        <v>5516</v>
      </c>
      <c r="C332" s="23" t="s">
        <v>4865</v>
      </c>
      <c r="D332" s="23" t="s">
        <v>4864</v>
      </c>
    </row>
    <row r="333" spans="1:4">
      <c r="A333" s="23" t="s">
        <v>5101</v>
      </c>
      <c r="B333" s="23" t="s">
        <v>5627</v>
      </c>
      <c r="C333" s="23" t="s">
        <v>5103</v>
      </c>
      <c r="D333" s="23" t="s">
        <v>5102</v>
      </c>
    </row>
    <row r="334" spans="1:4">
      <c r="A334" s="23" t="s">
        <v>5628</v>
      </c>
      <c r="B334" s="23" t="s">
        <v>5629</v>
      </c>
      <c r="C334" s="23" t="s">
        <v>4926</v>
      </c>
      <c r="D334" s="23" t="s">
        <v>5025</v>
      </c>
    </row>
    <row r="335" spans="1:4">
      <c r="A335" s="23" t="s">
        <v>4838</v>
      </c>
      <c r="B335" s="23" t="s">
        <v>5630</v>
      </c>
      <c r="C335" s="23" t="s">
        <v>4840</v>
      </c>
      <c r="D335" s="23" t="s">
        <v>4839</v>
      </c>
    </row>
    <row r="336" spans="1:4">
      <c r="A336" s="23" t="s">
        <v>5631</v>
      </c>
      <c r="B336" s="23" t="s">
        <v>5632</v>
      </c>
      <c r="C336" s="23" t="s">
        <v>4926</v>
      </c>
      <c r="D336" s="23" t="s">
        <v>4925</v>
      </c>
    </row>
    <row r="337" spans="1:4">
      <c r="A337" s="23" t="s">
        <v>5633</v>
      </c>
      <c r="B337" s="23" t="s">
        <v>5634</v>
      </c>
      <c r="C337" s="23" t="s">
        <v>5048</v>
      </c>
      <c r="D337" s="23" t="s">
        <v>5047</v>
      </c>
    </row>
    <row r="338" spans="1:4">
      <c r="A338" s="23" t="s">
        <v>4694</v>
      </c>
      <c r="B338" s="23" t="s">
        <v>5635</v>
      </c>
      <c r="C338" s="23" t="s">
        <v>4696</v>
      </c>
      <c r="D338" s="23" t="s">
        <v>4695</v>
      </c>
    </row>
    <row r="339" spans="1:4">
      <c r="A339" s="23" t="s">
        <v>5636</v>
      </c>
      <c r="B339" s="23" t="s">
        <v>5635</v>
      </c>
      <c r="C339" s="23" t="s">
        <v>4499</v>
      </c>
      <c r="D339" s="23" t="s">
        <v>4498</v>
      </c>
    </row>
    <row r="340" spans="1:4">
      <c r="A340" s="23" t="s">
        <v>4561</v>
      </c>
      <c r="B340" s="23" t="s">
        <v>5635</v>
      </c>
      <c r="C340" s="23" t="s">
        <v>4563</v>
      </c>
      <c r="D340" s="23" t="s">
        <v>4562</v>
      </c>
    </row>
    <row r="341" spans="1:4">
      <c r="A341" s="23" t="s">
        <v>4598</v>
      </c>
      <c r="B341" s="23" t="s">
        <v>5635</v>
      </c>
      <c r="C341" s="23" t="s">
        <v>4600</v>
      </c>
      <c r="D341" s="23" t="s">
        <v>4599</v>
      </c>
    </row>
    <row r="342" spans="1:4">
      <c r="A342" s="23" t="s">
        <v>5057</v>
      </c>
      <c r="B342" s="23" t="s">
        <v>5635</v>
      </c>
      <c r="C342" s="23" t="s">
        <v>5059</v>
      </c>
      <c r="D342" s="23" t="s">
        <v>5058</v>
      </c>
    </row>
    <row r="343" spans="1:4">
      <c r="A343" s="23" t="s">
        <v>5637</v>
      </c>
      <c r="B343" s="23" t="s">
        <v>5638</v>
      </c>
      <c r="C343" s="23" t="s">
        <v>4912</v>
      </c>
      <c r="D343" s="23" t="s">
        <v>4911</v>
      </c>
    </row>
    <row r="344" spans="1:4">
      <c r="A344" s="23" t="s">
        <v>4763</v>
      </c>
      <c r="B344" s="23" t="s">
        <v>5639</v>
      </c>
      <c r="C344" s="23" t="s">
        <v>4765</v>
      </c>
      <c r="D344" s="23" t="s">
        <v>4764</v>
      </c>
    </row>
    <row r="345" spans="1:4">
      <c r="A345" s="23" t="s">
        <v>5092</v>
      </c>
      <c r="B345" s="23" t="s">
        <v>5640</v>
      </c>
      <c r="C345" s="23"/>
      <c r="D345" s="23" t="s">
        <v>5093</v>
      </c>
    </row>
    <row r="346" spans="1:4">
      <c r="A346" s="23" t="s">
        <v>5150</v>
      </c>
      <c r="B346" s="23" t="s">
        <v>5641</v>
      </c>
      <c r="C346" s="23" t="s">
        <v>4988</v>
      </c>
      <c r="D346" s="23" t="s">
        <v>5151</v>
      </c>
    </row>
    <row r="347" spans="1:4">
      <c r="A347" s="23" t="s">
        <v>5148</v>
      </c>
      <c r="B347" s="23" t="s">
        <v>5642</v>
      </c>
      <c r="C347" s="23" t="s">
        <v>4985</v>
      </c>
      <c r="D347" s="23" t="s">
        <v>5149</v>
      </c>
    </row>
    <row r="348" spans="1:4">
      <c r="A348" s="23" t="s">
        <v>4986</v>
      </c>
      <c r="B348" s="23" t="s">
        <v>5643</v>
      </c>
      <c r="C348" s="23"/>
      <c r="D348" s="23" t="s">
        <v>4987</v>
      </c>
    </row>
    <row r="349" spans="1:4">
      <c r="A349" s="23" t="s">
        <v>4983</v>
      </c>
      <c r="B349" s="23" t="s">
        <v>5644</v>
      </c>
      <c r="C349" s="23" t="s">
        <v>4985</v>
      </c>
      <c r="D349" s="23" t="s">
        <v>4984</v>
      </c>
    </row>
    <row r="350" spans="1:4">
      <c r="A350" s="23" t="s">
        <v>5646</v>
      </c>
      <c r="B350" s="23" t="s">
        <v>5645</v>
      </c>
      <c r="C350" s="23" t="s">
        <v>5056</v>
      </c>
      <c r="D350" s="23" t="s">
        <v>5055</v>
      </c>
    </row>
    <row r="351" spans="1:4">
      <c r="A351" s="23" t="s">
        <v>5042</v>
      </c>
      <c r="B351" s="23" t="s">
        <v>5647</v>
      </c>
      <c r="C351" s="23" t="s">
        <v>5044</v>
      </c>
      <c r="D351" s="23" t="s">
        <v>5043</v>
      </c>
    </row>
    <row r="352" spans="1:4">
      <c r="A352" s="23" t="s">
        <v>5039</v>
      </c>
      <c r="B352" s="23" t="s">
        <v>5648</v>
      </c>
      <c r="C352" s="23" t="s">
        <v>5041</v>
      </c>
      <c r="D352" s="23" t="s">
        <v>5040</v>
      </c>
    </row>
    <row r="353" spans="1:4">
      <c r="A353" s="23" t="s">
        <v>5649</v>
      </c>
      <c r="B353" s="23" t="s">
        <v>5650</v>
      </c>
      <c r="C353" s="23" t="s">
        <v>4789</v>
      </c>
      <c r="D353" s="23" t="s">
        <v>4788</v>
      </c>
    </row>
    <row r="354" spans="1:4">
      <c r="A354" s="23" t="s">
        <v>5085</v>
      </c>
      <c r="B354" s="23" t="s">
        <v>5651</v>
      </c>
      <c r="C354" s="23" t="s">
        <v>4789</v>
      </c>
      <c r="D354" s="23" t="s">
        <v>5086</v>
      </c>
    </row>
    <row r="355" spans="1:4">
      <c r="A355" s="23" t="s">
        <v>5171</v>
      </c>
      <c r="B355" s="23" t="s">
        <v>5652</v>
      </c>
      <c r="C355" s="23" t="s">
        <v>5173</v>
      </c>
      <c r="D355" s="23" t="s">
        <v>5172</v>
      </c>
    </row>
    <row r="356" spans="1:4">
      <c r="A356" s="23" t="s">
        <v>4989</v>
      </c>
      <c r="B356" s="23" t="s">
        <v>5653</v>
      </c>
      <c r="C356" s="23" t="s">
        <v>4991</v>
      </c>
      <c r="D356" s="23" t="s">
        <v>4990</v>
      </c>
    </row>
    <row r="357" spans="1:4">
      <c r="A357" s="23" t="s">
        <v>4979</v>
      </c>
      <c r="B357" s="23" t="s">
        <v>5654</v>
      </c>
      <c r="C357" s="23" t="s">
        <v>4981</v>
      </c>
      <c r="D357" s="23" t="s">
        <v>4980</v>
      </c>
    </row>
    <row r="358" spans="1:4">
      <c r="A358" s="23" t="s">
        <v>4955</v>
      </c>
      <c r="B358" s="23" t="s">
        <v>5655</v>
      </c>
      <c r="C358" s="23" t="s">
        <v>4957</v>
      </c>
      <c r="D358" s="23" t="s">
        <v>4956</v>
      </c>
    </row>
    <row r="359" spans="1:4">
      <c r="A359" s="23" t="s">
        <v>4958</v>
      </c>
      <c r="B359" s="23" t="s">
        <v>5656</v>
      </c>
      <c r="C359" s="23" t="s">
        <v>4960</v>
      </c>
      <c r="D359" s="23" t="s">
        <v>4959</v>
      </c>
    </row>
    <row r="360" spans="1:4">
      <c r="A360" s="23" t="s">
        <v>5657</v>
      </c>
      <c r="B360" s="23" t="s">
        <v>5658</v>
      </c>
      <c r="C360" s="23" t="s">
        <v>4854</v>
      </c>
      <c r="D360" s="23" t="s">
        <v>4853</v>
      </c>
    </row>
    <row r="361" spans="1:4">
      <c r="A361" s="23" t="s">
        <v>5659</v>
      </c>
      <c r="B361" s="23" t="s">
        <v>5660</v>
      </c>
      <c r="C361" s="23" t="s">
        <v>5119</v>
      </c>
      <c r="D361" s="23" t="s">
        <v>5118</v>
      </c>
    </row>
    <row r="362" spans="1:4">
      <c r="A362" s="23" t="s">
        <v>5115</v>
      </c>
      <c r="B362" s="23" t="s">
        <v>5661</v>
      </c>
      <c r="C362" s="23" t="s">
        <v>5117</v>
      </c>
      <c r="D362" s="23" t="s">
        <v>5116</v>
      </c>
    </row>
    <row r="363" spans="1:4">
      <c r="A363" s="23" t="s">
        <v>5120</v>
      </c>
      <c r="B363" s="23" t="s">
        <v>5662</v>
      </c>
      <c r="C363" s="23" t="s">
        <v>5122</v>
      </c>
      <c r="D363" s="23" t="s">
        <v>5121</v>
      </c>
    </row>
    <row r="364" spans="1:4">
      <c r="A364" s="23" t="s">
        <v>5123</v>
      </c>
      <c r="B364" s="23" t="s">
        <v>5663</v>
      </c>
      <c r="C364" s="23" t="s">
        <v>5125</v>
      </c>
      <c r="D364" s="23" t="s">
        <v>5124</v>
      </c>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AI366"/>
  <sheetViews>
    <sheetView workbookViewId="0">
      <pane ySplit="3" topLeftCell="A4" activePane="bottomLeft" state="frozen"/>
      <selection pane="bottomLeft" activeCell="A141" sqref="A141"/>
    </sheetView>
  </sheetViews>
  <sheetFormatPr defaultRowHeight="14.25"/>
  <cols>
    <col min="1" max="1" width="13.875" bestFit="1" customWidth="1"/>
    <col min="2" max="2" width="24.375" customWidth="1"/>
    <col min="3" max="3" width="5.375" style="20" customWidth="1"/>
    <col min="4" max="4" width="4.75" style="20" customWidth="1"/>
    <col min="5" max="5" width="5.125" style="20" customWidth="1"/>
    <col min="6" max="6" width="4.875" style="20" customWidth="1"/>
    <col min="7" max="7" width="4.625" style="20" customWidth="1"/>
    <col min="8" max="8" width="4.75" style="20" customWidth="1"/>
    <col min="9" max="9" width="5" style="20" customWidth="1"/>
    <col min="10" max="10" width="5.5" style="20" customWidth="1"/>
    <col min="11" max="12" width="5.375" style="20" customWidth="1"/>
    <col min="13" max="13" width="4.375" style="20" customWidth="1"/>
    <col min="14" max="15" width="4.625" customWidth="1"/>
    <col min="16" max="16" width="5" style="20" customWidth="1"/>
    <col min="17" max="17" width="5.125" style="20" customWidth="1"/>
    <col min="18" max="18" width="4.625" customWidth="1"/>
    <col min="19" max="19" width="6.5" style="20" customWidth="1"/>
    <col min="20" max="20" width="5.75" style="20" customWidth="1"/>
    <col min="21" max="21" width="5.125" style="20" customWidth="1"/>
    <col min="22" max="22" width="6" style="20" customWidth="1"/>
    <col min="23" max="23" width="5.625" style="20" customWidth="1"/>
    <col min="24" max="26" width="5.5" style="20" customWidth="1"/>
    <col min="27" max="27" width="4.375" customWidth="1"/>
    <col min="28" max="28" width="4.875" style="20" customWidth="1"/>
    <col min="29" max="30" width="5.125" style="20" customWidth="1"/>
    <col min="31" max="32" width="5.5" style="20" customWidth="1"/>
    <col min="33" max="33" width="5.25" style="20" customWidth="1"/>
    <col min="34" max="34" width="5.125" style="20" customWidth="1"/>
    <col min="35" max="35" width="4.625" style="20" customWidth="1"/>
  </cols>
  <sheetData>
    <row r="1" spans="1:35" s="24" customFormat="1">
      <c r="A1" s="23"/>
      <c r="C1" s="20"/>
      <c r="D1" s="24">
        <v>50</v>
      </c>
      <c r="E1" s="24">
        <v>51</v>
      </c>
      <c r="F1" s="24">
        <v>52</v>
      </c>
      <c r="G1" s="24">
        <v>53</v>
      </c>
      <c r="H1" s="24">
        <v>54</v>
      </c>
      <c r="I1" s="24">
        <v>55</v>
      </c>
      <c r="J1" s="24">
        <v>56</v>
      </c>
      <c r="K1" s="24">
        <v>57</v>
      </c>
      <c r="L1" s="24">
        <v>58</v>
      </c>
      <c r="M1" s="24">
        <v>59</v>
      </c>
      <c r="N1" s="24">
        <v>60</v>
      </c>
      <c r="O1" s="24">
        <v>61</v>
      </c>
      <c r="P1" s="24">
        <v>62</v>
      </c>
      <c r="Q1" s="24">
        <v>63</v>
      </c>
      <c r="R1" s="24">
        <v>64</v>
      </c>
      <c r="S1" s="24">
        <v>65</v>
      </c>
      <c r="T1" s="24">
        <v>66</v>
      </c>
      <c r="U1" s="24">
        <v>67</v>
      </c>
      <c r="V1" s="24">
        <v>68</v>
      </c>
      <c r="W1" s="24">
        <v>70</v>
      </c>
      <c r="X1" s="24">
        <v>71</v>
      </c>
      <c r="Y1" s="24">
        <v>72</v>
      </c>
      <c r="Z1" s="24">
        <v>73</v>
      </c>
      <c r="AA1" s="24">
        <v>74</v>
      </c>
      <c r="AB1" s="24">
        <v>75</v>
      </c>
      <c r="AC1" s="24">
        <v>76</v>
      </c>
      <c r="AD1" s="24">
        <v>77</v>
      </c>
      <c r="AE1" s="24">
        <v>79</v>
      </c>
      <c r="AF1" s="24">
        <v>80</v>
      </c>
      <c r="AG1" s="24">
        <v>81</v>
      </c>
      <c r="AH1" s="24">
        <v>82</v>
      </c>
      <c r="AI1" s="24">
        <v>84</v>
      </c>
    </row>
    <row r="2" spans="1:35" s="24" customFormat="1">
      <c r="A2" s="23"/>
      <c r="C2" s="20"/>
      <c r="D2" s="24" t="s">
        <v>5664</v>
      </c>
      <c r="E2" s="24" t="s">
        <v>5690</v>
      </c>
      <c r="F2" t="s">
        <v>5692</v>
      </c>
      <c r="G2" t="s">
        <v>5693</v>
      </c>
      <c r="H2" t="s">
        <v>5694</v>
      </c>
      <c r="I2" s="24" t="s">
        <v>5691</v>
      </c>
      <c r="J2" t="s">
        <v>5696</v>
      </c>
      <c r="K2" t="s">
        <v>5697</v>
      </c>
      <c r="L2" t="s">
        <v>5698</v>
      </c>
      <c r="M2" t="s">
        <v>5683</v>
      </c>
      <c r="N2" t="s">
        <v>5684</v>
      </c>
      <c r="O2" t="s">
        <v>5685</v>
      </c>
      <c r="P2" t="s">
        <v>5701</v>
      </c>
      <c r="Q2" t="s">
        <v>5702</v>
      </c>
      <c r="R2" t="s">
        <v>5681</v>
      </c>
      <c r="S2" s="24" t="s">
        <v>5666</v>
      </c>
      <c r="T2" t="s">
        <v>5670</v>
      </c>
      <c r="U2" t="s">
        <v>5675</v>
      </c>
      <c r="V2" s="24" t="s">
        <v>5665</v>
      </c>
      <c r="W2" t="s">
        <v>5688</v>
      </c>
      <c r="X2" t="s">
        <v>5689</v>
      </c>
      <c r="Y2" t="s">
        <v>5686</v>
      </c>
      <c r="Z2" t="s">
        <v>5687</v>
      </c>
      <c r="AA2" t="s">
        <v>5682</v>
      </c>
      <c r="AB2" t="s">
        <v>5678</v>
      </c>
      <c r="AC2" t="s">
        <v>5679</v>
      </c>
      <c r="AD2" t="s">
        <v>5680</v>
      </c>
      <c r="AE2" t="s">
        <v>5673</v>
      </c>
      <c r="AF2" t="s">
        <v>5674</v>
      </c>
      <c r="AG2" t="s">
        <v>5676</v>
      </c>
      <c r="AH2" t="s">
        <v>5677</v>
      </c>
      <c r="AI2" s="24" t="s">
        <v>5672</v>
      </c>
    </row>
    <row r="3" spans="1:35">
      <c r="A3" s="23" t="s">
        <v>4240</v>
      </c>
      <c r="C3" s="20">
        <f t="shared" ref="C3:AI3" si="0">SUM(C4:C366)</f>
        <v>1180</v>
      </c>
      <c r="D3" s="20">
        <f t="shared" si="0"/>
        <v>112</v>
      </c>
      <c r="E3" s="20">
        <f t="shared" si="0"/>
        <v>61</v>
      </c>
      <c r="F3" s="20">
        <f t="shared" si="0"/>
        <v>28</v>
      </c>
      <c r="G3" s="20">
        <f t="shared" si="0"/>
        <v>19</v>
      </c>
      <c r="H3" s="20">
        <f t="shared" si="0"/>
        <v>14</v>
      </c>
      <c r="I3" s="20">
        <f t="shared" si="0"/>
        <v>27</v>
      </c>
      <c r="J3" s="20">
        <f t="shared" si="0"/>
        <v>10</v>
      </c>
      <c r="K3" s="20">
        <f t="shared" si="0"/>
        <v>9</v>
      </c>
      <c r="L3" s="20">
        <f t="shared" si="0"/>
        <v>8</v>
      </c>
      <c r="M3" s="20">
        <f t="shared" si="0"/>
        <v>24</v>
      </c>
      <c r="N3" s="20">
        <f t="shared" si="0"/>
        <v>12</v>
      </c>
      <c r="O3" s="20">
        <f t="shared" si="0"/>
        <v>14</v>
      </c>
      <c r="P3" s="20">
        <f t="shared" si="0"/>
        <v>43</v>
      </c>
      <c r="Q3" s="20">
        <f t="shared" si="0"/>
        <v>56</v>
      </c>
      <c r="R3" s="20">
        <f t="shared" si="0"/>
        <v>7</v>
      </c>
      <c r="S3" s="20">
        <f t="shared" si="0"/>
        <v>141</v>
      </c>
      <c r="T3" s="20">
        <f t="shared" si="0"/>
        <v>32</v>
      </c>
      <c r="U3" s="20">
        <f t="shared" si="0"/>
        <v>17</v>
      </c>
      <c r="V3" s="20">
        <f t="shared" si="0"/>
        <v>119</v>
      </c>
      <c r="W3" s="20">
        <f t="shared" si="0"/>
        <v>43</v>
      </c>
      <c r="X3" s="20">
        <f t="shared" si="0"/>
        <v>91</v>
      </c>
      <c r="Y3" s="20">
        <f t="shared" si="0"/>
        <v>48</v>
      </c>
      <c r="Z3" s="20">
        <f t="shared" si="0"/>
        <v>72</v>
      </c>
      <c r="AA3" s="20">
        <f t="shared" si="0"/>
        <v>8</v>
      </c>
      <c r="AB3" s="20">
        <f t="shared" si="0"/>
        <v>17</v>
      </c>
      <c r="AC3" s="20">
        <f t="shared" si="0"/>
        <v>15</v>
      </c>
      <c r="AD3" s="20">
        <f t="shared" si="0"/>
        <v>11</v>
      </c>
      <c r="AE3" s="20">
        <f t="shared" si="0"/>
        <v>55</v>
      </c>
      <c r="AF3" s="20">
        <f t="shared" si="0"/>
        <v>27</v>
      </c>
      <c r="AG3" s="20">
        <f t="shared" si="0"/>
        <v>14</v>
      </c>
      <c r="AH3" s="20">
        <f t="shared" si="0"/>
        <v>21</v>
      </c>
      <c r="AI3" s="20">
        <f t="shared" si="0"/>
        <v>5</v>
      </c>
    </row>
    <row r="4" spans="1:35">
      <c r="A4" s="23" t="s">
        <v>5695</v>
      </c>
      <c r="B4" s="23" t="s">
        <v>5323</v>
      </c>
      <c r="C4" s="22">
        <f t="shared" ref="C4:C67" si="1">SUM(D4:AI4)</f>
        <v>4</v>
      </c>
      <c r="D4" s="20">
        <v>1</v>
      </c>
      <c r="E4" s="22">
        <v>1</v>
      </c>
      <c r="F4" s="22">
        <v>1</v>
      </c>
      <c r="G4" s="22"/>
      <c r="H4" s="22"/>
      <c r="I4" s="22"/>
      <c r="J4" s="22"/>
      <c r="K4" s="22"/>
      <c r="L4" s="22"/>
      <c r="N4" s="20"/>
      <c r="O4" s="20"/>
      <c r="P4" s="22">
        <v>1</v>
      </c>
      <c r="Q4" s="22"/>
      <c r="R4" s="20"/>
      <c r="AA4" s="20"/>
    </row>
    <row r="5" spans="1:35">
      <c r="A5" s="23" t="s">
        <v>5325</v>
      </c>
      <c r="B5" s="23" t="s">
        <v>5328</v>
      </c>
      <c r="C5" s="22">
        <f t="shared" si="1"/>
        <v>4</v>
      </c>
      <c r="D5" s="20">
        <v>1</v>
      </c>
      <c r="E5" s="22"/>
      <c r="F5" s="22"/>
      <c r="G5" s="22"/>
      <c r="H5" s="22"/>
      <c r="I5" s="22">
        <v>1</v>
      </c>
      <c r="J5" s="22">
        <v>1</v>
      </c>
      <c r="K5" s="22"/>
      <c r="L5" s="22"/>
      <c r="N5" s="20"/>
      <c r="O5" s="20"/>
      <c r="P5" s="22">
        <v>1</v>
      </c>
      <c r="Q5" s="22"/>
      <c r="R5" s="20"/>
      <c r="AA5" s="20"/>
    </row>
    <row r="6" spans="1:35">
      <c r="A6" s="23" t="s">
        <v>5326</v>
      </c>
      <c r="B6" s="23" t="s">
        <v>5340</v>
      </c>
      <c r="C6" s="22">
        <f t="shared" si="1"/>
        <v>4</v>
      </c>
      <c r="D6" s="20">
        <v>1</v>
      </c>
      <c r="E6" s="22"/>
      <c r="F6" s="22"/>
      <c r="G6" s="22"/>
      <c r="H6" s="22"/>
      <c r="I6" s="22">
        <v>1</v>
      </c>
      <c r="J6" s="22"/>
      <c r="K6" s="22"/>
      <c r="L6" s="22">
        <v>1</v>
      </c>
      <c r="N6" s="20"/>
      <c r="O6" s="20"/>
      <c r="P6" s="22">
        <v>1</v>
      </c>
      <c r="Q6" s="22"/>
      <c r="R6" s="20"/>
      <c r="AA6" s="20"/>
    </row>
    <row r="7" spans="1:35">
      <c r="A7" s="23" t="s">
        <v>5327</v>
      </c>
      <c r="B7" s="23" t="s">
        <v>5331</v>
      </c>
      <c r="C7" s="22">
        <f t="shared" si="1"/>
        <v>4</v>
      </c>
      <c r="D7" s="20">
        <v>1</v>
      </c>
      <c r="E7" s="22"/>
      <c r="F7" s="22"/>
      <c r="G7" s="22"/>
      <c r="H7" s="22"/>
      <c r="I7" s="22">
        <v>1</v>
      </c>
      <c r="J7" s="22">
        <v>1</v>
      </c>
      <c r="K7" s="22"/>
      <c r="L7" s="22"/>
      <c r="N7" s="20"/>
      <c r="O7" s="20"/>
      <c r="P7" s="22">
        <v>1</v>
      </c>
      <c r="Q7" s="22"/>
      <c r="R7" s="20"/>
      <c r="AA7" s="20"/>
    </row>
    <row r="8" spans="1:35">
      <c r="A8" s="23" t="s">
        <v>5330</v>
      </c>
      <c r="B8" s="23" t="s">
        <v>5329</v>
      </c>
      <c r="C8" s="22">
        <f t="shared" si="1"/>
        <v>4</v>
      </c>
      <c r="D8" s="20">
        <v>1</v>
      </c>
      <c r="E8" s="22"/>
      <c r="F8" s="22"/>
      <c r="G8" s="22"/>
      <c r="H8" s="22"/>
      <c r="I8" s="22">
        <v>1</v>
      </c>
      <c r="J8" s="22">
        <v>1</v>
      </c>
      <c r="K8" s="22"/>
      <c r="L8" s="22"/>
      <c r="N8" s="20"/>
      <c r="O8" s="20"/>
      <c r="P8" s="22">
        <v>1</v>
      </c>
      <c r="Q8" s="22"/>
      <c r="R8" s="20"/>
      <c r="AA8" s="20"/>
    </row>
    <row r="9" spans="1:35">
      <c r="A9" s="23" t="s">
        <v>4659</v>
      </c>
      <c r="B9" s="23" t="s">
        <v>5332</v>
      </c>
      <c r="C9" s="22">
        <f t="shared" si="1"/>
        <v>4</v>
      </c>
      <c r="D9" s="20">
        <v>1</v>
      </c>
      <c r="E9" s="22"/>
      <c r="F9" s="22"/>
      <c r="G9" s="22"/>
      <c r="H9" s="22"/>
      <c r="I9" s="22">
        <v>1</v>
      </c>
      <c r="J9" s="22"/>
      <c r="K9" s="22">
        <v>1</v>
      </c>
      <c r="L9" s="22"/>
      <c r="N9" s="20"/>
      <c r="O9" s="20"/>
      <c r="P9" s="22">
        <v>1</v>
      </c>
      <c r="Q9" s="22"/>
      <c r="R9" s="20"/>
      <c r="AA9" s="20"/>
    </row>
    <row r="10" spans="1:35">
      <c r="A10" s="23" t="s">
        <v>5087</v>
      </c>
      <c r="B10" s="23" t="s">
        <v>5335</v>
      </c>
      <c r="C10" s="22">
        <f t="shared" si="1"/>
        <v>4</v>
      </c>
      <c r="D10" s="20">
        <v>1</v>
      </c>
      <c r="E10" s="22"/>
      <c r="F10" s="22"/>
      <c r="G10" s="22"/>
      <c r="H10" s="22"/>
      <c r="I10" s="22">
        <v>1</v>
      </c>
      <c r="J10" s="22"/>
      <c r="K10" s="22">
        <v>1</v>
      </c>
      <c r="L10" s="22"/>
      <c r="N10" s="20"/>
      <c r="O10" s="20"/>
      <c r="P10" s="22">
        <v>1</v>
      </c>
      <c r="Q10" s="22"/>
      <c r="R10" s="20"/>
      <c r="AA10" s="20"/>
    </row>
    <row r="11" spans="1:35">
      <c r="A11" s="23" t="s">
        <v>4490</v>
      </c>
      <c r="B11" s="23" t="s">
        <v>5334</v>
      </c>
      <c r="C11" s="22">
        <f t="shared" si="1"/>
        <v>4</v>
      </c>
      <c r="D11" s="20">
        <v>1</v>
      </c>
      <c r="E11" s="22"/>
      <c r="F11" s="22"/>
      <c r="G11" s="22"/>
      <c r="H11" s="22"/>
      <c r="I11" s="22">
        <v>1</v>
      </c>
      <c r="J11" s="22"/>
      <c r="K11" s="22"/>
      <c r="L11" s="22">
        <v>1</v>
      </c>
      <c r="N11" s="20"/>
      <c r="O11" s="20"/>
      <c r="P11" s="22">
        <v>1</v>
      </c>
      <c r="Q11" s="22"/>
      <c r="R11" s="20"/>
      <c r="AA11" s="20"/>
    </row>
    <row r="12" spans="1:35">
      <c r="A12" s="23" t="s">
        <v>4413</v>
      </c>
      <c r="B12" s="23" t="s">
        <v>5336</v>
      </c>
      <c r="C12" s="22">
        <f t="shared" si="1"/>
        <v>4</v>
      </c>
      <c r="D12" s="20">
        <v>1</v>
      </c>
      <c r="E12" s="22"/>
      <c r="F12" s="22"/>
      <c r="G12" s="22"/>
      <c r="H12" s="22"/>
      <c r="I12" s="22">
        <v>1</v>
      </c>
      <c r="J12" s="22">
        <v>1</v>
      </c>
      <c r="K12" s="22"/>
      <c r="L12" s="22"/>
      <c r="N12" s="20"/>
      <c r="O12" s="20"/>
      <c r="P12" s="22"/>
      <c r="Q12" s="22">
        <v>1</v>
      </c>
      <c r="R12" s="20"/>
      <c r="AA12" s="20"/>
    </row>
    <row r="13" spans="1:35">
      <c r="A13" s="23" t="s">
        <v>4593</v>
      </c>
      <c r="B13" s="23" t="s">
        <v>5337</v>
      </c>
      <c r="C13" s="22">
        <f t="shared" si="1"/>
        <v>4</v>
      </c>
      <c r="D13" s="20">
        <v>1</v>
      </c>
      <c r="E13" s="22"/>
      <c r="F13" s="22"/>
      <c r="G13" s="22"/>
      <c r="H13" s="22"/>
      <c r="I13" s="22">
        <v>1</v>
      </c>
      <c r="J13" s="22"/>
      <c r="K13" s="22">
        <v>1</v>
      </c>
      <c r="L13" s="22"/>
      <c r="N13" s="20"/>
      <c r="O13" s="20"/>
      <c r="P13" s="22"/>
      <c r="Q13" s="22">
        <v>1</v>
      </c>
      <c r="R13" s="20"/>
      <c r="AA13" s="20"/>
    </row>
    <row r="14" spans="1:35">
      <c r="A14" s="23" t="s">
        <v>5161</v>
      </c>
      <c r="B14" s="23" t="s">
        <v>5338</v>
      </c>
      <c r="C14" s="22">
        <f t="shared" si="1"/>
        <v>4</v>
      </c>
      <c r="D14" s="20">
        <v>1</v>
      </c>
      <c r="E14" s="22"/>
      <c r="F14" s="22"/>
      <c r="G14" s="22"/>
      <c r="H14" s="22"/>
      <c r="I14" s="22">
        <v>1</v>
      </c>
      <c r="J14" s="22"/>
      <c r="K14" s="22">
        <v>1</v>
      </c>
      <c r="L14" s="22"/>
      <c r="N14" s="20"/>
      <c r="O14" s="20"/>
      <c r="P14" s="22"/>
      <c r="Q14" s="22">
        <v>1</v>
      </c>
      <c r="R14" s="20"/>
      <c r="AA14" s="20"/>
    </row>
    <row r="15" spans="1:35">
      <c r="A15" s="23" t="s">
        <v>4443</v>
      </c>
      <c r="B15" s="23" t="s">
        <v>5333</v>
      </c>
      <c r="C15" s="22">
        <f t="shared" si="1"/>
        <v>4</v>
      </c>
      <c r="D15" s="20">
        <v>1</v>
      </c>
      <c r="E15" s="22"/>
      <c r="F15" s="22"/>
      <c r="G15" s="22"/>
      <c r="H15" s="22"/>
      <c r="I15" s="22">
        <v>1</v>
      </c>
      <c r="J15" s="22"/>
      <c r="K15" s="22">
        <v>1</v>
      </c>
      <c r="L15" s="22"/>
      <c r="N15" s="20"/>
      <c r="O15" s="20"/>
      <c r="P15" s="22"/>
      <c r="Q15" s="22">
        <v>1</v>
      </c>
      <c r="R15" s="20"/>
      <c r="AA15" s="20"/>
    </row>
    <row r="16" spans="1:35">
      <c r="A16" s="23" t="s">
        <v>4380</v>
      </c>
      <c r="B16" s="23" t="s">
        <v>5339</v>
      </c>
      <c r="C16" s="22">
        <f t="shared" si="1"/>
        <v>4</v>
      </c>
      <c r="D16" s="20">
        <v>1</v>
      </c>
      <c r="E16" s="22"/>
      <c r="F16" s="22"/>
      <c r="G16" s="22"/>
      <c r="H16" s="22"/>
      <c r="I16" s="22">
        <v>1</v>
      </c>
      <c r="J16" s="22"/>
      <c r="K16" s="22"/>
      <c r="L16" s="22">
        <v>1</v>
      </c>
      <c r="N16" s="20"/>
      <c r="O16" s="20"/>
      <c r="P16" s="22"/>
      <c r="Q16" s="22">
        <v>1</v>
      </c>
      <c r="R16" s="20"/>
      <c r="AA16" s="20"/>
    </row>
    <row r="17" spans="1:27">
      <c r="A17" s="23" t="s">
        <v>4755</v>
      </c>
      <c r="B17" s="23" t="s">
        <v>5341</v>
      </c>
      <c r="C17" s="22">
        <f t="shared" si="1"/>
        <v>4</v>
      </c>
      <c r="D17" s="20">
        <v>1</v>
      </c>
      <c r="E17" s="22"/>
      <c r="F17" s="22"/>
      <c r="G17" s="22"/>
      <c r="H17" s="22"/>
      <c r="I17" s="22">
        <v>1</v>
      </c>
      <c r="J17" s="22">
        <v>1</v>
      </c>
      <c r="K17" s="22"/>
      <c r="L17" s="22"/>
      <c r="N17" s="20"/>
      <c r="O17" s="20"/>
      <c r="P17" s="22">
        <v>1</v>
      </c>
      <c r="Q17" s="22"/>
      <c r="R17" s="20"/>
      <c r="AA17" s="20"/>
    </row>
    <row r="18" spans="1:27">
      <c r="A18" s="23" t="s">
        <v>5342</v>
      </c>
      <c r="B18" s="23" t="s">
        <v>5343</v>
      </c>
      <c r="C18" s="22">
        <f t="shared" si="1"/>
        <v>4</v>
      </c>
      <c r="D18" s="20">
        <v>1</v>
      </c>
      <c r="E18" s="22"/>
      <c r="F18" s="22"/>
      <c r="G18" s="22"/>
      <c r="H18" s="22"/>
      <c r="I18" s="22">
        <v>1</v>
      </c>
      <c r="J18" s="22">
        <v>1</v>
      </c>
      <c r="K18" s="22"/>
      <c r="L18" s="22"/>
      <c r="N18" s="20"/>
      <c r="O18" s="20"/>
      <c r="P18" s="22">
        <v>1</v>
      </c>
      <c r="Q18" s="22"/>
      <c r="R18" s="20"/>
      <c r="AA18" s="20"/>
    </row>
    <row r="19" spans="1:27">
      <c r="A19" s="23" t="s">
        <v>4632</v>
      </c>
      <c r="B19" s="23" t="s">
        <v>5344</v>
      </c>
      <c r="C19" s="22">
        <f t="shared" si="1"/>
        <v>4</v>
      </c>
      <c r="D19" s="20">
        <v>1</v>
      </c>
      <c r="E19" s="22"/>
      <c r="F19" s="22"/>
      <c r="G19" s="22"/>
      <c r="H19" s="22"/>
      <c r="I19" s="22">
        <v>1</v>
      </c>
      <c r="J19" s="22"/>
      <c r="K19" s="22">
        <v>1</v>
      </c>
      <c r="L19" s="22"/>
      <c r="N19" s="20"/>
      <c r="O19" s="20"/>
      <c r="P19" s="22">
        <v>1</v>
      </c>
      <c r="Q19" s="22"/>
      <c r="R19" s="20"/>
      <c r="AA19" s="20"/>
    </row>
    <row r="20" spans="1:27">
      <c r="A20" s="23" t="s">
        <v>5346</v>
      </c>
      <c r="B20" s="23" t="s">
        <v>5347</v>
      </c>
      <c r="C20" s="22">
        <f t="shared" si="1"/>
        <v>5</v>
      </c>
      <c r="D20" s="20">
        <v>1</v>
      </c>
      <c r="E20" s="22"/>
      <c r="F20" s="22"/>
      <c r="G20" s="22"/>
      <c r="H20" s="22"/>
      <c r="I20" s="22">
        <v>1</v>
      </c>
      <c r="J20" s="22">
        <v>1</v>
      </c>
      <c r="K20" s="22"/>
      <c r="L20" s="22"/>
      <c r="N20" s="20"/>
      <c r="O20" s="20"/>
      <c r="P20" s="22">
        <v>1</v>
      </c>
      <c r="Q20" s="22">
        <v>1</v>
      </c>
      <c r="R20" s="20"/>
      <c r="AA20" s="20"/>
    </row>
    <row r="21" spans="1:27">
      <c r="A21" s="23" t="s">
        <v>4752</v>
      </c>
      <c r="B21" s="23" t="s">
        <v>5348</v>
      </c>
      <c r="C21" s="22">
        <f t="shared" si="1"/>
        <v>5</v>
      </c>
      <c r="D21" s="20">
        <v>1</v>
      </c>
      <c r="E21" s="22"/>
      <c r="F21" s="22"/>
      <c r="G21" s="22"/>
      <c r="H21" s="22"/>
      <c r="I21" s="22">
        <v>1</v>
      </c>
      <c r="J21" s="22"/>
      <c r="K21" s="22">
        <v>1</v>
      </c>
      <c r="L21" s="22"/>
      <c r="N21" s="20"/>
      <c r="O21" s="20"/>
      <c r="P21" s="22">
        <v>1</v>
      </c>
      <c r="Q21" s="22">
        <v>1</v>
      </c>
      <c r="R21" s="20"/>
      <c r="AA21" s="20"/>
    </row>
    <row r="22" spans="1:27">
      <c r="A22" s="23" t="s">
        <v>4472</v>
      </c>
      <c r="B22" s="23" t="s">
        <v>5349</v>
      </c>
      <c r="C22" s="22">
        <f t="shared" si="1"/>
        <v>5</v>
      </c>
      <c r="D22" s="20">
        <v>1</v>
      </c>
      <c r="E22" s="22"/>
      <c r="F22" s="22"/>
      <c r="G22" s="22"/>
      <c r="H22" s="22"/>
      <c r="I22" s="22">
        <v>1</v>
      </c>
      <c r="J22" s="22"/>
      <c r="K22" s="22"/>
      <c r="L22" s="22">
        <v>1</v>
      </c>
      <c r="N22" s="20"/>
      <c r="O22" s="20"/>
      <c r="P22" s="22">
        <v>1</v>
      </c>
      <c r="Q22" s="22">
        <v>1</v>
      </c>
      <c r="R22" s="20"/>
      <c r="AA22" s="20"/>
    </row>
    <row r="23" spans="1:27">
      <c r="A23" s="23" t="s">
        <v>4566</v>
      </c>
      <c r="B23" s="23" t="s">
        <v>5345</v>
      </c>
      <c r="C23" s="22">
        <f t="shared" si="1"/>
        <v>4</v>
      </c>
      <c r="D23" s="20">
        <v>1</v>
      </c>
      <c r="E23" s="22"/>
      <c r="F23" s="22"/>
      <c r="G23" s="22"/>
      <c r="H23" s="22"/>
      <c r="I23" s="22">
        <v>1</v>
      </c>
      <c r="J23" s="22"/>
      <c r="K23" s="22"/>
      <c r="L23" s="22">
        <v>1</v>
      </c>
      <c r="N23" s="20"/>
      <c r="O23" s="20"/>
      <c r="P23" s="22">
        <v>1</v>
      </c>
      <c r="Q23" s="22"/>
      <c r="R23" s="20"/>
      <c r="AA23" s="20"/>
    </row>
    <row r="24" spans="1:27">
      <c r="A24" s="23" t="s">
        <v>5350</v>
      </c>
      <c r="B24" s="23" t="s">
        <v>5351</v>
      </c>
      <c r="C24" s="22">
        <f t="shared" si="1"/>
        <v>4</v>
      </c>
      <c r="D24" s="20">
        <v>1</v>
      </c>
      <c r="E24" s="22"/>
      <c r="F24" s="22"/>
      <c r="G24" s="22"/>
      <c r="H24" s="22"/>
      <c r="I24" s="22">
        <v>1</v>
      </c>
      <c r="J24" s="22">
        <v>1</v>
      </c>
      <c r="K24" s="22"/>
      <c r="L24" s="22"/>
      <c r="N24" s="20"/>
      <c r="O24" s="20"/>
      <c r="P24" s="22"/>
      <c r="Q24" s="22">
        <v>1</v>
      </c>
      <c r="R24" s="20"/>
      <c r="AA24" s="20"/>
    </row>
    <row r="25" spans="1:27">
      <c r="A25" s="23" t="s">
        <v>4858</v>
      </c>
      <c r="B25" s="23" t="s">
        <v>5352</v>
      </c>
      <c r="C25" s="22">
        <f t="shared" si="1"/>
        <v>4</v>
      </c>
      <c r="D25" s="20">
        <v>1</v>
      </c>
      <c r="E25" s="22"/>
      <c r="F25" s="22"/>
      <c r="G25" s="22"/>
      <c r="H25" s="22"/>
      <c r="I25" s="22">
        <v>1</v>
      </c>
      <c r="J25" s="22"/>
      <c r="K25" s="22">
        <v>1</v>
      </c>
      <c r="L25" s="22"/>
      <c r="N25" s="20"/>
      <c r="O25" s="20"/>
      <c r="P25" s="22"/>
      <c r="Q25" s="22">
        <v>1</v>
      </c>
      <c r="R25" s="20"/>
      <c r="AA25" s="20"/>
    </row>
    <row r="26" spans="1:27">
      <c r="A26" s="23" t="s">
        <v>4851</v>
      </c>
      <c r="B26" s="23" t="s">
        <v>5353</v>
      </c>
      <c r="C26" s="22">
        <f t="shared" si="1"/>
        <v>4</v>
      </c>
      <c r="D26" s="20">
        <v>1</v>
      </c>
      <c r="E26" s="22"/>
      <c r="F26" s="22"/>
      <c r="G26" s="22"/>
      <c r="H26" s="22"/>
      <c r="I26" s="22">
        <v>1</v>
      </c>
      <c r="J26" s="22"/>
      <c r="K26" s="22"/>
      <c r="L26" s="22">
        <v>1</v>
      </c>
      <c r="N26" s="20"/>
      <c r="O26" s="20"/>
      <c r="P26" s="22"/>
      <c r="Q26" s="22">
        <v>1</v>
      </c>
      <c r="R26" s="20"/>
      <c r="AA26" s="20"/>
    </row>
    <row r="27" spans="1:27">
      <c r="A27" s="23" t="s">
        <v>5354</v>
      </c>
      <c r="B27" s="23" t="s">
        <v>5355</v>
      </c>
      <c r="C27" s="22">
        <f t="shared" si="1"/>
        <v>4</v>
      </c>
      <c r="D27" s="20">
        <v>1</v>
      </c>
      <c r="E27" s="22"/>
      <c r="F27" s="22"/>
      <c r="G27" s="22"/>
      <c r="H27" s="22"/>
      <c r="I27" s="22">
        <v>1</v>
      </c>
      <c r="J27" s="22">
        <v>1</v>
      </c>
      <c r="K27" s="22"/>
      <c r="L27" s="22"/>
      <c r="N27" s="20"/>
      <c r="O27" s="20"/>
      <c r="P27" s="22">
        <v>1</v>
      </c>
      <c r="Q27" s="22"/>
      <c r="R27" s="20"/>
      <c r="AA27" s="20"/>
    </row>
    <row r="28" spans="1:27">
      <c r="A28" s="23" t="s">
        <v>5358</v>
      </c>
      <c r="B28" s="23" t="s">
        <v>5359</v>
      </c>
      <c r="C28" s="22">
        <f t="shared" si="1"/>
        <v>5</v>
      </c>
      <c r="D28" s="20">
        <v>1</v>
      </c>
      <c r="E28" s="22"/>
      <c r="F28" s="22"/>
      <c r="G28" s="22"/>
      <c r="H28" s="22"/>
      <c r="I28" s="22">
        <v>1</v>
      </c>
      <c r="J28" s="22"/>
      <c r="K28" s="22">
        <v>1</v>
      </c>
      <c r="L28" s="22"/>
      <c r="N28" s="20"/>
      <c r="O28" s="20"/>
      <c r="P28" s="22">
        <v>1</v>
      </c>
      <c r="Q28" s="22">
        <v>1</v>
      </c>
      <c r="R28" s="20"/>
      <c r="AA28" s="20"/>
    </row>
    <row r="29" spans="1:27">
      <c r="A29" s="23" t="s">
        <v>5360</v>
      </c>
      <c r="B29" s="23" t="s">
        <v>5361</v>
      </c>
      <c r="C29" s="22">
        <f t="shared" si="1"/>
        <v>5</v>
      </c>
      <c r="D29" s="20">
        <v>1</v>
      </c>
      <c r="E29" s="22"/>
      <c r="F29" s="22"/>
      <c r="G29" s="22"/>
      <c r="H29" s="22"/>
      <c r="I29" s="22">
        <v>1</v>
      </c>
      <c r="J29" s="22">
        <v>1</v>
      </c>
      <c r="K29" s="22"/>
      <c r="L29" s="22"/>
      <c r="N29" s="20"/>
      <c r="O29" s="20"/>
      <c r="P29" s="22">
        <v>1</v>
      </c>
      <c r="Q29" s="22"/>
      <c r="R29" s="20">
        <v>1</v>
      </c>
      <c r="AA29" s="20"/>
    </row>
    <row r="30" spans="1:27">
      <c r="A30" s="23" t="s">
        <v>5703</v>
      </c>
      <c r="B30" s="23" t="s">
        <v>5704</v>
      </c>
      <c r="C30" s="22">
        <f t="shared" si="1"/>
        <v>4</v>
      </c>
      <c r="D30" s="20">
        <v>1</v>
      </c>
      <c r="E30" s="22"/>
      <c r="F30" s="22"/>
      <c r="G30" s="22"/>
      <c r="H30" s="22"/>
      <c r="I30" s="22">
        <v>1</v>
      </c>
      <c r="J30" s="22"/>
      <c r="K30" s="22"/>
      <c r="L30" s="22">
        <v>1</v>
      </c>
      <c r="N30" s="20"/>
      <c r="O30" s="20"/>
      <c r="P30" s="22"/>
      <c r="Q30" s="22">
        <v>1</v>
      </c>
      <c r="R30" s="20"/>
      <c r="AA30" s="20"/>
    </row>
    <row r="31" spans="1:27">
      <c r="A31" s="23" t="s">
        <v>5517</v>
      </c>
      <c r="B31" s="23" t="s">
        <v>5519</v>
      </c>
      <c r="C31" s="22">
        <f t="shared" si="1"/>
        <v>3</v>
      </c>
      <c r="D31" s="20">
        <v>1</v>
      </c>
      <c r="E31" s="22">
        <v>1</v>
      </c>
      <c r="F31" s="22">
        <v>1</v>
      </c>
      <c r="G31" s="22"/>
      <c r="H31" s="22"/>
      <c r="I31" s="22"/>
      <c r="J31" s="22"/>
      <c r="K31" s="22"/>
      <c r="L31" s="22"/>
      <c r="N31" s="20"/>
      <c r="O31" s="20"/>
      <c r="P31" s="22"/>
      <c r="Q31" s="22"/>
      <c r="R31" s="20"/>
      <c r="AA31" s="20"/>
    </row>
    <row r="32" spans="1:27">
      <c r="A32" s="23" t="s">
        <v>4369</v>
      </c>
      <c r="B32" s="23" t="s">
        <v>5520</v>
      </c>
      <c r="C32" s="22">
        <f t="shared" si="1"/>
        <v>3</v>
      </c>
      <c r="D32" s="20">
        <v>1</v>
      </c>
      <c r="E32" s="22">
        <v>1</v>
      </c>
      <c r="F32" s="22">
        <v>1</v>
      </c>
      <c r="G32" s="22"/>
      <c r="H32" s="22"/>
      <c r="I32" s="22"/>
      <c r="J32" s="22"/>
      <c r="K32" s="22"/>
      <c r="L32" s="22"/>
      <c r="N32" s="20"/>
      <c r="O32" s="20"/>
      <c r="P32" s="22"/>
      <c r="Q32" s="22"/>
      <c r="R32" s="20"/>
      <c r="AA32" s="20"/>
    </row>
    <row r="33" spans="1:27">
      <c r="A33" s="23" t="s">
        <v>5527</v>
      </c>
      <c r="B33" s="23" t="s">
        <v>5529</v>
      </c>
      <c r="C33" s="22">
        <f t="shared" si="1"/>
        <v>4</v>
      </c>
      <c r="D33" s="20">
        <v>1</v>
      </c>
      <c r="E33" s="22">
        <v>1</v>
      </c>
      <c r="F33" s="22"/>
      <c r="G33" s="22">
        <v>1</v>
      </c>
      <c r="H33" s="22"/>
      <c r="I33" s="22"/>
      <c r="J33" s="22"/>
      <c r="K33" s="22"/>
      <c r="L33" s="22"/>
      <c r="N33" s="20"/>
      <c r="O33" s="20"/>
      <c r="P33" s="22"/>
      <c r="Q33" s="22">
        <v>1</v>
      </c>
      <c r="R33" s="20"/>
      <c r="AA33" s="20"/>
    </row>
    <row r="34" spans="1:27">
      <c r="A34" s="23" t="s">
        <v>5528</v>
      </c>
      <c r="B34" s="23" t="s">
        <v>5530</v>
      </c>
      <c r="C34" s="22">
        <f t="shared" si="1"/>
        <v>4</v>
      </c>
      <c r="D34" s="20">
        <v>1</v>
      </c>
      <c r="E34" s="22">
        <v>1</v>
      </c>
      <c r="F34" s="22">
        <v>1</v>
      </c>
      <c r="G34" s="22"/>
      <c r="H34" s="22"/>
      <c r="I34" s="22"/>
      <c r="J34" s="22"/>
      <c r="K34" s="22"/>
      <c r="L34" s="22"/>
      <c r="N34" s="20"/>
      <c r="O34" s="20"/>
      <c r="P34" s="22"/>
      <c r="Q34" s="22">
        <v>1</v>
      </c>
      <c r="R34" s="20"/>
      <c r="AA34" s="20"/>
    </row>
    <row r="35" spans="1:27">
      <c r="A35" s="23" t="s">
        <v>5531</v>
      </c>
      <c r="B35" s="23" t="s">
        <v>5533</v>
      </c>
      <c r="C35" s="22">
        <f t="shared" si="1"/>
        <v>5</v>
      </c>
      <c r="D35" s="20">
        <v>1</v>
      </c>
      <c r="E35" s="22">
        <v>1</v>
      </c>
      <c r="F35" s="22">
        <v>1</v>
      </c>
      <c r="G35" s="22"/>
      <c r="H35" s="22"/>
      <c r="I35" s="22"/>
      <c r="J35" s="22"/>
      <c r="K35" s="22"/>
      <c r="L35" s="22"/>
      <c r="N35" s="20"/>
      <c r="O35" s="20"/>
      <c r="P35" s="22">
        <v>1</v>
      </c>
      <c r="Q35" s="22">
        <v>1</v>
      </c>
      <c r="R35" s="20"/>
      <c r="AA35" s="20"/>
    </row>
    <row r="36" spans="1:27">
      <c r="A36" s="23" t="s">
        <v>4455</v>
      </c>
      <c r="B36" s="23" t="s">
        <v>5534</v>
      </c>
      <c r="C36" s="22">
        <f t="shared" si="1"/>
        <v>5</v>
      </c>
      <c r="D36" s="20">
        <v>1</v>
      </c>
      <c r="E36" s="22">
        <v>1</v>
      </c>
      <c r="F36" s="22">
        <v>1</v>
      </c>
      <c r="G36" s="22"/>
      <c r="H36" s="22"/>
      <c r="I36" s="22"/>
      <c r="J36" s="22"/>
      <c r="K36" s="22"/>
      <c r="L36" s="22"/>
      <c r="N36" s="20"/>
      <c r="O36" s="20"/>
      <c r="P36" s="22">
        <v>1</v>
      </c>
      <c r="Q36" s="22">
        <v>1</v>
      </c>
      <c r="R36" s="20"/>
      <c r="AA36" s="20"/>
    </row>
    <row r="37" spans="1:27">
      <c r="A37" s="23" t="s">
        <v>5532</v>
      </c>
      <c r="B37" s="23" t="s">
        <v>5535</v>
      </c>
      <c r="C37" s="22">
        <f t="shared" si="1"/>
        <v>5</v>
      </c>
      <c r="D37" s="20">
        <v>1</v>
      </c>
      <c r="E37" s="22">
        <v>1</v>
      </c>
      <c r="F37" s="22"/>
      <c r="G37" s="22">
        <v>1</v>
      </c>
      <c r="H37" s="22"/>
      <c r="I37" s="22"/>
      <c r="J37" s="22"/>
      <c r="K37" s="22"/>
      <c r="L37" s="22"/>
      <c r="N37" s="20"/>
      <c r="O37" s="20"/>
      <c r="P37" s="22">
        <v>1</v>
      </c>
      <c r="Q37" s="22">
        <v>1</v>
      </c>
      <c r="R37" s="20"/>
      <c r="AA37" s="20"/>
    </row>
    <row r="38" spans="1:27">
      <c r="A38" s="23" t="s">
        <v>5536</v>
      </c>
      <c r="B38" s="23" t="s">
        <v>5537</v>
      </c>
      <c r="C38" s="22">
        <f t="shared" si="1"/>
        <v>4</v>
      </c>
      <c r="D38" s="20">
        <v>1</v>
      </c>
      <c r="E38" s="22">
        <v>1</v>
      </c>
      <c r="F38" s="22"/>
      <c r="G38" s="22"/>
      <c r="H38" s="22">
        <v>1</v>
      </c>
      <c r="I38" s="22"/>
      <c r="J38" s="22"/>
      <c r="K38" s="22"/>
      <c r="L38" s="22"/>
      <c r="N38" s="20"/>
      <c r="O38" s="20"/>
      <c r="P38" s="22"/>
      <c r="Q38" s="22">
        <v>1</v>
      </c>
      <c r="R38" s="20"/>
      <c r="AA38" s="20"/>
    </row>
    <row r="39" spans="1:27">
      <c r="A39" s="23" t="s">
        <v>5538</v>
      </c>
      <c r="B39" s="23" t="s">
        <v>5539</v>
      </c>
      <c r="C39" s="22">
        <f t="shared" si="1"/>
        <v>4</v>
      </c>
      <c r="D39" s="20">
        <v>1</v>
      </c>
      <c r="E39" s="22">
        <v>1</v>
      </c>
      <c r="F39" s="22">
        <v>1</v>
      </c>
      <c r="G39" s="22"/>
      <c r="H39" s="22"/>
      <c r="I39" s="22"/>
      <c r="J39" s="22"/>
      <c r="K39" s="22"/>
      <c r="L39" s="22"/>
      <c r="N39" s="20"/>
      <c r="O39" s="20"/>
      <c r="P39" s="22">
        <v>1</v>
      </c>
      <c r="Q39" s="22"/>
      <c r="R39" s="20"/>
      <c r="AA39" s="20"/>
    </row>
    <row r="40" spans="1:27">
      <c r="A40" s="23" t="s">
        <v>5186</v>
      </c>
      <c r="B40" s="23" t="s">
        <v>5540</v>
      </c>
      <c r="C40" s="22">
        <f t="shared" si="1"/>
        <v>4</v>
      </c>
      <c r="D40" s="20">
        <v>1</v>
      </c>
      <c r="E40" s="22">
        <v>1</v>
      </c>
      <c r="F40" s="22">
        <v>1</v>
      </c>
      <c r="G40" s="22"/>
      <c r="H40" s="22"/>
      <c r="I40" s="22"/>
      <c r="J40" s="22"/>
      <c r="K40" s="22"/>
      <c r="L40" s="22"/>
      <c r="N40" s="20"/>
      <c r="O40" s="20"/>
      <c r="P40" s="22">
        <v>1</v>
      </c>
      <c r="Q40" s="22"/>
      <c r="R40" s="20"/>
      <c r="AA40" s="20"/>
    </row>
    <row r="41" spans="1:27">
      <c r="A41" s="23" t="s">
        <v>4574</v>
      </c>
      <c r="B41" s="23" t="s">
        <v>5541</v>
      </c>
      <c r="C41" s="22">
        <f t="shared" si="1"/>
        <v>4</v>
      </c>
      <c r="D41" s="20">
        <v>1</v>
      </c>
      <c r="E41" s="22">
        <v>1</v>
      </c>
      <c r="F41" s="22"/>
      <c r="G41" s="22">
        <v>1</v>
      </c>
      <c r="H41" s="22"/>
      <c r="I41" s="22"/>
      <c r="J41" s="22"/>
      <c r="K41" s="22"/>
      <c r="L41" s="22"/>
      <c r="N41" s="20"/>
      <c r="O41" s="20"/>
      <c r="P41" s="22">
        <v>1</v>
      </c>
      <c r="Q41" s="22"/>
      <c r="R41" s="20"/>
      <c r="AA41" s="20"/>
    </row>
    <row r="42" spans="1:27">
      <c r="A42" s="23" t="s">
        <v>4571</v>
      </c>
      <c r="B42" s="23" t="s">
        <v>5542</v>
      </c>
      <c r="C42" s="22">
        <f t="shared" si="1"/>
        <v>4</v>
      </c>
      <c r="D42" s="20">
        <v>1</v>
      </c>
      <c r="E42" s="22">
        <v>1</v>
      </c>
      <c r="F42" s="22"/>
      <c r="G42" s="22"/>
      <c r="H42" s="22">
        <v>1</v>
      </c>
      <c r="I42" s="22"/>
      <c r="J42" s="22"/>
      <c r="K42" s="22"/>
      <c r="L42" s="22"/>
      <c r="N42" s="20"/>
      <c r="O42" s="20"/>
      <c r="P42" s="22">
        <v>1</v>
      </c>
      <c r="Q42" s="22"/>
      <c r="R42" s="20"/>
      <c r="AA42" s="20"/>
    </row>
    <row r="43" spans="1:27">
      <c r="A43" s="23" t="s">
        <v>5543</v>
      </c>
      <c r="B43" s="23" t="s">
        <v>5544</v>
      </c>
      <c r="C43" s="22">
        <f t="shared" si="1"/>
        <v>4</v>
      </c>
      <c r="D43" s="20">
        <v>1</v>
      </c>
      <c r="E43" s="22">
        <v>1</v>
      </c>
      <c r="F43" s="22">
        <v>1</v>
      </c>
      <c r="G43" s="22"/>
      <c r="H43" s="22"/>
      <c r="I43" s="22"/>
      <c r="J43" s="22"/>
      <c r="K43" s="22"/>
      <c r="L43" s="22"/>
      <c r="N43" s="20"/>
      <c r="O43" s="20"/>
      <c r="P43" s="22">
        <v>1</v>
      </c>
      <c r="Q43" s="22"/>
      <c r="R43" s="20"/>
      <c r="AA43" s="20"/>
    </row>
    <row r="44" spans="1:27">
      <c r="A44" s="23" t="s">
        <v>5145</v>
      </c>
      <c r="B44" s="23" t="s">
        <v>5545</v>
      </c>
      <c r="C44" s="22">
        <f t="shared" si="1"/>
        <v>4</v>
      </c>
      <c r="D44" s="20">
        <v>1</v>
      </c>
      <c r="E44" s="22">
        <v>1</v>
      </c>
      <c r="F44" s="22"/>
      <c r="G44" s="22">
        <v>1</v>
      </c>
      <c r="H44" s="22"/>
      <c r="I44" s="22"/>
      <c r="J44" s="22"/>
      <c r="K44" s="22"/>
      <c r="L44" s="22"/>
      <c r="N44" s="20"/>
      <c r="O44" s="20"/>
      <c r="P44" s="22">
        <v>1</v>
      </c>
      <c r="Q44" s="22"/>
      <c r="R44" s="20"/>
      <c r="AA44" s="20"/>
    </row>
    <row r="45" spans="1:27">
      <c r="A45" s="23" t="s">
        <v>5552</v>
      </c>
      <c r="B45" s="23" t="s">
        <v>5546</v>
      </c>
      <c r="C45" s="22">
        <f t="shared" si="1"/>
        <v>4</v>
      </c>
      <c r="D45" s="20">
        <v>1</v>
      </c>
      <c r="E45" s="22">
        <v>1</v>
      </c>
      <c r="F45" s="22"/>
      <c r="G45" s="22"/>
      <c r="H45" s="22">
        <v>1</v>
      </c>
      <c r="I45" s="22"/>
      <c r="J45" s="22"/>
      <c r="K45" s="22"/>
      <c r="L45" s="22"/>
      <c r="N45" s="20"/>
      <c r="O45" s="20"/>
      <c r="P45" s="22">
        <v>1</v>
      </c>
      <c r="Q45" s="22"/>
      <c r="R45" s="20"/>
      <c r="AA45" s="20"/>
    </row>
    <row r="46" spans="1:27">
      <c r="A46" s="23" t="s">
        <v>5547</v>
      </c>
      <c r="B46" s="23" t="s">
        <v>5548</v>
      </c>
      <c r="C46" s="22">
        <f t="shared" si="1"/>
        <v>4</v>
      </c>
      <c r="D46" s="20">
        <v>1</v>
      </c>
      <c r="E46" s="22">
        <v>1</v>
      </c>
      <c r="F46" s="22">
        <v>1</v>
      </c>
      <c r="G46" s="22"/>
      <c r="H46" s="22"/>
      <c r="I46" s="22"/>
      <c r="J46" s="22"/>
      <c r="K46" s="22"/>
      <c r="L46" s="22"/>
      <c r="N46" s="20"/>
      <c r="O46" s="20"/>
      <c r="P46" s="22"/>
      <c r="Q46" s="22">
        <v>1</v>
      </c>
      <c r="R46" s="20"/>
      <c r="AA46" s="20"/>
    </row>
    <row r="47" spans="1:27">
      <c r="A47" s="23" t="s">
        <v>5133</v>
      </c>
      <c r="B47" s="23" t="s">
        <v>5549</v>
      </c>
      <c r="C47" s="22">
        <f t="shared" si="1"/>
        <v>4</v>
      </c>
      <c r="D47" s="20">
        <v>1</v>
      </c>
      <c r="E47" s="22">
        <v>1</v>
      </c>
      <c r="F47" s="22"/>
      <c r="G47" s="22">
        <v>1</v>
      </c>
      <c r="H47" s="22"/>
      <c r="I47" s="22"/>
      <c r="J47" s="22"/>
      <c r="K47" s="22"/>
      <c r="L47" s="22"/>
      <c r="N47" s="20"/>
      <c r="O47" s="20"/>
      <c r="P47" s="22"/>
      <c r="Q47" s="22">
        <v>1</v>
      </c>
      <c r="R47" s="20"/>
      <c r="AA47" s="20"/>
    </row>
    <row r="48" spans="1:27">
      <c r="A48" s="23" t="s">
        <v>5138</v>
      </c>
      <c r="B48" s="23" t="s">
        <v>5550</v>
      </c>
      <c r="C48" s="22">
        <f t="shared" si="1"/>
        <v>4</v>
      </c>
      <c r="D48" s="20">
        <v>1</v>
      </c>
      <c r="E48" s="22">
        <v>1</v>
      </c>
      <c r="F48" s="22"/>
      <c r="G48" s="22"/>
      <c r="H48" s="22">
        <v>1</v>
      </c>
      <c r="I48" s="22"/>
      <c r="J48" s="22"/>
      <c r="K48" s="22"/>
      <c r="L48" s="22"/>
      <c r="N48" s="20"/>
      <c r="O48" s="20"/>
      <c r="P48" s="22"/>
      <c r="Q48" s="22">
        <v>1</v>
      </c>
      <c r="R48" s="20"/>
      <c r="AA48" s="20"/>
    </row>
    <row r="49" spans="1:27">
      <c r="A49" s="23" t="s">
        <v>5551</v>
      </c>
      <c r="B49" s="23" t="s">
        <v>5553</v>
      </c>
      <c r="C49" s="22">
        <f t="shared" si="1"/>
        <v>4</v>
      </c>
      <c r="D49" s="20">
        <v>1</v>
      </c>
      <c r="E49" s="22">
        <v>1</v>
      </c>
      <c r="F49" s="22"/>
      <c r="G49" s="22"/>
      <c r="H49" s="22">
        <v>1</v>
      </c>
      <c r="I49" s="22"/>
      <c r="J49" s="22"/>
      <c r="K49" s="22"/>
      <c r="L49" s="22"/>
      <c r="N49" s="20"/>
      <c r="O49" s="20"/>
      <c r="P49" s="22">
        <v>1</v>
      </c>
      <c r="Q49" s="22"/>
      <c r="R49" s="20"/>
      <c r="AA49" s="20"/>
    </row>
    <row r="50" spans="1:27">
      <c r="A50" s="23" t="s">
        <v>5554</v>
      </c>
      <c r="B50" s="23" t="s">
        <v>5555</v>
      </c>
      <c r="C50" s="22">
        <f t="shared" si="1"/>
        <v>4</v>
      </c>
      <c r="D50" s="20">
        <v>1</v>
      </c>
      <c r="E50" s="22">
        <v>1</v>
      </c>
      <c r="F50" s="22">
        <v>1</v>
      </c>
      <c r="G50" s="22"/>
      <c r="H50" s="22"/>
      <c r="I50" s="22"/>
      <c r="J50" s="22"/>
      <c r="K50" s="22"/>
      <c r="L50" s="22"/>
      <c r="N50" s="20"/>
      <c r="O50" s="20"/>
      <c r="P50" s="22"/>
      <c r="Q50" s="22">
        <v>1</v>
      </c>
      <c r="R50" s="20"/>
      <c r="AA50" s="20"/>
    </row>
    <row r="51" spans="1:27">
      <c r="A51" s="23" t="s">
        <v>4922</v>
      </c>
      <c r="B51" s="23" t="s">
        <v>5556</v>
      </c>
      <c r="C51" s="22">
        <f t="shared" si="1"/>
        <v>4</v>
      </c>
      <c r="D51" s="20">
        <v>1</v>
      </c>
      <c r="E51" s="22">
        <v>1</v>
      </c>
      <c r="F51" s="22">
        <v>1</v>
      </c>
      <c r="G51" s="22"/>
      <c r="H51" s="22"/>
      <c r="I51" s="22"/>
      <c r="J51" s="22"/>
      <c r="K51" s="22"/>
      <c r="L51" s="22"/>
      <c r="N51" s="20"/>
      <c r="O51" s="20"/>
      <c r="P51" s="22"/>
      <c r="Q51" s="22">
        <v>1</v>
      </c>
      <c r="R51" s="20"/>
      <c r="AA51" s="20"/>
    </row>
    <row r="52" spans="1:27">
      <c r="A52" s="23" t="s">
        <v>4577</v>
      </c>
      <c r="B52" s="23" t="s">
        <v>5557</v>
      </c>
      <c r="C52" s="22">
        <f t="shared" si="1"/>
        <v>4</v>
      </c>
      <c r="D52" s="20">
        <v>1</v>
      </c>
      <c r="E52" s="22">
        <v>1</v>
      </c>
      <c r="F52" s="22"/>
      <c r="G52" s="22">
        <v>1</v>
      </c>
      <c r="H52" s="22"/>
      <c r="I52" s="22"/>
      <c r="J52" s="22"/>
      <c r="K52" s="22"/>
      <c r="L52" s="22"/>
      <c r="N52" s="20"/>
      <c r="O52" s="20"/>
      <c r="P52" s="22"/>
      <c r="Q52" s="22">
        <v>1</v>
      </c>
      <c r="R52" s="20"/>
      <c r="AA52" s="20"/>
    </row>
    <row r="53" spans="1:27">
      <c r="A53" s="23" t="s">
        <v>4281</v>
      </c>
      <c r="B53" s="23" t="s">
        <v>5558</v>
      </c>
      <c r="C53" s="22">
        <f t="shared" si="1"/>
        <v>4</v>
      </c>
      <c r="D53" s="20">
        <v>1</v>
      </c>
      <c r="E53" s="22">
        <v>1</v>
      </c>
      <c r="F53" s="22"/>
      <c r="G53" s="22"/>
      <c r="H53" s="22">
        <v>1</v>
      </c>
      <c r="I53" s="22"/>
      <c r="J53" s="22"/>
      <c r="K53" s="22"/>
      <c r="L53" s="22"/>
      <c r="N53" s="20"/>
      <c r="O53" s="20"/>
      <c r="P53" s="22"/>
      <c r="Q53" s="22">
        <v>1</v>
      </c>
      <c r="R53" s="20"/>
      <c r="AA53" s="20"/>
    </row>
    <row r="54" spans="1:27">
      <c r="A54" s="23" t="s">
        <v>5559</v>
      </c>
      <c r="B54" s="23" t="s">
        <v>5560</v>
      </c>
      <c r="C54" s="22">
        <f t="shared" si="1"/>
        <v>5</v>
      </c>
      <c r="D54" s="20">
        <v>1</v>
      </c>
      <c r="E54" s="22">
        <v>1</v>
      </c>
      <c r="F54" s="22">
        <v>1</v>
      </c>
      <c r="G54" s="22"/>
      <c r="H54" s="22"/>
      <c r="I54" s="22"/>
      <c r="J54" s="22"/>
      <c r="K54" s="22"/>
      <c r="L54" s="22"/>
      <c r="N54" s="20"/>
      <c r="O54" s="20"/>
      <c r="P54" s="22">
        <v>1</v>
      </c>
      <c r="Q54" s="22">
        <v>1</v>
      </c>
      <c r="R54" s="20"/>
      <c r="AA54" s="20"/>
    </row>
    <row r="55" spans="1:27">
      <c r="A55" s="23" t="s">
        <v>5562</v>
      </c>
      <c r="B55" s="23" t="s">
        <v>5561</v>
      </c>
      <c r="C55" s="22">
        <f t="shared" si="1"/>
        <v>5</v>
      </c>
      <c r="D55" s="20">
        <v>1</v>
      </c>
      <c r="E55" s="22">
        <v>1</v>
      </c>
      <c r="F55" s="22"/>
      <c r="G55" s="22">
        <v>1</v>
      </c>
      <c r="H55" s="22"/>
      <c r="I55" s="22"/>
      <c r="J55" s="22"/>
      <c r="K55" s="22"/>
      <c r="L55" s="22"/>
      <c r="N55" s="20"/>
      <c r="O55" s="20"/>
      <c r="P55" s="22">
        <v>1</v>
      </c>
      <c r="Q55" s="22">
        <v>1</v>
      </c>
      <c r="R55" s="20"/>
      <c r="AA55" s="20"/>
    </row>
    <row r="56" spans="1:27">
      <c r="A56" s="23" t="s">
        <v>5563</v>
      </c>
      <c r="B56" s="23" t="s">
        <v>5564</v>
      </c>
      <c r="C56" s="22">
        <f t="shared" si="1"/>
        <v>4</v>
      </c>
      <c r="D56" s="20">
        <v>1</v>
      </c>
      <c r="E56" s="22">
        <v>1</v>
      </c>
      <c r="F56" s="22">
        <v>1</v>
      </c>
      <c r="G56" s="22"/>
      <c r="H56" s="22"/>
      <c r="I56" s="22"/>
      <c r="J56" s="22"/>
      <c r="K56" s="22"/>
      <c r="L56" s="22"/>
      <c r="N56" s="20"/>
      <c r="O56" s="20"/>
      <c r="P56" s="22">
        <v>1</v>
      </c>
      <c r="Q56" s="22"/>
      <c r="R56" s="20"/>
      <c r="AA56" s="20"/>
    </row>
    <row r="57" spans="1:27">
      <c r="A57" s="23" t="s">
        <v>4604</v>
      </c>
      <c r="B57" s="23" t="s">
        <v>5565</v>
      </c>
      <c r="C57" s="22">
        <f t="shared" si="1"/>
        <v>4</v>
      </c>
      <c r="D57" s="20">
        <v>1</v>
      </c>
      <c r="E57" s="22">
        <v>1</v>
      </c>
      <c r="F57" s="22"/>
      <c r="G57" s="22">
        <v>1</v>
      </c>
      <c r="H57" s="22"/>
      <c r="I57" s="22"/>
      <c r="J57" s="22"/>
      <c r="K57" s="22"/>
      <c r="L57" s="22"/>
      <c r="N57" s="20"/>
      <c r="O57" s="20"/>
      <c r="P57" s="22">
        <v>1</v>
      </c>
      <c r="Q57" s="22"/>
      <c r="R57" s="20"/>
      <c r="AA57" s="20"/>
    </row>
    <row r="58" spans="1:27">
      <c r="A58" s="23" t="s">
        <v>4601</v>
      </c>
      <c r="B58" s="23" t="s">
        <v>5566</v>
      </c>
      <c r="C58" s="22">
        <f t="shared" si="1"/>
        <v>4</v>
      </c>
      <c r="D58" s="20">
        <v>1</v>
      </c>
      <c r="E58" s="22">
        <v>1</v>
      </c>
      <c r="F58" s="22"/>
      <c r="G58" s="22"/>
      <c r="H58" s="22">
        <v>1</v>
      </c>
      <c r="I58" s="22"/>
      <c r="J58" s="22"/>
      <c r="K58" s="22"/>
      <c r="L58" s="22"/>
      <c r="N58" s="20"/>
      <c r="O58" s="20"/>
      <c r="P58" s="22">
        <v>1</v>
      </c>
      <c r="Q58" s="22"/>
      <c r="R58" s="20"/>
      <c r="AA58" s="20"/>
    </row>
    <row r="59" spans="1:27">
      <c r="A59" s="23" t="s">
        <v>5567</v>
      </c>
      <c r="B59" s="23" t="s">
        <v>5568</v>
      </c>
      <c r="C59" s="22">
        <f t="shared" si="1"/>
        <v>4</v>
      </c>
      <c r="D59" s="20">
        <v>1</v>
      </c>
      <c r="E59" s="22">
        <v>1</v>
      </c>
      <c r="F59" s="22"/>
      <c r="G59" s="22"/>
      <c r="H59" s="22">
        <v>1</v>
      </c>
      <c r="I59" s="22"/>
      <c r="J59" s="22"/>
      <c r="K59" s="22"/>
      <c r="L59" s="22"/>
      <c r="N59" s="20"/>
      <c r="O59" s="20"/>
      <c r="P59" s="22">
        <v>1</v>
      </c>
      <c r="Q59" s="22"/>
      <c r="R59" s="20"/>
      <c r="AA59" s="20"/>
    </row>
    <row r="60" spans="1:27">
      <c r="A60" s="23" t="s">
        <v>4740</v>
      </c>
      <c r="B60" s="23" t="s">
        <v>5569</v>
      </c>
      <c r="C60" s="22">
        <f t="shared" si="1"/>
        <v>4</v>
      </c>
      <c r="D60" s="20">
        <v>1</v>
      </c>
      <c r="E60" s="22">
        <v>1</v>
      </c>
      <c r="F60" s="22"/>
      <c r="G60" s="22"/>
      <c r="H60" s="22">
        <v>1</v>
      </c>
      <c r="I60" s="22"/>
      <c r="J60" s="22"/>
      <c r="K60" s="22"/>
      <c r="L60" s="22"/>
      <c r="N60" s="20"/>
      <c r="O60" s="20"/>
      <c r="P60" s="22">
        <v>1</v>
      </c>
      <c r="Q60" s="22"/>
      <c r="R60" s="20"/>
      <c r="AA60" s="20"/>
    </row>
    <row r="61" spans="1:27">
      <c r="A61" s="23" t="s">
        <v>5029</v>
      </c>
      <c r="B61" s="23" t="s">
        <v>5570</v>
      </c>
      <c r="C61" s="22">
        <f t="shared" si="1"/>
        <v>4</v>
      </c>
      <c r="D61" s="20">
        <v>1</v>
      </c>
      <c r="E61" s="22">
        <v>1</v>
      </c>
      <c r="F61" s="22">
        <v>1</v>
      </c>
      <c r="G61" s="22"/>
      <c r="H61" s="22"/>
      <c r="I61" s="22"/>
      <c r="J61" s="22"/>
      <c r="K61" s="22"/>
      <c r="L61" s="22"/>
      <c r="N61" s="20"/>
      <c r="O61" s="20"/>
      <c r="P61" s="22">
        <v>1</v>
      </c>
      <c r="Q61" s="22"/>
      <c r="R61" s="20"/>
      <c r="AA61" s="20"/>
    </row>
    <row r="62" spans="1:27">
      <c r="A62" s="23" t="s">
        <v>5026</v>
      </c>
      <c r="B62" s="23" t="s">
        <v>5571</v>
      </c>
      <c r="C62" s="22">
        <f t="shared" si="1"/>
        <v>4</v>
      </c>
      <c r="D62" s="20">
        <v>1</v>
      </c>
      <c r="E62" s="22">
        <v>1</v>
      </c>
      <c r="F62" s="22"/>
      <c r="G62" s="22">
        <v>1</v>
      </c>
      <c r="H62" s="22"/>
      <c r="I62" s="22"/>
      <c r="J62" s="22"/>
      <c r="K62" s="22"/>
      <c r="L62" s="22"/>
      <c r="N62" s="20"/>
      <c r="O62" s="20"/>
      <c r="P62" s="22">
        <v>1</v>
      </c>
      <c r="Q62" s="22"/>
      <c r="R62" s="20"/>
      <c r="AA62" s="20"/>
    </row>
    <row r="63" spans="1:27">
      <c r="A63" s="23" t="s">
        <v>5572</v>
      </c>
      <c r="B63" s="23" t="s">
        <v>5573</v>
      </c>
      <c r="C63" s="22">
        <f t="shared" si="1"/>
        <v>4</v>
      </c>
      <c r="D63" s="20">
        <v>1</v>
      </c>
      <c r="E63" s="22">
        <v>1</v>
      </c>
      <c r="F63" s="22">
        <v>1</v>
      </c>
      <c r="G63" s="22"/>
      <c r="H63" s="22"/>
      <c r="I63" s="22"/>
      <c r="J63" s="22"/>
      <c r="K63" s="22"/>
      <c r="L63" s="22"/>
      <c r="N63" s="20"/>
      <c r="O63" s="20"/>
      <c r="P63" s="22"/>
      <c r="Q63" s="22">
        <v>1</v>
      </c>
      <c r="R63" s="20"/>
      <c r="AA63" s="20"/>
    </row>
    <row r="64" spans="1:27">
      <c r="A64" s="23" t="s">
        <v>4746</v>
      </c>
      <c r="B64" s="23" t="s">
        <v>5574</v>
      </c>
      <c r="C64" s="22">
        <f t="shared" si="1"/>
        <v>4</v>
      </c>
      <c r="D64" s="20">
        <v>1</v>
      </c>
      <c r="E64" s="22">
        <v>1</v>
      </c>
      <c r="F64" s="22">
        <v>1</v>
      </c>
      <c r="G64" s="22"/>
      <c r="H64" s="22"/>
      <c r="I64" s="22"/>
      <c r="J64" s="22"/>
      <c r="K64" s="22"/>
      <c r="L64" s="22"/>
      <c r="N64" s="20"/>
      <c r="O64" s="20"/>
      <c r="P64" s="22"/>
      <c r="Q64" s="22">
        <v>1</v>
      </c>
      <c r="R64" s="20"/>
      <c r="AA64" s="20"/>
    </row>
    <row r="65" spans="1:27">
      <c r="A65" s="23" t="s">
        <v>4480</v>
      </c>
      <c r="B65" s="23" t="s">
        <v>5575</v>
      </c>
      <c r="C65" s="22">
        <f t="shared" si="1"/>
        <v>4</v>
      </c>
      <c r="D65" s="20">
        <v>1</v>
      </c>
      <c r="E65" s="22">
        <v>1</v>
      </c>
      <c r="F65" s="22"/>
      <c r="G65" s="22">
        <v>1</v>
      </c>
      <c r="H65" s="22"/>
      <c r="I65" s="22"/>
      <c r="J65" s="22"/>
      <c r="K65" s="22"/>
      <c r="L65" s="22"/>
      <c r="N65" s="20"/>
      <c r="O65" s="20"/>
      <c r="P65" s="22"/>
      <c r="Q65" s="22">
        <v>1</v>
      </c>
      <c r="R65" s="20"/>
      <c r="AA65" s="20"/>
    </row>
    <row r="66" spans="1:27">
      <c r="A66" s="23" t="s">
        <v>4743</v>
      </c>
      <c r="B66" s="23" t="s">
        <v>5576</v>
      </c>
      <c r="C66" s="22">
        <f t="shared" si="1"/>
        <v>4</v>
      </c>
      <c r="D66" s="20">
        <v>1</v>
      </c>
      <c r="E66" s="22">
        <v>1</v>
      </c>
      <c r="F66" s="22"/>
      <c r="G66" s="22">
        <v>1</v>
      </c>
      <c r="H66" s="22"/>
      <c r="I66" s="22"/>
      <c r="J66" s="22"/>
      <c r="K66" s="22"/>
      <c r="L66" s="22"/>
      <c r="N66" s="20"/>
      <c r="O66" s="20"/>
      <c r="P66" s="22"/>
      <c r="Q66" s="22">
        <v>1</v>
      </c>
      <c r="R66" s="20"/>
      <c r="AA66" s="20"/>
    </row>
    <row r="67" spans="1:27">
      <c r="A67" s="23" t="s">
        <v>5577</v>
      </c>
      <c r="B67" s="23" t="s">
        <v>5578</v>
      </c>
      <c r="C67" s="22">
        <f t="shared" si="1"/>
        <v>4</v>
      </c>
      <c r="D67" s="20">
        <v>1</v>
      </c>
      <c r="E67" s="22">
        <v>1</v>
      </c>
      <c r="F67" s="22">
        <v>1</v>
      </c>
      <c r="G67" s="22"/>
      <c r="H67" s="22"/>
      <c r="I67" s="22"/>
      <c r="J67" s="22"/>
      <c r="K67" s="22"/>
      <c r="L67" s="22"/>
      <c r="N67" s="20"/>
      <c r="O67" s="20"/>
      <c r="P67" s="22"/>
      <c r="Q67" s="22">
        <v>1</v>
      </c>
      <c r="R67" s="20"/>
      <c r="AA67" s="20"/>
    </row>
    <row r="68" spans="1:27">
      <c r="A68" s="23" t="s">
        <v>4785</v>
      </c>
      <c r="B68" s="23" t="s">
        <v>5579</v>
      </c>
      <c r="C68" s="22">
        <f t="shared" ref="C68:C73" si="2">SUM(D68:AI68)</f>
        <v>4</v>
      </c>
      <c r="D68" s="20">
        <v>1</v>
      </c>
      <c r="E68" s="22">
        <v>1</v>
      </c>
      <c r="F68" s="22">
        <v>1</v>
      </c>
      <c r="G68" s="22"/>
      <c r="H68" s="22"/>
      <c r="I68" s="22"/>
      <c r="J68" s="22"/>
      <c r="K68" s="22"/>
      <c r="L68" s="22"/>
      <c r="N68" s="20"/>
      <c r="O68" s="20"/>
      <c r="P68" s="22"/>
      <c r="Q68" s="22">
        <v>1</v>
      </c>
      <c r="R68" s="20"/>
      <c r="AA68" s="20"/>
    </row>
    <row r="69" spans="1:27">
      <c r="A69" s="23" t="s">
        <v>4487</v>
      </c>
      <c r="B69" s="23" t="s">
        <v>5580</v>
      </c>
      <c r="C69" s="22">
        <f t="shared" si="2"/>
        <v>4</v>
      </c>
      <c r="D69" s="20">
        <v>1</v>
      </c>
      <c r="E69" s="22">
        <v>1</v>
      </c>
      <c r="F69" s="22"/>
      <c r="G69" s="22">
        <v>1</v>
      </c>
      <c r="H69" s="22"/>
      <c r="I69" s="22"/>
      <c r="J69" s="22"/>
      <c r="K69" s="22"/>
      <c r="L69" s="22"/>
      <c r="N69" s="20"/>
      <c r="O69" s="20"/>
      <c r="P69" s="22"/>
      <c r="Q69" s="22">
        <v>1</v>
      </c>
      <c r="R69" s="20"/>
      <c r="AA69" s="20"/>
    </row>
    <row r="70" spans="1:27">
      <c r="A70" s="23" t="s">
        <v>4749</v>
      </c>
      <c r="B70" s="23" t="s">
        <v>5581</v>
      </c>
      <c r="C70" s="22">
        <f t="shared" si="2"/>
        <v>4</v>
      </c>
      <c r="D70" s="20">
        <v>1</v>
      </c>
      <c r="E70" s="22">
        <v>1</v>
      </c>
      <c r="F70" s="22"/>
      <c r="G70" s="22">
        <v>1</v>
      </c>
      <c r="H70" s="22"/>
      <c r="I70" s="22"/>
      <c r="J70" s="22"/>
      <c r="K70" s="22"/>
      <c r="L70" s="22"/>
      <c r="N70" s="20"/>
      <c r="O70" s="20"/>
      <c r="P70" s="22"/>
      <c r="Q70" s="22">
        <v>1</v>
      </c>
      <c r="R70" s="20"/>
      <c r="AA70" s="20"/>
    </row>
    <row r="71" spans="1:27">
      <c r="A71" s="23" t="s">
        <v>4552</v>
      </c>
      <c r="B71" s="23" t="s">
        <v>5582</v>
      </c>
      <c r="C71" s="22">
        <f t="shared" si="2"/>
        <v>4</v>
      </c>
      <c r="D71" s="20">
        <v>1</v>
      </c>
      <c r="E71" s="22">
        <v>1</v>
      </c>
      <c r="F71" s="22"/>
      <c r="G71" s="22"/>
      <c r="H71" s="22">
        <v>1</v>
      </c>
      <c r="I71" s="22"/>
      <c r="J71" s="22"/>
      <c r="K71" s="22"/>
      <c r="L71" s="22"/>
      <c r="N71" s="20"/>
      <c r="O71" s="20"/>
      <c r="P71" s="22"/>
      <c r="Q71" s="22">
        <v>1</v>
      </c>
      <c r="R71" s="20"/>
      <c r="AA71" s="20"/>
    </row>
    <row r="72" spans="1:27">
      <c r="A72" s="23" t="s">
        <v>5583</v>
      </c>
      <c r="B72" s="23" t="s">
        <v>5584</v>
      </c>
      <c r="C72" s="22">
        <f t="shared" si="2"/>
        <v>4</v>
      </c>
      <c r="D72" s="20">
        <v>1</v>
      </c>
      <c r="E72" s="22">
        <v>1</v>
      </c>
      <c r="F72" s="22"/>
      <c r="G72" s="22"/>
      <c r="H72" s="22">
        <v>1</v>
      </c>
      <c r="I72" s="22"/>
      <c r="J72" s="22"/>
      <c r="K72" s="22"/>
      <c r="L72" s="22"/>
      <c r="N72" s="20"/>
      <c r="O72" s="20"/>
      <c r="P72" s="22"/>
      <c r="Q72" s="22">
        <v>1</v>
      </c>
      <c r="R72" s="20"/>
      <c r="AA72" s="20"/>
    </row>
    <row r="73" spans="1:27">
      <c r="A73" s="23" t="s">
        <v>4737</v>
      </c>
      <c r="B73" s="23" t="s">
        <v>5585</v>
      </c>
      <c r="C73" s="22">
        <f t="shared" si="2"/>
        <v>4</v>
      </c>
      <c r="D73" s="20">
        <v>1</v>
      </c>
      <c r="E73" s="22">
        <v>1</v>
      </c>
      <c r="F73" s="22"/>
      <c r="G73" s="22"/>
      <c r="H73" s="22">
        <v>1</v>
      </c>
      <c r="I73" s="22"/>
      <c r="J73" s="22"/>
      <c r="K73" s="22"/>
      <c r="L73" s="22"/>
      <c r="N73" s="20"/>
      <c r="O73" s="20"/>
      <c r="P73" s="22"/>
      <c r="Q73" s="22">
        <v>1</v>
      </c>
      <c r="R73" s="20"/>
      <c r="AA73" s="20"/>
    </row>
    <row r="74" spans="1:27">
      <c r="A74" s="23" t="s">
        <v>5586</v>
      </c>
      <c r="B74" s="23" t="s">
        <v>5587</v>
      </c>
      <c r="C74" s="22">
        <f t="shared" ref="C74:C137" si="3">SUM(D74:AI74)</f>
        <v>4</v>
      </c>
      <c r="D74" s="20">
        <v>1</v>
      </c>
      <c r="E74" s="22">
        <v>1</v>
      </c>
      <c r="F74" s="22">
        <v>1</v>
      </c>
      <c r="G74" s="22"/>
      <c r="H74" s="22"/>
      <c r="I74" s="22"/>
      <c r="J74" s="22"/>
      <c r="K74" s="22"/>
      <c r="L74" s="22"/>
      <c r="N74" s="20"/>
      <c r="O74" s="20"/>
      <c r="P74" s="22"/>
      <c r="Q74" s="22">
        <v>1</v>
      </c>
      <c r="R74" s="20"/>
      <c r="AA74" s="20"/>
    </row>
    <row r="75" spans="1:27">
      <c r="A75" s="23" t="s">
        <v>4804</v>
      </c>
      <c r="B75" s="23" t="s">
        <v>5588</v>
      </c>
      <c r="C75" s="22">
        <f t="shared" si="3"/>
        <v>4</v>
      </c>
      <c r="D75" s="20">
        <v>1</v>
      </c>
      <c r="E75" s="22">
        <v>1</v>
      </c>
      <c r="F75" s="22">
        <v>1</v>
      </c>
      <c r="G75" s="22"/>
      <c r="H75" s="22"/>
      <c r="I75" s="22"/>
      <c r="J75" s="22"/>
      <c r="K75" s="22"/>
      <c r="L75" s="22"/>
      <c r="N75" s="20"/>
      <c r="O75" s="20"/>
      <c r="P75" s="22"/>
      <c r="Q75" s="22">
        <v>1</v>
      </c>
      <c r="R75" s="20"/>
      <c r="AA75" s="20"/>
    </row>
    <row r="76" spans="1:27">
      <c r="A76" s="23" t="s">
        <v>4352</v>
      </c>
      <c r="B76" s="23" t="s">
        <v>5589</v>
      </c>
      <c r="C76" s="22">
        <f t="shared" si="3"/>
        <v>4</v>
      </c>
      <c r="D76" s="20">
        <v>1</v>
      </c>
      <c r="E76" s="22">
        <v>1</v>
      </c>
      <c r="F76" s="22"/>
      <c r="G76" s="22">
        <v>1</v>
      </c>
      <c r="H76" s="22"/>
      <c r="I76" s="22"/>
      <c r="J76" s="22"/>
      <c r="K76" s="22"/>
      <c r="L76" s="22"/>
      <c r="N76" s="20"/>
      <c r="O76" s="20"/>
      <c r="P76" s="22"/>
      <c r="Q76" s="22">
        <v>1</v>
      </c>
      <c r="R76" s="20"/>
      <c r="AA76" s="20"/>
    </row>
    <row r="77" spans="1:27">
      <c r="A77" s="23" t="s">
        <v>4801</v>
      </c>
      <c r="B77" s="23" t="s">
        <v>5590</v>
      </c>
      <c r="C77" s="22">
        <f t="shared" si="3"/>
        <v>4</v>
      </c>
      <c r="D77" s="20">
        <v>1</v>
      </c>
      <c r="E77" s="22">
        <v>1</v>
      </c>
      <c r="F77" s="22"/>
      <c r="G77" s="22">
        <v>1</v>
      </c>
      <c r="H77" s="22"/>
      <c r="I77" s="22"/>
      <c r="J77" s="22"/>
      <c r="K77" s="22"/>
      <c r="L77" s="22"/>
      <c r="N77" s="20"/>
      <c r="O77" s="20"/>
      <c r="P77" s="22"/>
      <c r="Q77" s="22">
        <v>1</v>
      </c>
      <c r="R77" s="20"/>
      <c r="AA77" s="20"/>
    </row>
    <row r="78" spans="1:27">
      <c r="A78" s="23" t="s">
        <v>4588</v>
      </c>
      <c r="B78" s="23" t="s">
        <v>5591</v>
      </c>
      <c r="C78" s="22">
        <f t="shared" si="3"/>
        <v>4</v>
      </c>
      <c r="D78" s="20">
        <v>1</v>
      </c>
      <c r="E78" s="22">
        <v>1</v>
      </c>
      <c r="F78" s="22"/>
      <c r="G78" s="22"/>
      <c r="H78" s="22">
        <v>1</v>
      </c>
      <c r="I78" s="22"/>
      <c r="J78" s="22"/>
      <c r="K78" s="22"/>
      <c r="L78" s="22"/>
      <c r="N78" s="20"/>
      <c r="O78" s="20"/>
      <c r="P78" s="22"/>
      <c r="Q78" s="22">
        <v>1</v>
      </c>
      <c r="R78" s="20"/>
      <c r="AA78" s="20"/>
    </row>
    <row r="79" spans="1:27">
      <c r="A79" s="23" t="s">
        <v>5592</v>
      </c>
      <c r="B79" s="23" t="s">
        <v>5593</v>
      </c>
      <c r="C79" s="22">
        <f t="shared" si="3"/>
        <v>4</v>
      </c>
      <c r="D79" s="20">
        <v>1</v>
      </c>
      <c r="E79" s="22">
        <v>1</v>
      </c>
      <c r="F79" s="22">
        <v>1</v>
      </c>
      <c r="G79" s="22"/>
      <c r="H79" s="22"/>
      <c r="I79" s="22"/>
      <c r="J79" s="22"/>
      <c r="K79" s="22"/>
      <c r="L79" s="22"/>
      <c r="N79" s="20"/>
      <c r="O79" s="20"/>
      <c r="P79" s="22"/>
      <c r="Q79" s="22">
        <v>1</v>
      </c>
      <c r="R79" s="20"/>
      <c r="AA79" s="20"/>
    </row>
    <row r="80" spans="1:27">
      <c r="A80" s="23" t="s">
        <v>4810</v>
      </c>
      <c r="B80" s="23" t="s">
        <v>5594</v>
      </c>
      <c r="C80" s="22">
        <f t="shared" si="3"/>
        <v>4</v>
      </c>
      <c r="D80" s="20">
        <v>1</v>
      </c>
      <c r="E80" s="22">
        <v>1</v>
      </c>
      <c r="F80" s="22">
        <v>1</v>
      </c>
      <c r="G80" s="22"/>
      <c r="H80" s="22"/>
      <c r="I80" s="22"/>
      <c r="J80" s="22"/>
      <c r="K80" s="22"/>
      <c r="L80" s="22"/>
      <c r="N80" s="20"/>
      <c r="O80" s="20"/>
      <c r="P80" s="22"/>
      <c r="Q80" s="22">
        <v>1</v>
      </c>
      <c r="R80" s="20"/>
      <c r="AA80" s="20"/>
    </row>
    <row r="81" spans="1:27">
      <c r="A81" s="23" t="s">
        <v>4653</v>
      </c>
      <c r="B81" s="23" t="s">
        <v>5595</v>
      </c>
      <c r="C81" s="22">
        <f t="shared" si="3"/>
        <v>4</v>
      </c>
      <c r="D81" s="20">
        <v>1</v>
      </c>
      <c r="E81" s="22">
        <v>1</v>
      </c>
      <c r="F81" s="22"/>
      <c r="G81" s="22">
        <v>1</v>
      </c>
      <c r="H81" s="22"/>
      <c r="I81" s="22"/>
      <c r="J81" s="22"/>
      <c r="K81" s="22"/>
      <c r="L81" s="22"/>
      <c r="N81" s="20"/>
      <c r="O81" s="20"/>
      <c r="P81" s="22"/>
      <c r="Q81" s="22">
        <v>1</v>
      </c>
      <c r="R81" s="20"/>
      <c r="AA81" s="20"/>
    </row>
    <row r="82" spans="1:27">
      <c r="A82" s="23" t="s">
        <v>4813</v>
      </c>
      <c r="B82" s="23" t="s">
        <v>5596</v>
      </c>
      <c r="C82" s="22">
        <f t="shared" si="3"/>
        <v>4</v>
      </c>
      <c r="D82" s="20">
        <v>1</v>
      </c>
      <c r="E82" s="22">
        <v>1</v>
      </c>
      <c r="F82" s="22"/>
      <c r="G82" s="22">
        <v>1</v>
      </c>
      <c r="H82" s="22"/>
      <c r="I82" s="22"/>
      <c r="J82" s="22"/>
      <c r="K82" s="22"/>
      <c r="L82" s="22"/>
      <c r="N82" s="20"/>
      <c r="O82" s="20"/>
      <c r="P82" s="22"/>
      <c r="Q82" s="22">
        <v>1</v>
      </c>
      <c r="R82" s="20"/>
      <c r="AA82" s="20"/>
    </row>
    <row r="83" spans="1:27">
      <c r="A83" s="23" t="s">
        <v>5598</v>
      </c>
      <c r="B83" s="23" t="s">
        <v>5599</v>
      </c>
      <c r="C83" s="22">
        <f t="shared" si="3"/>
        <v>5</v>
      </c>
      <c r="D83" s="20">
        <v>1</v>
      </c>
      <c r="E83" s="22">
        <v>1</v>
      </c>
      <c r="F83" s="22">
        <v>1</v>
      </c>
      <c r="G83" s="22"/>
      <c r="H83" s="22"/>
      <c r="I83" s="22"/>
      <c r="J83" s="22"/>
      <c r="K83" s="22"/>
      <c r="L83" s="22"/>
      <c r="N83" s="20"/>
      <c r="O83" s="20"/>
      <c r="P83" s="22">
        <v>1</v>
      </c>
      <c r="Q83" s="22">
        <v>1</v>
      </c>
      <c r="R83" s="20"/>
      <c r="AA83" s="20"/>
    </row>
    <row r="84" spans="1:27">
      <c r="A84" s="23" t="s">
        <v>4662</v>
      </c>
      <c r="B84" s="23" t="s">
        <v>5597</v>
      </c>
      <c r="C84" s="22">
        <f t="shared" si="3"/>
        <v>4</v>
      </c>
      <c r="D84" s="20">
        <v>1</v>
      </c>
      <c r="E84" s="22">
        <v>1</v>
      </c>
      <c r="F84" s="22"/>
      <c r="G84" s="22"/>
      <c r="H84" s="22">
        <v>1</v>
      </c>
      <c r="I84" s="22"/>
      <c r="J84" s="22"/>
      <c r="K84" s="22"/>
      <c r="L84" s="22"/>
      <c r="N84" s="20"/>
      <c r="O84" s="20"/>
      <c r="P84" s="22"/>
      <c r="Q84" s="22">
        <v>1</v>
      </c>
      <c r="R84" s="20"/>
      <c r="AA84" s="20"/>
    </row>
    <row r="85" spans="1:27">
      <c r="A85" s="23" t="s">
        <v>5600</v>
      </c>
      <c r="B85" s="23" t="s">
        <v>5605</v>
      </c>
      <c r="C85" s="22">
        <f t="shared" si="3"/>
        <v>5</v>
      </c>
      <c r="D85" s="20">
        <v>1</v>
      </c>
      <c r="E85" s="22">
        <v>1</v>
      </c>
      <c r="F85" s="22">
        <v>1</v>
      </c>
      <c r="G85" s="22"/>
      <c r="H85" s="22"/>
      <c r="I85" s="22"/>
      <c r="J85" s="22"/>
      <c r="K85" s="22"/>
      <c r="L85" s="22"/>
      <c r="N85" s="20"/>
      <c r="O85" s="20"/>
      <c r="P85" s="22">
        <v>1</v>
      </c>
      <c r="Q85" s="22">
        <v>1</v>
      </c>
      <c r="R85" s="20"/>
      <c r="AA85" s="20"/>
    </row>
    <row r="86" spans="1:27">
      <c r="A86" s="23" t="s">
        <v>4818</v>
      </c>
      <c r="B86" s="23" t="s">
        <v>5604</v>
      </c>
      <c r="C86" s="22">
        <f t="shared" si="3"/>
        <v>5</v>
      </c>
      <c r="D86" s="20">
        <v>1</v>
      </c>
      <c r="E86" s="22">
        <v>1</v>
      </c>
      <c r="F86" s="22">
        <v>1</v>
      </c>
      <c r="G86" s="22"/>
      <c r="H86" s="22"/>
      <c r="I86" s="22"/>
      <c r="J86" s="22"/>
      <c r="K86" s="22"/>
      <c r="L86" s="22"/>
      <c r="N86" s="20"/>
      <c r="O86" s="20"/>
      <c r="P86" s="22">
        <v>1</v>
      </c>
      <c r="Q86" s="22">
        <v>1</v>
      </c>
      <c r="R86" s="20"/>
      <c r="AA86" s="20"/>
    </row>
    <row r="87" spans="1:27">
      <c r="A87" s="23" t="s">
        <v>4430</v>
      </c>
      <c r="B87" s="23" t="s">
        <v>5601</v>
      </c>
      <c r="C87" s="22">
        <f t="shared" si="3"/>
        <v>4</v>
      </c>
      <c r="D87" s="20">
        <v>1</v>
      </c>
      <c r="E87" s="22">
        <v>1</v>
      </c>
      <c r="F87" s="22">
        <v>1</v>
      </c>
      <c r="G87" s="22"/>
      <c r="H87" s="22"/>
      <c r="I87" s="22"/>
      <c r="J87" s="22"/>
      <c r="K87" s="22"/>
      <c r="L87" s="22"/>
      <c r="N87" s="20"/>
      <c r="O87" s="20"/>
      <c r="P87" s="22"/>
      <c r="Q87" s="22">
        <v>1</v>
      </c>
      <c r="R87" s="20"/>
      <c r="AA87" s="20"/>
    </row>
    <row r="88" spans="1:27">
      <c r="A88" s="23" t="s">
        <v>4665</v>
      </c>
      <c r="B88" s="23" t="s">
        <v>5602</v>
      </c>
      <c r="C88" s="22">
        <f t="shared" si="3"/>
        <v>4</v>
      </c>
      <c r="D88" s="20">
        <v>1</v>
      </c>
      <c r="E88" s="22">
        <v>1</v>
      </c>
      <c r="F88" s="22"/>
      <c r="G88" s="22">
        <v>1</v>
      </c>
      <c r="H88" s="22"/>
      <c r="I88" s="22"/>
      <c r="J88" s="22"/>
      <c r="K88" s="22"/>
      <c r="L88" s="22"/>
      <c r="N88" s="20"/>
      <c r="O88" s="20"/>
      <c r="P88" s="22"/>
      <c r="Q88" s="22">
        <v>1</v>
      </c>
      <c r="R88" s="20"/>
      <c r="AA88" s="20"/>
    </row>
    <row r="89" spans="1:27">
      <c r="A89" s="23" t="s">
        <v>4976</v>
      </c>
      <c r="B89" s="23" t="s">
        <v>5603</v>
      </c>
      <c r="C89" s="22">
        <f t="shared" si="3"/>
        <v>4</v>
      </c>
      <c r="D89" s="20">
        <v>1</v>
      </c>
      <c r="E89" s="22">
        <v>1</v>
      </c>
      <c r="F89" s="22"/>
      <c r="G89" s="22">
        <v>1</v>
      </c>
      <c r="H89" s="22"/>
      <c r="I89" s="22"/>
      <c r="J89" s="22"/>
      <c r="K89" s="22"/>
      <c r="L89" s="22"/>
      <c r="N89" s="20"/>
      <c r="O89" s="20"/>
      <c r="P89" s="22"/>
      <c r="Q89" s="22">
        <v>1</v>
      </c>
      <c r="R89" s="20"/>
      <c r="AA89" s="20"/>
    </row>
    <row r="90" spans="1:27">
      <c r="A90" s="23" t="s">
        <v>5699</v>
      </c>
      <c r="B90" s="23" t="s">
        <v>5700</v>
      </c>
      <c r="C90" s="22">
        <f t="shared" si="3"/>
        <v>6</v>
      </c>
      <c r="D90" s="20">
        <v>1</v>
      </c>
      <c r="E90" s="22">
        <v>1</v>
      </c>
      <c r="F90" s="22">
        <v>1</v>
      </c>
      <c r="G90" s="22"/>
      <c r="H90" s="22"/>
      <c r="I90" s="22"/>
      <c r="J90" s="22"/>
      <c r="K90" s="22"/>
      <c r="L90" s="22"/>
      <c r="N90" s="20"/>
      <c r="O90" s="20"/>
      <c r="P90" s="22">
        <v>1</v>
      </c>
      <c r="Q90" s="22">
        <v>1</v>
      </c>
      <c r="R90" s="20">
        <v>1</v>
      </c>
      <c r="AA90" s="20"/>
    </row>
    <row r="91" spans="1:27">
      <c r="A91" s="23" t="s">
        <v>5607</v>
      </c>
      <c r="B91" s="23" t="s">
        <v>5608</v>
      </c>
      <c r="C91" s="22">
        <f t="shared" si="3"/>
        <v>6</v>
      </c>
      <c r="D91" s="20">
        <v>1</v>
      </c>
      <c r="E91" s="22"/>
      <c r="F91" s="22"/>
      <c r="G91" s="22"/>
      <c r="H91" s="22"/>
      <c r="I91" s="22">
        <v>1</v>
      </c>
      <c r="J91" s="22"/>
      <c r="K91" s="22"/>
      <c r="L91" s="22">
        <v>1</v>
      </c>
      <c r="M91" s="20">
        <v>1</v>
      </c>
      <c r="N91" s="20">
        <v>1</v>
      </c>
      <c r="O91" s="20"/>
      <c r="P91" s="22">
        <v>1</v>
      </c>
      <c r="Q91" s="22"/>
      <c r="R91" s="20"/>
      <c r="AA91" s="20"/>
    </row>
    <row r="92" spans="1:27">
      <c r="A92" s="23" t="s">
        <v>5637</v>
      </c>
      <c r="B92" s="23" t="s">
        <v>5638</v>
      </c>
      <c r="C92" s="22">
        <f t="shared" si="3"/>
        <v>3</v>
      </c>
      <c r="D92" s="20">
        <v>1</v>
      </c>
      <c r="E92" s="22"/>
      <c r="F92" s="22"/>
      <c r="G92" s="22"/>
      <c r="H92" s="22"/>
      <c r="I92" s="22"/>
      <c r="J92" s="22"/>
      <c r="K92" s="22"/>
      <c r="L92" s="22"/>
      <c r="M92" s="20">
        <v>1</v>
      </c>
      <c r="N92" s="20"/>
      <c r="O92" s="20">
        <v>1</v>
      </c>
      <c r="P92" s="22"/>
      <c r="Q92" s="22"/>
      <c r="R92" s="20"/>
      <c r="AA92" s="20"/>
    </row>
    <row r="93" spans="1:27">
      <c r="A93" s="23" t="s">
        <v>4763</v>
      </c>
      <c r="B93" s="23" t="s">
        <v>5639</v>
      </c>
      <c r="C93" s="22">
        <f t="shared" si="3"/>
        <v>4</v>
      </c>
      <c r="D93" s="20">
        <v>1</v>
      </c>
      <c r="E93" s="22"/>
      <c r="F93" s="22"/>
      <c r="G93" s="22"/>
      <c r="H93" s="22"/>
      <c r="I93" s="22"/>
      <c r="J93" s="22"/>
      <c r="K93" s="22"/>
      <c r="L93" s="22"/>
      <c r="M93" s="20">
        <v>1</v>
      </c>
      <c r="N93" s="20">
        <v>1</v>
      </c>
      <c r="O93" s="20">
        <v>1</v>
      </c>
      <c r="P93" s="22"/>
      <c r="Q93" s="22"/>
      <c r="R93" s="20"/>
      <c r="AA93" s="20"/>
    </row>
    <row r="94" spans="1:27">
      <c r="A94" s="23" t="s">
        <v>5092</v>
      </c>
      <c r="B94" s="23" t="s">
        <v>5640</v>
      </c>
      <c r="C94" s="22">
        <f t="shared" si="3"/>
        <v>3</v>
      </c>
      <c r="D94" s="20">
        <v>1</v>
      </c>
      <c r="E94" s="22"/>
      <c r="F94" s="22"/>
      <c r="G94" s="22"/>
      <c r="H94" s="22"/>
      <c r="I94" s="22"/>
      <c r="J94" s="22"/>
      <c r="K94" s="22"/>
      <c r="L94" s="22"/>
      <c r="M94" s="20">
        <v>1</v>
      </c>
      <c r="N94" s="20"/>
      <c r="O94" s="20">
        <v>1</v>
      </c>
      <c r="P94" s="22"/>
      <c r="Q94" s="22"/>
      <c r="R94" s="20"/>
      <c r="AA94" s="20"/>
    </row>
    <row r="95" spans="1:27">
      <c r="A95" s="23" t="s">
        <v>5150</v>
      </c>
      <c r="B95" s="23" t="s">
        <v>5641</v>
      </c>
      <c r="C95" s="22">
        <f t="shared" si="3"/>
        <v>3</v>
      </c>
      <c r="D95" s="20">
        <v>1</v>
      </c>
      <c r="E95" s="22"/>
      <c r="F95" s="22"/>
      <c r="G95" s="22"/>
      <c r="H95" s="22"/>
      <c r="I95" s="22"/>
      <c r="J95" s="22"/>
      <c r="K95" s="22"/>
      <c r="L95" s="22"/>
      <c r="M95" s="20">
        <v>1</v>
      </c>
      <c r="N95" s="20"/>
      <c r="O95" s="20">
        <v>1</v>
      </c>
      <c r="P95" s="22"/>
      <c r="Q95" s="22"/>
      <c r="R95" s="20"/>
      <c r="AA95" s="20"/>
    </row>
    <row r="96" spans="1:27">
      <c r="A96" s="23" t="s">
        <v>5148</v>
      </c>
      <c r="B96" s="23" t="s">
        <v>5642</v>
      </c>
      <c r="C96" s="22">
        <f t="shared" si="3"/>
        <v>4</v>
      </c>
      <c r="D96" s="20">
        <v>1</v>
      </c>
      <c r="E96" s="22"/>
      <c r="F96" s="22"/>
      <c r="G96" s="22"/>
      <c r="H96" s="22"/>
      <c r="I96" s="22"/>
      <c r="J96" s="22"/>
      <c r="K96" s="22"/>
      <c r="L96" s="22"/>
      <c r="M96" s="20">
        <v>1</v>
      </c>
      <c r="N96" s="20">
        <v>1</v>
      </c>
      <c r="O96" s="20">
        <v>1</v>
      </c>
      <c r="P96" s="22"/>
      <c r="Q96" s="22"/>
      <c r="R96" s="20"/>
      <c r="AA96" s="20"/>
    </row>
    <row r="97" spans="1:27">
      <c r="A97" s="23" t="s">
        <v>4986</v>
      </c>
      <c r="B97" s="23" t="s">
        <v>5643</v>
      </c>
      <c r="C97" s="22">
        <f t="shared" si="3"/>
        <v>3</v>
      </c>
      <c r="D97" s="20">
        <v>1</v>
      </c>
      <c r="E97" s="22"/>
      <c r="F97" s="22"/>
      <c r="G97" s="22"/>
      <c r="H97" s="22"/>
      <c r="I97" s="22"/>
      <c r="J97" s="22"/>
      <c r="K97" s="22"/>
      <c r="L97" s="22"/>
      <c r="M97" s="20">
        <v>1</v>
      </c>
      <c r="N97" s="20"/>
      <c r="O97" s="20">
        <v>1</v>
      </c>
      <c r="P97" s="22"/>
      <c r="Q97" s="22"/>
      <c r="R97" s="20"/>
      <c r="AA97" s="20"/>
    </row>
    <row r="98" spans="1:27">
      <c r="A98" s="23" t="s">
        <v>4983</v>
      </c>
      <c r="B98" s="23" t="s">
        <v>5644</v>
      </c>
      <c r="C98" s="22">
        <f t="shared" si="3"/>
        <v>4</v>
      </c>
      <c r="D98" s="20">
        <v>1</v>
      </c>
      <c r="E98" s="22"/>
      <c r="F98" s="22"/>
      <c r="G98" s="22"/>
      <c r="H98" s="22"/>
      <c r="I98" s="22"/>
      <c r="J98" s="22"/>
      <c r="K98" s="22"/>
      <c r="L98" s="22"/>
      <c r="M98" s="20">
        <v>1</v>
      </c>
      <c r="N98" s="20">
        <v>1</v>
      </c>
      <c r="O98" s="20">
        <v>1</v>
      </c>
      <c r="P98" s="22"/>
      <c r="Q98" s="22"/>
      <c r="R98" s="20"/>
      <c r="AA98" s="20"/>
    </row>
    <row r="99" spans="1:27">
      <c r="A99" s="23" t="s">
        <v>5646</v>
      </c>
      <c r="B99" s="23" t="s">
        <v>5645</v>
      </c>
      <c r="C99" s="22">
        <f t="shared" si="3"/>
        <v>3</v>
      </c>
      <c r="D99" s="20">
        <v>1</v>
      </c>
      <c r="E99" s="22"/>
      <c r="F99" s="22"/>
      <c r="G99" s="22"/>
      <c r="H99" s="22"/>
      <c r="I99" s="22"/>
      <c r="J99" s="22"/>
      <c r="K99" s="22"/>
      <c r="L99" s="22"/>
      <c r="M99" s="20">
        <v>1</v>
      </c>
      <c r="N99" s="20"/>
      <c r="O99" s="20">
        <v>1</v>
      </c>
      <c r="P99" s="22"/>
      <c r="Q99" s="22"/>
      <c r="R99" s="20"/>
      <c r="AA99" s="20"/>
    </row>
    <row r="100" spans="1:27">
      <c r="A100" s="23" t="s">
        <v>5042</v>
      </c>
      <c r="B100" s="23" t="s">
        <v>5647</v>
      </c>
      <c r="C100" s="22">
        <f t="shared" si="3"/>
        <v>3</v>
      </c>
      <c r="D100" s="20">
        <v>1</v>
      </c>
      <c r="E100" s="22"/>
      <c r="F100" s="22"/>
      <c r="G100" s="22"/>
      <c r="H100" s="22"/>
      <c r="I100" s="22"/>
      <c r="J100" s="22"/>
      <c r="K100" s="22"/>
      <c r="L100" s="22"/>
      <c r="M100" s="20">
        <v>1</v>
      </c>
      <c r="N100" s="20"/>
      <c r="O100" s="20">
        <v>1</v>
      </c>
      <c r="P100" s="22"/>
      <c r="Q100" s="22"/>
      <c r="R100" s="20"/>
      <c r="AA100" s="20"/>
    </row>
    <row r="101" spans="1:27">
      <c r="A101" s="23" t="s">
        <v>5039</v>
      </c>
      <c r="B101" s="23" t="s">
        <v>5648</v>
      </c>
      <c r="C101" s="22">
        <f t="shared" si="3"/>
        <v>3</v>
      </c>
      <c r="D101" s="20">
        <v>1</v>
      </c>
      <c r="E101" s="22"/>
      <c r="F101" s="22"/>
      <c r="G101" s="22"/>
      <c r="H101" s="22"/>
      <c r="I101" s="22"/>
      <c r="J101" s="22"/>
      <c r="K101" s="22"/>
      <c r="L101" s="22"/>
      <c r="M101" s="20">
        <v>1</v>
      </c>
      <c r="N101" s="20"/>
      <c r="O101" s="20">
        <v>1</v>
      </c>
      <c r="P101" s="22"/>
      <c r="Q101" s="22"/>
      <c r="R101" s="20"/>
      <c r="AA101" s="20"/>
    </row>
    <row r="102" spans="1:27">
      <c r="A102" s="23" t="s">
        <v>5649</v>
      </c>
      <c r="B102" s="23" t="s">
        <v>5650</v>
      </c>
      <c r="C102" s="22">
        <f t="shared" si="3"/>
        <v>3</v>
      </c>
      <c r="D102" s="20">
        <v>1</v>
      </c>
      <c r="E102" s="22"/>
      <c r="F102" s="22"/>
      <c r="G102" s="22"/>
      <c r="H102" s="22"/>
      <c r="I102" s="22"/>
      <c r="J102" s="22"/>
      <c r="K102" s="22"/>
      <c r="L102" s="22"/>
      <c r="M102" s="20">
        <v>1</v>
      </c>
      <c r="N102" s="20">
        <v>1</v>
      </c>
      <c r="O102" s="20"/>
      <c r="P102" s="22"/>
      <c r="Q102" s="22"/>
      <c r="R102" s="20"/>
      <c r="AA102" s="20"/>
    </row>
    <row r="103" spans="1:27">
      <c r="A103" s="23" t="s">
        <v>5085</v>
      </c>
      <c r="B103" s="23" t="s">
        <v>5651</v>
      </c>
      <c r="C103" s="22">
        <f t="shared" si="3"/>
        <v>3</v>
      </c>
      <c r="D103" s="20">
        <v>1</v>
      </c>
      <c r="E103" s="22"/>
      <c r="F103" s="22"/>
      <c r="G103" s="22"/>
      <c r="H103" s="22"/>
      <c r="I103" s="22"/>
      <c r="J103" s="22"/>
      <c r="K103" s="22"/>
      <c r="L103" s="22"/>
      <c r="M103" s="20">
        <v>1</v>
      </c>
      <c r="N103" s="20">
        <v>1</v>
      </c>
      <c r="O103" s="20"/>
      <c r="P103" s="22"/>
      <c r="Q103" s="22"/>
      <c r="R103" s="20"/>
      <c r="AA103" s="20"/>
    </row>
    <row r="104" spans="1:27">
      <c r="A104" s="23" t="s">
        <v>5171</v>
      </c>
      <c r="B104" s="23" t="s">
        <v>5652</v>
      </c>
      <c r="C104" s="22">
        <f t="shared" si="3"/>
        <v>3</v>
      </c>
      <c r="D104" s="20">
        <v>1</v>
      </c>
      <c r="E104" s="22"/>
      <c r="F104" s="22"/>
      <c r="G104" s="22"/>
      <c r="H104" s="22"/>
      <c r="I104" s="22"/>
      <c r="J104" s="22"/>
      <c r="K104" s="22"/>
      <c r="L104" s="22"/>
      <c r="M104" s="20">
        <v>1</v>
      </c>
      <c r="N104" s="20">
        <v>1</v>
      </c>
      <c r="O104" s="20"/>
      <c r="P104" s="22"/>
      <c r="Q104" s="22"/>
      <c r="R104" s="20"/>
      <c r="AA104" s="20"/>
    </row>
    <row r="105" spans="1:27">
      <c r="A105" s="23" t="s">
        <v>4989</v>
      </c>
      <c r="B105" s="23" t="s">
        <v>5653</v>
      </c>
      <c r="C105" s="22">
        <f t="shared" si="3"/>
        <v>3</v>
      </c>
      <c r="D105" s="20">
        <v>1</v>
      </c>
      <c r="E105" s="22"/>
      <c r="F105" s="22"/>
      <c r="G105" s="22"/>
      <c r="H105" s="22"/>
      <c r="I105" s="22"/>
      <c r="J105" s="22"/>
      <c r="K105" s="22"/>
      <c r="L105" s="22"/>
      <c r="M105" s="20">
        <v>1</v>
      </c>
      <c r="N105" s="20">
        <v>1</v>
      </c>
      <c r="O105" s="20"/>
      <c r="P105" s="22"/>
      <c r="Q105" s="22"/>
      <c r="R105" s="20"/>
      <c r="AA105" s="20"/>
    </row>
    <row r="106" spans="1:27">
      <c r="A106" s="23" t="s">
        <v>4979</v>
      </c>
      <c r="B106" s="23" t="s">
        <v>5654</v>
      </c>
      <c r="C106" s="22">
        <f t="shared" si="3"/>
        <v>3</v>
      </c>
      <c r="D106" s="20">
        <v>1</v>
      </c>
      <c r="E106" s="22"/>
      <c r="F106" s="22"/>
      <c r="G106" s="22"/>
      <c r="H106" s="22"/>
      <c r="I106" s="22"/>
      <c r="J106" s="22"/>
      <c r="K106" s="22"/>
      <c r="L106" s="22"/>
      <c r="M106" s="20">
        <v>1</v>
      </c>
      <c r="N106" s="20">
        <v>1</v>
      </c>
      <c r="O106" s="20"/>
      <c r="P106" s="22"/>
      <c r="Q106" s="22"/>
      <c r="R106" s="20"/>
      <c r="AA106" s="20"/>
    </row>
    <row r="107" spans="1:27">
      <c r="A107" s="23" t="s">
        <v>4955</v>
      </c>
      <c r="B107" s="23" t="s">
        <v>5655</v>
      </c>
      <c r="C107" s="22">
        <f t="shared" si="3"/>
        <v>3</v>
      </c>
      <c r="D107" s="20">
        <v>1</v>
      </c>
      <c r="E107" s="22"/>
      <c r="F107" s="22"/>
      <c r="G107" s="22"/>
      <c r="H107" s="22"/>
      <c r="I107" s="22"/>
      <c r="J107" s="22"/>
      <c r="K107" s="22"/>
      <c r="L107" s="22"/>
      <c r="M107" s="20">
        <v>1</v>
      </c>
      <c r="N107" s="20">
        <v>1</v>
      </c>
      <c r="O107" s="20"/>
      <c r="P107" s="22"/>
      <c r="Q107" s="22"/>
      <c r="R107" s="20"/>
      <c r="AA107" s="20"/>
    </row>
    <row r="108" spans="1:27">
      <c r="A108" s="23" t="s">
        <v>4958</v>
      </c>
      <c r="B108" s="23" t="s">
        <v>5656</v>
      </c>
      <c r="C108" s="22">
        <f t="shared" si="3"/>
        <v>3</v>
      </c>
      <c r="D108" s="20">
        <v>1</v>
      </c>
      <c r="E108" s="22"/>
      <c r="F108" s="22"/>
      <c r="G108" s="22"/>
      <c r="H108" s="22"/>
      <c r="I108" s="22"/>
      <c r="J108" s="22"/>
      <c r="K108" s="22"/>
      <c r="L108" s="22"/>
      <c r="M108" s="20">
        <v>1</v>
      </c>
      <c r="N108" s="20">
        <v>1</v>
      </c>
      <c r="O108" s="20"/>
      <c r="P108" s="22"/>
      <c r="Q108" s="22"/>
      <c r="R108" s="20"/>
      <c r="AA108" s="20"/>
    </row>
    <row r="109" spans="1:27">
      <c r="A109" s="23" t="s">
        <v>5657</v>
      </c>
      <c r="B109" s="23" t="s">
        <v>5658</v>
      </c>
      <c r="C109" s="22">
        <f t="shared" si="3"/>
        <v>3</v>
      </c>
      <c r="D109" s="20">
        <v>1</v>
      </c>
      <c r="E109" s="22"/>
      <c r="F109" s="22"/>
      <c r="G109" s="22"/>
      <c r="H109" s="22"/>
      <c r="I109" s="22"/>
      <c r="J109" s="22"/>
      <c r="K109" s="22"/>
      <c r="L109" s="22"/>
      <c r="M109" s="20">
        <v>1</v>
      </c>
      <c r="N109" s="20">
        <v>1</v>
      </c>
      <c r="O109" s="20"/>
      <c r="P109" s="22"/>
      <c r="Q109" s="22"/>
      <c r="R109" s="20"/>
      <c r="AA109" s="20"/>
    </row>
    <row r="110" spans="1:27">
      <c r="A110" s="23" t="s">
        <v>5659</v>
      </c>
      <c r="B110" s="23" t="s">
        <v>5660</v>
      </c>
      <c r="C110" s="22">
        <f t="shared" si="3"/>
        <v>3</v>
      </c>
      <c r="D110" s="20">
        <v>1</v>
      </c>
      <c r="E110" s="22"/>
      <c r="F110" s="22"/>
      <c r="G110" s="22"/>
      <c r="H110" s="22"/>
      <c r="I110" s="22"/>
      <c r="J110" s="22"/>
      <c r="K110" s="22"/>
      <c r="L110" s="22"/>
      <c r="M110" s="20">
        <v>1</v>
      </c>
      <c r="N110" s="20"/>
      <c r="O110" s="20">
        <v>1</v>
      </c>
      <c r="P110" s="22"/>
      <c r="Q110" s="22"/>
      <c r="R110" s="20"/>
      <c r="AA110" s="20"/>
    </row>
    <row r="111" spans="1:27">
      <c r="A111" s="23" t="s">
        <v>5115</v>
      </c>
      <c r="B111" s="23" t="s">
        <v>5661</v>
      </c>
      <c r="C111" s="22">
        <f t="shared" si="3"/>
        <v>3</v>
      </c>
      <c r="D111" s="20">
        <v>1</v>
      </c>
      <c r="E111" s="22"/>
      <c r="F111" s="22"/>
      <c r="G111" s="22"/>
      <c r="H111" s="22"/>
      <c r="I111" s="22"/>
      <c r="J111" s="22"/>
      <c r="K111" s="22"/>
      <c r="L111" s="22"/>
      <c r="M111" s="20">
        <v>1</v>
      </c>
      <c r="N111" s="20"/>
      <c r="O111" s="20">
        <v>1</v>
      </c>
      <c r="P111" s="22"/>
      <c r="Q111" s="22"/>
      <c r="R111" s="20"/>
      <c r="AA111" s="20"/>
    </row>
    <row r="112" spans="1:27">
      <c r="A112" s="23" t="s">
        <v>5120</v>
      </c>
      <c r="B112" s="23" t="s">
        <v>5662</v>
      </c>
      <c r="C112" s="22">
        <f t="shared" si="3"/>
        <v>3</v>
      </c>
      <c r="D112" s="20">
        <v>1</v>
      </c>
      <c r="E112" s="22"/>
      <c r="F112" s="22"/>
      <c r="G112" s="22"/>
      <c r="H112" s="22"/>
      <c r="I112" s="22"/>
      <c r="J112" s="22"/>
      <c r="K112" s="22"/>
      <c r="L112" s="22"/>
      <c r="M112" s="20">
        <v>1</v>
      </c>
      <c r="N112" s="20"/>
      <c r="O112" s="20">
        <v>1</v>
      </c>
      <c r="P112" s="22"/>
      <c r="Q112" s="22"/>
      <c r="R112" s="20"/>
      <c r="AA112" s="20"/>
    </row>
    <row r="113" spans="1:27">
      <c r="A113" s="23" t="s">
        <v>5123</v>
      </c>
      <c r="B113" s="23" t="s">
        <v>5663</v>
      </c>
      <c r="C113" s="22">
        <f t="shared" si="3"/>
        <v>3</v>
      </c>
      <c r="D113" s="20">
        <v>1</v>
      </c>
      <c r="E113" s="22"/>
      <c r="F113" s="22"/>
      <c r="G113" s="22"/>
      <c r="H113" s="22"/>
      <c r="I113" s="22"/>
      <c r="J113" s="22"/>
      <c r="K113" s="22"/>
      <c r="L113" s="22"/>
      <c r="M113" s="20">
        <v>1</v>
      </c>
      <c r="N113" s="20"/>
      <c r="O113" s="20">
        <v>1</v>
      </c>
      <c r="P113" s="22"/>
      <c r="Q113" s="22"/>
      <c r="R113" s="20"/>
      <c r="AA113" s="20"/>
    </row>
    <row r="114" spans="1:27">
      <c r="A114" s="23" t="s">
        <v>5521</v>
      </c>
      <c r="B114" s="23" t="s">
        <v>5522</v>
      </c>
      <c r="C114" s="22">
        <f t="shared" si="3"/>
        <v>3</v>
      </c>
      <c r="D114" s="20">
        <v>1</v>
      </c>
      <c r="E114" s="22"/>
      <c r="F114" s="22"/>
      <c r="G114" s="22"/>
      <c r="H114" s="22"/>
      <c r="I114" s="22"/>
      <c r="J114" s="22"/>
      <c r="K114" s="22"/>
      <c r="L114" s="22"/>
      <c r="M114" s="20">
        <v>1</v>
      </c>
      <c r="N114" s="20"/>
      <c r="O114" s="20"/>
      <c r="P114" s="22"/>
      <c r="Q114" s="22"/>
      <c r="R114" s="20">
        <v>1</v>
      </c>
      <c r="AA114" s="20"/>
    </row>
    <row r="115" spans="1:27">
      <c r="A115" s="23" t="s">
        <v>5182</v>
      </c>
      <c r="B115" s="23" t="s">
        <v>5184</v>
      </c>
      <c r="C115" s="22">
        <f t="shared" si="3"/>
        <v>2</v>
      </c>
      <c r="D115" s="20">
        <v>1</v>
      </c>
      <c r="E115" s="22"/>
      <c r="F115" s="22"/>
      <c r="G115" s="22"/>
      <c r="H115" s="22"/>
      <c r="I115" s="22"/>
      <c r="J115" s="22"/>
      <c r="K115" s="22"/>
      <c r="L115" s="22"/>
      <c r="N115" s="20"/>
      <c r="O115" s="20"/>
      <c r="P115" s="22"/>
      <c r="Q115" s="22"/>
      <c r="R115" s="20"/>
      <c r="V115" s="20">
        <v>1</v>
      </c>
      <c r="AA115" s="20"/>
    </row>
    <row r="116" spans="1:27">
      <c r="A116" s="23" t="s">
        <v>4292</v>
      </c>
      <c r="B116" s="23" t="s">
        <v>5200</v>
      </c>
      <c r="C116" s="22">
        <f t="shared" si="3"/>
        <v>4</v>
      </c>
      <c r="E116" s="22"/>
      <c r="F116" s="22"/>
      <c r="G116" s="22"/>
      <c r="H116" s="22"/>
      <c r="I116" s="22"/>
      <c r="J116" s="22"/>
      <c r="K116" s="22"/>
      <c r="L116" s="22"/>
      <c r="N116" s="20"/>
      <c r="O116" s="20"/>
      <c r="P116" s="22"/>
      <c r="Q116" s="22"/>
      <c r="R116" s="20"/>
      <c r="V116" s="20">
        <v>1</v>
      </c>
      <c r="W116" s="20">
        <v>1</v>
      </c>
      <c r="X116" s="20">
        <v>1</v>
      </c>
      <c r="Z116" s="20">
        <v>1</v>
      </c>
      <c r="AA116" s="20"/>
    </row>
    <row r="117" spans="1:27">
      <c r="A117" s="23" t="s">
        <v>4323</v>
      </c>
      <c r="B117" s="23" t="s">
        <v>5195</v>
      </c>
      <c r="C117" s="22">
        <f t="shared" si="3"/>
        <v>5</v>
      </c>
      <c r="E117" s="22"/>
      <c r="F117" s="22"/>
      <c r="G117" s="22"/>
      <c r="H117" s="22"/>
      <c r="I117" s="22"/>
      <c r="J117" s="22"/>
      <c r="K117" s="22"/>
      <c r="L117" s="22"/>
      <c r="N117" s="20"/>
      <c r="O117" s="20"/>
      <c r="P117" s="22"/>
      <c r="Q117" s="22"/>
      <c r="R117" s="20"/>
      <c r="V117" s="20">
        <v>1</v>
      </c>
      <c r="W117" s="20">
        <v>1</v>
      </c>
      <c r="X117" s="20">
        <v>1</v>
      </c>
      <c r="Y117" s="20">
        <v>1</v>
      </c>
      <c r="Z117" s="20">
        <v>1</v>
      </c>
      <c r="AA117" s="20"/>
    </row>
    <row r="118" spans="1:27">
      <c r="A118" s="23" t="s">
        <v>4612</v>
      </c>
      <c r="B118" s="23" t="s">
        <v>5196</v>
      </c>
      <c r="C118" s="22">
        <f t="shared" si="3"/>
        <v>5</v>
      </c>
      <c r="E118" s="22"/>
      <c r="F118" s="22"/>
      <c r="G118" s="22"/>
      <c r="H118" s="22"/>
      <c r="I118" s="22"/>
      <c r="J118" s="22"/>
      <c r="K118" s="22"/>
      <c r="L118" s="22"/>
      <c r="N118" s="20"/>
      <c r="O118" s="20"/>
      <c r="P118" s="22"/>
      <c r="Q118" s="22"/>
      <c r="R118" s="20"/>
      <c r="V118" s="20">
        <v>1</v>
      </c>
      <c r="W118" s="20">
        <v>1</v>
      </c>
      <c r="X118" s="20">
        <v>1</v>
      </c>
      <c r="Y118" s="20">
        <v>1</v>
      </c>
      <c r="Z118" s="20">
        <v>1</v>
      </c>
      <c r="AA118" s="20"/>
    </row>
    <row r="119" spans="1:27">
      <c r="A119" s="23" t="s">
        <v>4609</v>
      </c>
      <c r="B119" s="23" t="s">
        <v>5197</v>
      </c>
      <c r="C119" s="22">
        <f t="shared" si="3"/>
        <v>5</v>
      </c>
      <c r="E119" s="22"/>
      <c r="F119" s="22"/>
      <c r="G119" s="22"/>
      <c r="H119" s="22"/>
      <c r="I119" s="22"/>
      <c r="J119" s="22"/>
      <c r="K119" s="22"/>
      <c r="L119" s="22"/>
      <c r="N119" s="20"/>
      <c r="O119" s="20"/>
      <c r="P119" s="22"/>
      <c r="Q119" s="22"/>
      <c r="R119" s="20"/>
      <c r="V119" s="20">
        <v>1</v>
      </c>
      <c r="W119" s="20">
        <v>1</v>
      </c>
      <c r="X119" s="20">
        <v>1</v>
      </c>
      <c r="Y119" s="20">
        <v>1</v>
      </c>
      <c r="Z119" s="20">
        <v>1</v>
      </c>
      <c r="AA119" s="20"/>
    </row>
    <row r="120" spans="1:27">
      <c r="A120" s="23" t="s">
        <v>4729</v>
      </c>
      <c r="B120" s="23" t="s">
        <v>5208</v>
      </c>
      <c r="C120" s="22">
        <f t="shared" si="3"/>
        <v>4</v>
      </c>
      <c r="E120" s="22"/>
      <c r="F120" s="22"/>
      <c r="G120" s="22"/>
      <c r="H120" s="22"/>
      <c r="I120" s="22"/>
      <c r="J120" s="22"/>
      <c r="K120" s="22"/>
      <c r="L120" s="22"/>
      <c r="N120" s="20"/>
      <c r="O120" s="20"/>
      <c r="P120" s="22"/>
      <c r="Q120" s="22"/>
      <c r="R120" s="20"/>
      <c r="V120" s="20">
        <v>1</v>
      </c>
      <c r="W120" s="20">
        <v>1</v>
      </c>
      <c r="X120" s="20">
        <v>1</v>
      </c>
      <c r="Y120" s="20">
        <v>1</v>
      </c>
      <c r="AA120" s="20"/>
    </row>
    <row r="121" spans="1:27">
      <c r="A121" s="23" t="s">
        <v>4940</v>
      </c>
      <c r="B121" s="23" t="s">
        <v>5244</v>
      </c>
      <c r="C121" s="22">
        <f t="shared" si="3"/>
        <v>2</v>
      </c>
      <c r="E121" s="22"/>
      <c r="F121" s="22"/>
      <c r="G121" s="22"/>
      <c r="H121" s="22"/>
      <c r="I121" s="22"/>
      <c r="J121" s="22"/>
      <c r="K121" s="22"/>
      <c r="L121" s="22"/>
      <c r="N121" s="20"/>
      <c r="O121" s="20"/>
      <c r="P121" s="22"/>
      <c r="Q121" s="22"/>
      <c r="R121" s="20"/>
      <c r="V121" s="20">
        <v>1</v>
      </c>
      <c r="X121" s="20">
        <v>1</v>
      </c>
      <c r="AA121" s="20"/>
    </row>
    <row r="122" spans="1:27">
      <c r="A122" s="23" t="s">
        <v>4967</v>
      </c>
      <c r="B122" s="23" t="s">
        <v>5192</v>
      </c>
      <c r="C122" s="22">
        <f t="shared" si="3"/>
        <v>2</v>
      </c>
      <c r="E122" s="22"/>
      <c r="F122" s="22"/>
      <c r="G122" s="22"/>
      <c r="H122" s="22"/>
      <c r="I122" s="22"/>
      <c r="J122" s="22"/>
      <c r="K122" s="22"/>
      <c r="L122" s="22"/>
      <c r="N122" s="20"/>
      <c r="O122" s="20"/>
      <c r="P122" s="22"/>
      <c r="Q122" s="22"/>
      <c r="R122" s="20"/>
      <c r="V122" s="20">
        <v>1</v>
      </c>
      <c r="X122" s="20">
        <v>1</v>
      </c>
      <c r="AA122" s="20"/>
    </row>
    <row r="123" spans="1:27">
      <c r="A123" s="23" t="s">
        <v>4964</v>
      </c>
      <c r="B123" s="23" t="s">
        <v>5193</v>
      </c>
      <c r="C123" s="22">
        <f t="shared" si="3"/>
        <v>3</v>
      </c>
      <c r="E123" s="22"/>
      <c r="F123" s="22"/>
      <c r="G123" s="22"/>
      <c r="H123" s="22"/>
      <c r="I123" s="22"/>
      <c r="J123" s="22"/>
      <c r="K123" s="22"/>
      <c r="L123" s="22"/>
      <c r="N123" s="20"/>
      <c r="O123" s="20"/>
      <c r="P123" s="22"/>
      <c r="Q123" s="22"/>
      <c r="R123" s="20"/>
      <c r="V123" s="20">
        <v>1</v>
      </c>
      <c r="W123" s="20">
        <v>1</v>
      </c>
      <c r="X123" s="20">
        <v>1</v>
      </c>
      <c r="AA123" s="20"/>
    </row>
    <row r="124" spans="1:27">
      <c r="A124" s="23" t="s">
        <v>4295</v>
      </c>
      <c r="B124" s="23" t="s">
        <v>5198</v>
      </c>
      <c r="C124" s="22">
        <f t="shared" si="3"/>
        <v>4</v>
      </c>
      <c r="E124" s="22"/>
      <c r="F124" s="22"/>
      <c r="G124" s="22"/>
      <c r="H124" s="22"/>
      <c r="I124" s="22"/>
      <c r="J124" s="22"/>
      <c r="K124" s="22"/>
      <c r="L124" s="22"/>
      <c r="N124" s="20"/>
      <c r="O124" s="20"/>
      <c r="P124" s="22"/>
      <c r="Q124" s="22"/>
      <c r="R124" s="20"/>
      <c r="V124" s="20">
        <v>1</v>
      </c>
      <c r="W124" s="20">
        <v>1</v>
      </c>
      <c r="X124" s="20">
        <v>1</v>
      </c>
      <c r="Z124" s="20">
        <v>1</v>
      </c>
      <c r="AA124" s="20"/>
    </row>
    <row r="125" spans="1:27">
      <c r="A125" s="23" t="s">
        <v>4758</v>
      </c>
      <c r="B125" s="23" t="s">
        <v>5199</v>
      </c>
      <c r="C125" s="22">
        <f t="shared" si="3"/>
        <v>5</v>
      </c>
      <c r="E125" s="22"/>
      <c r="F125" s="22"/>
      <c r="G125" s="22"/>
      <c r="H125" s="22"/>
      <c r="I125" s="22"/>
      <c r="J125" s="22"/>
      <c r="K125" s="22"/>
      <c r="L125" s="22"/>
      <c r="N125" s="20"/>
      <c r="O125" s="20"/>
      <c r="P125" s="22"/>
      <c r="Q125" s="22"/>
      <c r="R125" s="20"/>
      <c r="V125" s="20">
        <v>1</v>
      </c>
      <c r="W125" s="20">
        <v>1</v>
      </c>
      <c r="X125" s="20">
        <v>1</v>
      </c>
      <c r="Y125" s="20">
        <v>1</v>
      </c>
      <c r="Z125" s="20">
        <v>1</v>
      </c>
      <c r="AA125" s="20"/>
    </row>
    <row r="126" spans="1:27">
      <c r="A126" s="23" t="s">
        <v>5112</v>
      </c>
      <c r="B126" s="23" t="s">
        <v>5194</v>
      </c>
      <c r="C126" s="22">
        <f t="shared" si="3"/>
        <v>3</v>
      </c>
      <c r="E126" s="22"/>
      <c r="F126" s="22"/>
      <c r="G126" s="22"/>
      <c r="H126" s="22"/>
      <c r="I126" s="22"/>
      <c r="J126" s="22"/>
      <c r="K126" s="22"/>
      <c r="L126" s="22"/>
      <c r="N126" s="20"/>
      <c r="O126" s="20"/>
      <c r="P126" s="22"/>
      <c r="Q126" s="22"/>
      <c r="R126" s="20"/>
      <c r="V126" s="20">
        <v>1</v>
      </c>
      <c r="W126" s="20">
        <v>1</v>
      </c>
      <c r="X126" s="20">
        <v>1</v>
      </c>
      <c r="AA126" s="20"/>
    </row>
    <row r="127" spans="1:27">
      <c r="A127" s="23" t="s">
        <v>4377</v>
      </c>
      <c r="B127" s="23" t="s">
        <v>5201</v>
      </c>
      <c r="C127" s="22">
        <f t="shared" si="3"/>
        <v>3</v>
      </c>
      <c r="E127" s="22"/>
      <c r="F127" s="22"/>
      <c r="G127" s="22"/>
      <c r="H127" s="22"/>
      <c r="I127" s="22"/>
      <c r="J127" s="22"/>
      <c r="K127" s="22"/>
      <c r="L127" s="22"/>
      <c r="N127" s="20"/>
      <c r="O127" s="20"/>
      <c r="P127" s="22"/>
      <c r="Q127" s="22"/>
      <c r="R127" s="20"/>
      <c r="V127" s="20">
        <v>1</v>
      </c>
      <c r="W127" s="20">
        <v>1</v>
      </c>
      <c r="X127" s="20">
        <v>1</v>
      </c>
      <c r="AA127" s="20"/>
    </row>
    <row r="128" spans="1:27">
      <c r="A128" s="23" t="s">
        <v>4679</v>
      </c>
      <c r="B128" s="23" t="s">
        <v>5204</v>
      </c>
      <c r="C128" s="22">
        <f t="shared" si="3"/>
        <v>5</v>
      </c>
      <c r="E128" s="22"/>
      <c r="F128" s="22"/>
      <c r="G128" s="22"/>
      <c r="H128" s="22"/>
      <c r="I128" s="22"/>
      <c r="J128" s="22"/>
      <c r="K128" s="22"/>
      <c r="L128" s="22"/>
      <c r="N128" s="20"/>
      <c r="O128" s="20"/>
      <c r="P128" s="22"/>
      <c r="Q128" s="22"/>
      <c r="R128" s="20"/>
      <c r="V128" s="20">
        <v>1</v>
      </c>
      <c r="W128" s="20">
        <v>1</v>
      </c>
      <c r="X128" s="20">
        <v>1</v>
      </c>
      <c r="Y128" s="20">
        <v>1</v>
      </c>
      <c r="Z128" s="20">
        <v>1</v>
      </c>
      <c r="AA128" s="20"/>
    </row>
    <row r="129" spans="1:27">
      <c r="A129" s="23" t="s">
        <v>4650</v>
      </c>
      <c r="B129" s="23" t="s">
        <v>5205</v>
      </c>
      <c r="C129" s="22">
        <f t="shared" si="3"/>
        <v>5</v>
      </c>
      <c r="E129" s="22"/>
      <c r="F129" s="22"/>
      <c r="G129" s="22"/>
      <c r="H129" s="22"/>
      <c r="I129" s="22"/>
      <c r="J129" s="22"/>
      <c r="K129" s="22"/>
      <c r="L129" s="22"/>
      <c r="N129" s="20"/>
      <c r="O129" s="20"/>
      <c r="P129" s="22"/>
      <c r="Q129" s="22"/>
      <c r="R129" s="20"/>
      <c r="V129" s="20">
        <v>1</v>
      </c>
      <c r="W129" s="20">
        <v>1</v>
      </c>
      <c r="X129" s="20">
        <v>1</v>
      </c>
      <c r="Y129" s="20">
        <v>1</v>
      </c>
      <c r="Z129" s="20">
        <v>1</v>
      </c>
      <c r="AA129" s="20"/>
    </row>
    <row r="130" spans="1:27">
      <c r="A130" s="23" t="s">
        <v>4780</v>
      </c>
      <c r="B130" s="23" t="s">
        <v>5202</v>
      </c>
      <c r="C130" s="22">
        <f t="shared" si="3"/>
        <v>5</v>
      </c>
      <c r="E130" s="22"/>
      <c r="F130" s="22"/>
      <c r="G130" s="22"/>
      <c r="H130" s="22"/>
      <c r="I130" s="22"/>
      <c r="J130" s="22"/>
      <c r="K130" s="22"/>
      <c r="L130" s="22"/>
      <c r="N130" s="20"/>
      <c r="O130" s="20"/>
      <c r="P130" s="22"/>
      <c r="Q130" s="22"/>
      <c r="R130" s="20"/>
      <c r="V130" s="20">
        <v>1</v>
      </c>
      <c r="W130" s="20">
        <v>1</v>
      </c>
      <c r="X130" s="20">
        <v>1</v>
      </c>
      <c r="Y130" s="20">
        <v>1</v>
      </c>
      <c r="Z130" s="20">
        <v>1</v>
      </c>
      <c r="AA130" s="20"/>
    </row>
    <row r="131" spans="1:27">
      <c r="A131" s="23" t="s">
        <v>4540</v>
      </c>
      <c r="B131" s="23" t="s">
        <v>5203</v>
      </c>
      <c r="C131" s="22">
        <f t="shared" si="3"/>
        <v>5</v>
      </c>
      <c r="E131" s="22"/>
      <c r="F131" s="22"/>
      <c r="G131" s="22"/>
      <c r="H131" s="22"/>
      <c r="I131" s="22"/>
      <c r="J131" s="22"/>
      <c r="K131" s="22"/>
      <c r="L131" s="22"/>
      <c r="N131" s="20"/>
      <c r="O131" s="20"/>
      <c r="P131" s="22"/>
      <c r="Q131" s="22"/>
      <c r="R131" s="20"/>
      <c r="V131" s="20">
        <v>1</v>
      </c>
      <c r="W131" s="20">
        <v>1</v>
      </c>
      <c r="X131" s="20">
        <v>1</v>
      </c>
      <c r="Y131" s="20">
        <v>1</v>
      </c>
      <c r="Z131" s="20">
        <v>1</v>
      </c>
      <c r="AA131" s="20"/>
    </row>
    <row r="132" spans="1:27">
      <c r="A132" s="23" t="s">
        <v>5082</v>
      </c>
      <c r="B132" s="23" t="s">
        <v>5206</v>
      </c>
      <c r="C132" s="22">
        <f t="shared" si="3"/>
        <v>5</v>
      </c>
      <c r="E132" s="22"/>
      <c r="F132" s="22"/>
      <c r="G132" s="22"/>
      <c r="H132" s="22"/>
      <c r="I132" s="22"/>
      <c r="J132" s="22"/>
      <c r="K132" s="22"/>
      <c r="L132" s="22"/>
      <c r="N132" s="20"/>
      <c r="O132" s="20"/>
      <c r="P132" s="22"/>
      <c r="Q132" s="22"/>
      <c r="R132" s="20"/>
      <c r="V132" s="20">
        <v>1</v>
      </c>
      <c r="W132" s="20">
        <v>1</v>
      </c>
      <c r="X132" s="20">
        <v>1</v>
      </c>
      <c r="Y132" s="20">
        <v>1</v>
      </c>
      <c r="Z132" s="20">
        <v>1</v>
      </c>
      <c r="AA132" s="20"/>
    </row>
    <row r="133" spans="1:27">
      <c r="A133" s="23" t="s">
        <v>4700</v>
      </c>
      <c r="B133" s="23" t="s">
        <v>5207</v>
      </c>
      <c r="C133" s="22">
        <f t="shared" si="3"/>
        <v>2</v>
      </c>
      <c r="E133" s="22"/>
      <c r="F133" s="22"/>
      <c r="G133" s="22"/>
      <c r="H133" s="22"/>
      <c r="I133" s="22"/>
      <c r="J133" s="22"/>
      <c r="K133" s="22"/>
      <c r="L133" s="22"/>
      <c r="N133" s="20"/>
      <c r="O133" s="20"/>
      <c r="P133" s="22"/>
      <c r="Q133" s="22"/>
      <c r="R133" s="20"/>
      <c r="V133" s="20">
        <v>1</v>
      </c>
      <c r="X133" s="20">
        <v>1</v>
      </c>
      <c r="AA133" s="20"/>
    </row>
    <row r="134" spans="1:27">
      <c r="A134" s="23" t="s">
        <v>4697</v>
      </c>
      <c r="B134" s="23" t="s">
        <v>5209</v>
      </c>
      <c r="C134" s="22">
        <f t="shared" si="3"/>
        <v>3</v>
      </c>
      <c r="E134" s="22"/>
      <c r="F134" s="22"/>
      <c r="G134" s="22"/>
      <c r="H134" s="22"/>
      <c r="I134" s="22"/>
      <c r="J134" s="22"/>
      <c r="K134" s="22"/>
      <c r="L134" s="22"/>
      <c r="N134" s="20"/>
      <c r="O134" s="20"/>
      <c r="P134" s="22"/>
      <c r="Q134" s="22"/>
      <c r="R134" s="20"/>
      <c r="V134" s="20">
        <v>1</v>
      </c>
      <c r="X134" s="20">
        <v>1</v>
      </c>
      <c r="Y134" s="20">
        <v>1</v>
      </c>
      <c r="AA134" s="20"/>
    </row>
    <row r="135" spans="1:27">
      <c r="A135" s="23" t="s">
        <v>4807</v>
      </c>
      <c r="B135" t="s">
        <v>5210</v>
      </c>
      <c r="C135" s="22">
        <f t="shared" si="3"/>
        <v>3</v>
      </c>
      <c r="N135" s="20"/>
      <c r="O135" s="20"/>
      <c r="R135" s="20"/>
      <c r="V135" s="20">
        <v>1</v>
      </c>
      <c r="X135" s="20">
        <v>1</v>
      </c>
      <c r="Y135" s="20">
        <v>1</v>
      </c>
      <c r="AA135" s="20"/>
    </row>
    <row r="136" spans="1:27">
      <c r="A136" s="23" t="s">
        <v>4435</v>
      </c>
      <c r="B136" s="23" t="s">
        <v>5245</v>
      </c>
      <c r="C136" s="22">
        <f t="shared" si="3"/>
        <v>3</v>
      </c>
      <c r="E136" s="22"/>
      <c r="F136" s="22"/>
      <c r="G136" s="22"/>
      <c r="H136" s="22"/>
      <c r="I136" s="22"/>
      <c r="J136" s="22"/>
      <c r="K136" s="22"/>
      <c r="L136" s="22"/>
      <c r="N136" s="20"/>
      <c r="O136" s="20"/>
      <c r="P136" s="22"/>
      <c r="Q136" s="22"/>
      <c r="R136" s="20"/>
      <c r="V136" s="20">
        <v>1</v>
      </c>
      <c r="X136" s="20">
        <v>1</v>
      </c>
      <c r="Z136" s="20">
        <v>1</v>
      </c>
      <c r="AA136" s="20"/>
    </row>
    <row r="137" spans="1:27">
      <c r="A137" s="23" t="s">
        <v>4449</v>
      </c>
      <c r="B137" s="23" t="s">
        <v>5249</v>
      </c>
      <c r="C137" s="22">
        <f t="shared" si="3"/>
        <v>3</v>
      </c>
      <c r="E137" s="22"/>
      <c r="F137" s="22"/>
      <c r="G137" s="22"/>
      <c r="H137" s="22"/>
      <c r="I137" s="22"/>
      <c r="J137" s="22"/>
      <c r="K137" s="22"/>
      <c r="L137" s="22"/>
      <c r="N137" s="20"/>
      <c r="O137" s="20"/>
      <c r="P137" s="22"/>
      <c r="Q137" s="22"/>
      <c r="R137" s="20"/>
      <c r="V137" s="20">
        <v>1</v>
      </c>
      <c r="X137" s="20">
        <v>1</v>
      </c>
      <c r="Y137" s="20">
        <v>1</v>
      </c>
      <c r="AA137" s="20"/>
    </row>
    <row r="138" spans="1:27">
      <c r="A138" s="23" t="s">
        <v>4884</v>
      </c>
      <c r="B138" s="23" t="s">
        <v>5222</v>
      </c>
      <c r="C138" s="22">
        <f t="shared" ref="C138:C201" si="4">SUM(D138:AI138)</f>
        <v>3</v>
      </c>
      <c r="E138" s="22"/>
      <c r="F138" s="22"/>
      <c r="G138" s="22"/>
      <c r="H138" s="22"/>
      <c r="I138" s="22"/>
      <c r="J138" s="22"/>
      <c r="K138" s="22"/>
      <c r="L138" s="22"/>
      <c r="N138" s="20"/>
      <c r="O138" s="20"/>
      <c r="P138" s="22"/>
      <c r="Q138" s="22"/>
      <c r="R138" s="20"/>
      <c r="V138" s="20">
        <v>1</v>
      </c>
      <c r="W138" s="20">
        <v>1</v>
      </c>
      <c r="X138" s="20">
        <v>1</v>
      </c>
      <c r="AA138" s="20"/>
    </row>
    <row r="139" spans="1:27">
      <c r="A139" s="23" t="s">
        <v>4246</v>
      </c>
      <c r="B139" s="23" t="s">
        <v>5212</v>
      </c>
      <c r="C139" s="22">
        <f t="shared" si="4"/>
        <v>2</v>
      </c>
      <c r="E139" s="22"/>
      <c r="F139" s="22"/>
      <c r="G139" s="22"/>
      <c r="H139" s="22"/>
      <c r="I139" s="22"/>
      <c r="J139" s="22"/>
      <c r="K139" s="22"/>
      <c r="L139" s="22"/>
      <c r="N139" s="20"/>
      <c r="O139" s="20"/>
      <c r="P139" s="22"/>
      <c r="Q139" s="22"/>
      <c r="R139" s="20"/>
      <c r="V139" s="20">
        <v>1</v>
      </c>
      <c r="X139" s="20">
        <v>1</v>
      </c>
      <c r="AA139" s="20"/>
    </row>
    <row r="140" spans="1:27">
      <c r="A140" s="23" t="s">
        <v>4522</v>
      </c>
      <c r="B140" s="23" t="s">
        <v>5213</v>
      </c>
      <c r="C140" s="22">
        <f t="shared" si="4"/>
        <v>3</v>
      </c>
      <c r="E140" s="22"/>
      <c r="F140" s="22"/>
      <c r="G140" s="22"/>
      <c r="H140" s="22"/>
      <c r="I140" s="22"/>
      <c r="J140" s="22"/>
      <c r="K140" s="22"/>
      <c r="L140" s="22"/>
      <c r="N140" s="20"/>
      <c r="O140" s="20"/>
      <c r="P140" s="22"/>
      <c r="Q140" s="22"/>
      <c r="R140" s="20"/>
      <c r="V140" s="20">
        <v>1</v>
      </c>
      <c r="X140" s="20">
        <v>1</v>
      </c>
      <c r="Z140" s="20">
        <v>1</v>
      </c>
      <c r="AA140" s="20"/>
    </row>
    <row r="141" spans="1:27">
      <c r="A141" s="23" t="s">
        <v>5752</v>
      </c>
      <c r="B141" s="23" t="s">
        <v>5246</v>
      </c>
      <c r="C141" s="22">
        <f t="shared" si="4"/>
        <v>3</v>
      </c>
      <c r="E141" s="22"/>
      <c r="F141" s="22"/>
      <c r="G141" s="22"/>
      <c r="H141" s="22"/>
      <c r="I141" s="22"/>
      <c r="J141" s="22"/>
      <c r="K141" s="22"/>
      <c r="L141" s="22"/>
      <c r="N141" s="20"/>
      <c r="O141" s="20"/>
      <c r="P141" s="22"/>
      <c r="Q141" s="22"/>
      <c r="R141" s="20"/>
      <c r="V141" s="20">
        <v>1</v>
      </c>
      <c r="X141" s="20">
        <v>1</v>
      </c>
      <c r="Z141" s="20">
        <v>1</v>
      </c>
      <c r="AA141" s="20"/>
    </row>
    <row r="142" spans="1:27">
      <c r="A142" s="23" t="s">
        <v>4558</v>
      </c>
      <c r="B142" s="23" t="s">
        <v>5214</v>
      </c>
      <c r="C142" s="22">
        <f t="shared" si="4"/>
        <v>4</v>
      </c>
      <c r="E142" s="22"/>
      <c r="F142" s="22"/>
      <c r="G142" s="22"/>
      <c r="H142" s="22"/>
      <c r="I142" s="22"/>
      <c r="J142" s="22"/>
      <c r="K142" s="22"/>
      <c r="L142" s="22"/>
      <c r="N142" s="20"/>
      <c r="O142" s="20"/>
      <c r="P142" s="22"/>
      <c r="Q142" s="22"/>
      <c r="R142" s="20"/>
      <c r="V142" s="20">
        <v>1</v>
      </c>
      <c r="X142" s="20">
        <v>1</v>
      </c>
      <c r="Y142" s="20">
        <v>1</v>
      </c>
      <c r="Z142" s="20">
        <v>1</v>
      </c>
      <c r="AA142" s="20"/>
    </row>
    <row r="143" spans="1:27">
      <c r="A143" s="23" t="s">
        <v>4555</v>
      </c>
      <c r="B143" s="23" t="s">
        <v>5215</v>
      </c>
      <c r="C143" s="22">
        <f t="shared" si="4"/>
        <v>4</v>
      </c>
      <c r="E143" s="22"/>
      <c r="F143" s="22"/>
      <c r="G143" s="22"/>
      <c r="H143" s="22"/>
      <c r="I143" s="22"/>
      <c r="J143" s="22"/>
      <c r="K143" s="22"/>
      <c r="L143" s="22"/>
      <c r="N143" s="20"/>
      <c r="O143" s="20"/>
      <c r="P143" s="22"/>
      <c r="Q143" s="22"/>
      <c r="R143" s="20"/>
      <c r="V143" s="20">
        <v>1</v>
      </c>
      <c r="X143" s="20">
        <v>1</v>
      </c>
      <c r="Y143" s="20">
        <v>1</v>
      </c>
      <c r="Z143" s="20">
        <v>1</v>
      </c>
      <c r="AA143" s="20"/>
    </row>
    <row r="144" spans="1:27">
      <c r="A144" s="23" t="s">
        <v>4500</v>
      </c>
      <c r="B144" s="23" t="s">
        <v>5216</v>
      </c>
      <c r="C144" s="22">
        <f t="shared" si="4"/>
        <v>4</v>
      </c>
      <c r="E144" s="22"/>
      <c r="F144" s="22"/>
      <c r="G144" s="22"/>
      <c r="H144" s="22"/>
      <c r="I144" s="22"/>
      <c r="J144" s="22"/>
      <c r="K144" s="22"/>
      <c r="L144" s="22"/>
      <c r="N144" s="20"/>
      <c r="O144" s="20"/>
      <c r="P144" s="22"/>
      <c r="Q144" s="22"/>
      <c r="R144" s="20"/>
      <c r="V144" s="20">
        <v>1</v>
      </c>
      <c r="X144" s="20">
        <v>1</v>
      </c>
      <c r="Y144" s="20">
        <v>1</v>
      </c>
      <c r="Z144" s="20">
        <v>1</v>
      </c>
      <c r="AA144" s="20"/>
    </row>
    <row r="145" spans="1:27">
      <c r="A145" s="23" t="s">
        <v>4503</v>
      </c>
      <c r="B145" s="23" t="s">
        <v>5217</v>
      </c>
      <c r="C145" s="22">
        <f t="shared" si="4"/>
        <v>4</v>
      </c>
      <c r="E145" s="22"/>
      <c r="F145" s="22"/>
      <c r="G145" s="22"/>
      <c r="H145" s="22"/>
      <c r="I145" s="22"/>
      <c r="J145" s="22"/>
      <c r="K145" s="22"/>
      <c r="L145" s="22"/>
      <c r="N145" s="20"/>
      <c r="O145" s="20"/>
      <c r="P145" s="22"/>
      <c r="Q145" s="22"/>
      <c r="R145" s="20"/>
      <c r="V145" s="20">
        <v>1</v>
      </c>
      <c r="X145" s="20">
        <v>1</v>
      </c>
      <c r="Y145" s="20">
        <v>1</v>
      </c>
      <c r="Z145" s="20">
        <v>1</v>
      </c>
      <c r="AA145" s="20"/>
    </row>
    <row r="146" spans="1:27">
      <c r="A146" s="23" t="s">
        <v>4691</v>
      </c>
      <c r="B146" s="23" t="s">
        <v>5218</v>
      </c>
      <c r="C146" s="22">
        <f t="shared" si="4"/>
        <v>3</v>
      </c>
      <c r="E146" s="22"/>
      <c r="F146" s="22"/>
      <c r="G146" s="22"/>
      <c r="H146" s="22"/>
      <c r="I146" s="22"/>
      <c r="J146" s="22"/>
      <c r="K146" s="22"/>
      <c r="L146" s="22"/>
      <c r="N146" s="20"/>
      <c r="O146" s="20"/>
      <c r="P146" s="22"/>
      <c r="Q146" s="22"/>
      <c r="R146" s="20"/>
      <c r="V146" s="20">
        <v>1</v>
      </c>
      <c r="W146" s="20">
        <v>1</v>
      </c>
      <c r="X146" s="20">
        <v>1</v>
      </c>
      <c r="AA146" s="20"/>
    </row>
    <row r="147" spans="1:27">
      <c r="A147" s="23" t="s">
        <v>4546</v>
      </c>
      <c r="B147" s="23" t="s">
        <v>5219</v>
      </c>
      <c r="C147" s="22">
        <f t="shared" si="4"/>
        <v>3</v>
      </c>
      <c r="E147" s="22"/>
      <c r="F147" s="22"/>
      <c r="G147" s="22"/>
      <c r="H147" s="22"/>
      <c r="I147" s="22"/>
      <c r="J147" s="22"/>
      <c r="K147" s="22"/>
      <c r="L147" s="22"/>
      <c r="N147" s="20"/>
      <c r="O147" s="20"/>
      <c r="P147" s="22"/>
      <c r="Q147" s="22"/>
      <c r="R147" s="20"/>
      <c r="V147" s="20">
        <v>1</v>
      </c>
      <c r="W147" s="20">
        <v>1</v>
      </c>
      <c r="X147" s="20">
        <v>1</v>
      </c>
      <c r="AA147" s="20"/>
    </row>
    <row r="148" spans="1:27">
      <c r="A148" s="23" t="s">
        <v>4731</v>
      </c>
      <c r="B148" s="23" t="s">
        <v>5220</v>
      </c>
      <c r="C148" s="22">
        <f t="shared" si="4"/>
        <v>4</v>
      </c>
      <c r="E148" s="22"/>
      <c r="F148" s="22"/>
      <c r="G148" s="22"/>
      <c r="H148" s="22"/>
      <c r="I148" s="22"/>
      <c r="J148" s="22"/>
      <c r="K148" s="22"/>
      <c r="L148" s="22"/>
      <c r="N148" s="20"/>
      <c r="O148" s="20"/>
      <c r="P148" s="22"/>
      <c r="Q148" s="22"/>
      <c r="R148" s="20"/>
      <c r="V148" s="20">
        <v>1</v>
      </c>
      <c r="W148" s="20">
        <v>1</v>
      </c>
      <c r="X148" s="20">
        <v>1</v>
      </c>
      <c r="Y148" s="20">
        <v>1</v>
      </c>
      <c r="AA148" s="20"/>
    </row>
    <row r="149" spans="1:27">
      <c r="A149" s="23" t="s">
        <v>5094</v>
      </c>
      <c r="B149" s="23" t="s">
        <v>5221</v>
      </c>
      <c r="C149" s="22">
        <f t="shared" si="4"/>
        <v>4</v>
      </c>
      <c r="E149" s="22"/>
      <c r="F149" s="22"/>
      <c r="G149" s="22"/>
      <c r="H149" s="22"/>
      <c r="I149" s="22"/>
      <c r="J149" s="22"/>
      <c r="K149" s="22"/>
      <c r="L149" s="22"/>
      <c r="N149" s="20"/>
      <c r="O149" s="20"/>
      <c r="P149" s="22"/>
      <c r="Q149" s="22"/>
      <c r="R149" s="20"/>
      <c r="V149" s="20">
        <v>1</v>
      </c>
      <c r="W149" s="20">
        <v>1</v>
      </c>
      <c r="X149" s="20">
        <v>1</v>
      </c>
      <c r="Y149" s="20">
        <v>1</v>
      </c>
      <c r="AA149" s="20"/>
    </row>
    <row r="150" spans="1:27">
      <c r="A150" s="23" t="s">
        <v>5060</v>
      </c>
      <c r="B150" s="23" t="s">
        <v>5247</v>
      </c>
      <c r="C150" s="22">
        <f t="shared" si="4"/>
        <v>2</v>
      </c>
      <c r="E150" s="22"/>
      <c r="F150" s="22"/>
      <c r="G150" s="22"/>
      <c r="H150" s="22"/>
      <c r="I150" s="22"/>
      <c r="J150" s="22"/>
      <c r="K150" s="22"/>
      <c r="L150" s="22"/>
      <c r="N150" s="20"/>
      <c r="O150" s="20"/>
      <c r="P150" s="22"/>
      <c r="Q150" s="22"/>
      <c r="R150" s="20"/>
      <c r="V150" s="20">
        <v>1</v>
      </c>
      <c r="X150" s="20">
        <v>1</v>
      </c>
      <c r="AA150" s="20"/>
    </row>
    <row r="151" spans="1:27">
      <c r="A151" s="23" t="s">
        <v>5034</v>
      </c>
      <c r="B151" s="23" t="s">
        <v>5211</v>
      </c>
      <c r="C151" s="22">
        <f t="shared" si="4"/>
        <v>3</v>
      </c>
      <c r="E151" s="22"/>
      <c r="F151" s="22"/>
      <c r="G151" s="22"/>
      <c r="H151" s="22"/>
      <c r="I151" s="22"/>
      <c r="J151" s="22"/>
      <c r="K151" s="22"/>
      <c r="L151" s="22"/>
      <c r="N151" s="20"/>
      <c r="O151" s="20"/>
      <c r="P151" s="22"/>
      <c r="Q151" s="22"/>
      <c r="R151" s="20"/>
      <c r="V151" s="20">
        <v>1</v>
      </c>
      <c r="W151" s="20">
        <v>1</v>
      </c>
      <c r="X151" s="20">
        <v>1</v>
      </c>
      <c r="AA151" s="20"/>
    </row>
    <row r="152" spans="1:27">
      <c r="A152" s="23" t="s">
        <v>5152</v>
      </c>
      <c r="B152" s="23" t="s">
        <v>5223</v>
      </c>
      <c r="C152" s="22">
        <f t="shared" si="4"/>
        <v>4</v>
      </c>
      <c r="E152" s="22"/>
      <c r="F152" s="22"/>
      <c r="G152" s="22"/>
      <c r="H152" s="22"/>
      <c r="I152" s="22"/>
      <c r="J152" s="22"/>
      <c r="K152" s="22"/>
      <c r="L152" s="22"/>
      <c r="N152" s="20"/>
      <c r="O152" s="20"/>
      <c r="P152" s="22"/>
      <c r="Q152" s="22"/>
      <c r="R152" s="20"/>
      <c r="V152" s="20">
        <v>1</v>
      </c>
      <c r="W152" s="20">
        <v>1</v>
      </c>
      <c r="X152" s="20">
        <v>1</v>
      </c>
      <c r="Z152" s="20">
        <v>1</v>
      </c>
      <c r="AA152" s="20"/>
    </row>
    <row r="153" spans="1:27">
      <c r="A153" s="23" t="s">
        <v>4289</v>
      </c>
      <c r="B153" s="23" t="s">
        <v>5224</v>
      </c>
      <c r="C153" s="22">
        <f t="shared" si="4"/>
        <v>3</v>
      </c>
      <c r="E153" s="22"/>
      <c r="F153" s="22"/>
      <c r="G153" s="22"/>
      <c r="H153" s="22"/>
      <c r="I153" s="22"/>
      <c r="J153" s="22"/>
      <c r="K153" s="22"/>
      <c r="L153" s="22"/>
      <c r="N153" s="20"/>
      <c r="O153" s="20"/>
      <c r="P153" s="22"/>
      <c r="Q153" s="22"/>
      <c r="R153" s="20"/>
      <c r="V153" s="20">
        <v>1</v>
      </c>
      <c r="X153" s="20">
        <v>1</v>
      </c>
      <c r="Z153" s="20">
        <v>1</v>
      </c>
      <c r="AA153" s="20"/>
    </row>
    <row r="154" spans="1:27">
      <c r="A154" s="23" t="s">
        <v>4312</v>
      </c>
      <c r="B154" s="23" t="s">
        <v>5225</v>
      </c>
      <c r="C154" s="22">
        <f t="shared" si="4"/>
        <v>3</v>
      </c>
      <c r="E154" s="22"/>
      <c r="F154" s="22"/>
      <c r="G154" s="22"/>
      <c r="H154" s="22"/>
      <c r="I154" s="22"/>
      <c r="J154" s="22"/>
      <c r="K154" s="22"/>
      <c r="L154" s="22"/>
      <c r="N154" s="20"/>
      <c r="O154" s="20"/>
      <c r="P154" s="22"/>
      <c r="Q154" s="22"/>
      <c r="R154" s="20"/>
      <c r="V154" s="20">
        <v>1</v>
      </c>
      <c r="X154" s="20">
        <v>1</v>
      </c>
      <c r="Z154" s="20">
        <v>1</v>
      </c>
      <c r="AA154" s="20"/>
    </row>
    <row r="155" spans="1:27">
      <c r="A155" s="23" t="s">
        <v>4477</v>
      </c>
      <c r="B155" s="23" t="s">
        <v>5226</v>
      </c>
      <c r="C155" s="22">
        <f t="shared" si="4"/>
        <v>4</v>
      </c>
      <c r="E155" s="22"/>
      <c r="F155" s="22"/>
      <c r="G155" s="22"/>
      <c r="H155" s="22"/>
      <c r="I155" s="22"/>
      <c r="J155" s="22"/>
      <c r="K155" s="22"/>
      <c r="L155" s="22"/>
      <c r="N155" s="20"/>
      <c r="O155" s="20"/>
      <c r="P155" s="22"/>
      <c r="Q155" s="22"/>
      <c r="R155" s="20"/>
      <c r="V155" s="20">
        <v>1</v>
      </c>
      <c r="X155" s="20">
        <v>1</v>
      </c>
      <c r="Y155" s="20">
        <v>1</v>
      </c>
      <c r="Z155" s="20">
        <v>1</v>
      </c>
      <c r="AA155" s="20"/>
    </row>
    <row r="156" spans="1:27">
      <c r="A156" s="23" t="s">
        <v>4528</v>
      </c>
      <c r="B156" s="23" t="s">
        <v>5227</v>
      </c>
      <c r="C156" s="22">
        <f t="shared" si="4"/>
        <v>4</v>
      </c>
      <c r="E156" s="22"/>
      <c r="F156" s="22"/>
      <c r="G156" s="22"/>
      <c r="H156" s="22"/>
      <c r="I156" s="22"/>
      <c r="J156" s="22"/>
      <c r="K156" s="22"/>
      <c r="L156" s="22"/>
      <c r="N156" s="20"/>
      <c r="O156" s="20"/>
      <c r="P156" s="22"/>
      <c r="Q156" s="22"/>
      <c r="R156" s="20"/>
      <c r="V156" s="20">
        <v>1</v>
      </c>
      <c r="X156" s="20">
        <v>1</v>
      </c>
      <c r="Y156" s="20">
        <v>1</v>
      </c>
      <c r="Z156" s="20">
        <v>1</v>
      </c>
      <c r="AA156" s="20"/>
    </row>
    <row r="157" spans="1:27">
      <c r="A157" s="23" t="s">
        <v>4717</v>
      </c>
      <c r="B157" s="23" t="s">
        <v>5228</v>
      </c>
      <c r="C157" s="22">
        <f t="shared" si="4"/>
        <v>4</v>
      </c>
      <c r="E157" s="22"/>
      <c r="F157" s="22"/>
      <c r="G157" s="22"/>
      <c r="H157" s="22"/>
      <c r="I157" s="22"/>
      <c r="J157" s="22"/>
      <c r="K157" s="22"/>
      <c r="L157" s="22"/>
      <c r="N157" s="20"/>
      <c r="O157" s="20"/>
      <c r="P157" s="22"/>
      <c r="Q157" s="22"/>
      <c r="R157" s="20"/>
      <c r="V157" s="20">
        <v>1</v>
      </c>
      <c r="X157" s="20">
        <v>1</v>
      </c>
      <c r="Y157" s="20">
        <v>1</v>
      </c>
      <c r="Z157" s="20">
        <v>1</v>
      </c>
      <c r="AA157" s="20"/>
    </row>
    <row r="158" spans="1:27">
      <c r="A158" s="23" t="s">
        <v>4525</v>
      </c>
      <c r="B158" s="23" t="s">
        <v>5229</v>
      </c>
      <c r="C158" s="22">
        <f t="shared" si="4"/>
        <v>4</v>
      </c>
      <c r="E158" s="22"/>
      <c r="F158" s="22"/>
      <c r="G158" s="22"/>
      <c r="H158" s="22"/>
      <c r="I158" s="22"/>
      <c r="J158" s="22"/>
      <c r="K158" s="22"/>
      <c r="L158" s="22"/>
      <c r="N158" s="20"/>
      <c r="O158" s="20"/>
      <c r="P158" s="22"/>
      <c r="Q158" s="22"/>
      <c r="R158" s="20"/>
      <c r="V158" s="20">
        <v>1</v>
      </c>
      <c r="W158" s="20">
        <v>1</v>
      </c>
      <c r="X158" s="20">
        <v>1</v>
      </c>
      <c r="Z158" s="20">
        <v>1</v>
      </c>
      <c r="AA158" s="20"/>
    </row>
    <row r="159" spans="1:27">
      <c r="A159" s="23" t="s">
        <v>4720</v>
      </c>
      <c r="B159" s="23" t="s">
        <v>5230</v>
      </c>
      <c r="C159" s="22">
        <f t="shared" si="4"/>
        <v>4</v>
      </c>
      <c r="E159" s="22"/>
      <c r="F159" s="22"/>
      <c r="G159" s="22"/>
      <c r="H159" s="22"/>
      <c r="I159" s="22"/>
      <c r="J159" s="22"/>
      <c r="K159" s="22"/>
      <c r="L159" s="22"/>
      <c r="N159" s="20"/>
      <c r="O159" s="20"/>
      <c r="P159" s="22"/>
      <c r="Q159" s="22"/>
      <c r="R159" s="20"/>
      <c r="V159" s="20">
        <v>1</v>
      </c>
      <c r="W159" s="20">
        <v>1</v>
      </c>
      <c r="X159" s="20">
        <v>1</v>
      </c>
      <c r="Z159" s="20">
        <v>1</v>
      </c>
      <c r="AA159" s="20"/>
    </row>
    <row r="160" spans="1:27">
      <c r="A160" s="23" t="s">
        <v>4325</v>
      </c>
      <c r="B160" s="23" t="s">
        <v>5231</v>
      </c>
      <c r="C160" s="22">
        <f t="shared" si="4"/>
        <v>3</v>
      </c>
      <c r="E160" s="22"/>
      <c r="F160" s="22"/>
      <c r="G160" s="22"/>
      <c r="H160" s="22"/>
      <c r="I160" s="22"/>
      <c r="J160" s="22"/>
      <c r="K160" s="22"/>
      <c r="L160" s="22"/>
      <c r="N160" s="20"/>
      <c r="O160" s="20"/>
      <c r="P160" s="22"/>
      <c r="Q160" s="22"/>
      <c r="R160" s="20"/>
      <c r="V160" s="20">
        <v>1</v>
      </c>
      <c r="X160" s="20">
        <v>1</v>
      </c>
      <c r="Z160" s="20">
        <v>1</v>
      </c>
      <c r="AA160" s="20"/>
    </row>
    <row r="161" spans="1:27">
      <c r="A161" s="23" t="s">
        <v>4495</v>
      </c>
      <c r="B161" s="23" t="s">
        <v>5232</v>
      </c>
      <c r="C161" s="22">
        <f t="shared" si="4"/>
        <v>3</v>
      </c>
      <c r="E161" s="22"/>
      <c r="F161" s="22"/>
      <c r="G161" s="22"/>
      <c r="H161" s="22"/>
      <c r="I161" s="22"/>
      <c r="J161" s="22"/>
      <c r="K161" s="22"/>
      <c r="L161" s="22"/>
      <c r="N161" s="20"/>
      <c r="O161" s="20"/>
      <c r="P161" s="22"/>
      <c r="Q161" s="22"/>
      <c r="R161" s="20"/>
      <c r="V161" s="20">
        <v>1</v>
      </c>
      <c r="X161" s="20">
        <v>1</v>
      </c>
      <c r="Z161" s="20">
        <v>1</v>
      </c>
      <c r="AA161" s="20"/>
    </row>
    <row r="162" spans="1:27">
      <c r="A162" s="23" t="s">
        <v>4855</v>
      </c>
      <c r="B162" s="23" t="s">
        <v>5233</v>
      </c>
      <c r="C162" s="22">
        <f t="shared" si="4"/>
        <v>3</v>
      </c>
      <c r="E162" s="22"/>
      <c r="F162" s="22"/>
      <c r="G162" s="22"/>
      <c r="H162" s="22"/>
      <c r="I162" s="22"/>
      <c r="J162" s="22"/>
      <c r="K162" s="22"/>
      <c r="L162" s="22"/>
      <c r="N162" s="20"/>
      <c r="O162" s="20"/>
      <c r="P162" s="22"/>
      <c r="Q162" s="22"/>
      <c r="R162" s="20"/>
      <c r="V162" s="20">
        <v>1</v>
      </c>
      <c r="X162" s="20">
        <v>1</v>
      </c>
      <c r="Z162" s="20">
        <v>1</v>
      </c>
      <c r="AA162" s="20"/>
    </row>
    <row r="163" spans="1:27">
      <c r="A163" s="23" t="s">
        <v>4337</v>
      </c>
      <c r="B163" s="23" t="s">
        <v>5234</v>
      </c>
      <c r="C163" s="22">
        <f t="shared" si="4"/>
        <v>5</v>
      </c>
      <c r="E163" s="22"/>
      <c r="F163" s="22"/>
      <c r="G163" s="22"/>
      <c r="H163" s="22"/>
      <c r="I163" s="22"/>
      <c r="J163" s="22"/>
      <c r="K163" s="22"/>
      <c r="L163" s="22"/>
      <c r="N163" s="20"/>
      <c r="O163" s="20"/>
      <c r="P163" s="22"/>
      <c r="Q163" s="22"/>
      <c r="R163" s="20">
        <v>1</v>
      </c>
      <c r="V163" s="20">
        <v>1</v>
      </c>
      <c r="X163" s="20">
        <v>1</v>
      </c>
      <c r="Z163" s="20">
        <v>1</v>
      </c>
      <c r="AA163" s="20">
        <v>1</v>
      </c>
    </row>
    <row r="164" spans="1:27">
      <c r="A164" s="23" t="s">
        <v>4460</v>
      </c>
      <c r="B164" s="23" t="s">
        <v>5235</v>
      </c>
      <c r="C164" s="22">
        <f t="shared" si="4"/>
        <v>3</v>
      </c>
      <c r="E164" s="22"/>
      <c r="F164" s="22"/>
      <c r="G164" s="22"/>
      <c r="H164" s="22"/>
      <c r="I164" s="22"/>
      <c r="J164" s="22"/>
      <c r="K164" s="22"/>
      <c r="L164" s="22"/>
      <c r="N164" s="20"/>
      <c r="O164" s="20"/>
      <c r="P164" s="22"/>
      <c r="Q164" s="22"/>
      <c r="R164" s="20"/>
      <c r="V164" s="20">
        <v>1</v>
      </c>
      <c r="X164" s="20">
        <v>1</v>
      </c>
      <c r="Z164" s="20">
        <v>1</v>
      </c>
      <c r="AA164" s="20"/>
    </row>
    <row r="165" spans="1:27">
      <c r="A165" s="23" t="s">
        <v>4543</v>
      </c>
      <c r="B165" s="23" t="s">
        <v>5236</v>
      </c>
      <c r="C165" s="22">
        <f t="shared" si="4"/>
        <v>4</v>
      </c>
      <c r="E165" s="22"/>
      <c r="F165" s="22"/>
      <c r="G165" s="22"/>
      <c r="H165" s="22"/>
      <c r="I165" s="22"/>
      <c r="J165" s="22"/>
      <c r="K165" s="22"/>
      <c r="L165" s="22"/>
      <c r="N165" s="20"/>
      <c r="O165" s="20"/>
      <c r="P165" s="22"/>
      <c r="Q165" s="22"/>
      <c r="R165" s="20"/>
      <c r="V165" s="20">
        <v>1</v>
      </c>
      <c r="X165" s="20">
        <v>1</v>
      </c>
      <c r="Y165" s="20">
        <v>1</v>
      </c>
      <c r="Z165" s="20">
        <v>1</v>
      </c>
      <c r="AA165" s="20"/>
    </row>
    <row r="166" spans="1:27">
      <c r="A166" s="23" t="s">
        <v>4416</v>
      </c>
      <c r="B166" s="23" t="s">
        <v>5237</v>
      </c>
      <c r="C166" s="22">
        <f t="shared" si="4"/>
        <v>3</v>
      </c>
      <c r="E166" s="22"/>
      <c r="F166" s="22"/>
      <c r="G166" s="22"/>
      <c r="H166" s="22"/>
      <c r="I166" s="22"/>
      <c r="J166" s="22"/>
      <c r="K166" s="22"/>
      <c r="L166" s="22"/>
      <c r="N166" s="20"/>
      <c r="O166" s="20"/>
      <c r="P166" s="22"/>
      <c r="Q166" s="22"/>
      <c r="R166" s="20"/>
      <c r="V166" s="20">
        <v>1</v>
      </c>
      <c r="X166" s="20">
        <v>1</v>
      </c>
      <c r="Z166" s="20">
        <v>1</v>
      </c>
      <c r="AA166" s="20"/>
    </row>
    <row r="167" spans="1:27">
      <c r="A167" s="23" t="s">
        <v>4927</v>
      </c>
      <c r="B167" s="23" t="s">
        <v>5238</v>
      </c>
      <c r="C167" s="22">
        <f t="shared" si="4"/>
        <v>3</v>
      </c>
      <c r="E167" s="22"/>
      <c r="F167" s="22"/>
      <c r="G167" s="22"/>
      <c r="H167" s="22"/>
      <c r="I167" s="22"/>
      <c r="J167" s="22"/>
      <c r="K167" s="22"/>
      <c r="L167" s="22"/>
      <c r="N167" s="20"/>
      <c r="O167" s="20"/>
      <c r="P167" s="22"/>
      <c r="Q167" s="22"/>
      <c r="R167" s="20"/>
      <c r="V167" s="20">
        <v>1</v>
      </c>
      <c r="X167" s="20">
        <v>1</v>
      </c>
      <c r="Z167" s="20">
        <v>1</v>
      </c>
      <c r="AA167" s="20"/>
    </row>
    <row r="168" spans="1:27">
      <c r="A168" s="23" t="s">
        <v>4617</v>
      </c>
      <c r="B168" s="23" t="s">
        <v>5239</v>
      </c>
      <c r="C168" s="22">
        <f t="shared" si="4"/>
        <v>4</v>
      </c>
      <c r="E168" s="22"/>
      <c r="F168" s="22"/>
      <c r="G168" s="22"/>
      <c r="H168" s="22"/>
      <c r="I168" s="22"/>
      <c r="J168" s="22"/>
      <c r="K168" s="22"/>
      <c r="L168" s="22"/>
      <c r="N168" s="20"/>
      <c r="O168" s="20"/>
      <c r="P168" s="22"/>
      <c r="Q168" s="22"/>
      <c r="R168" s="20"/>
      <c r="V168" s="20">
        <v>1</v>
      </c>
      <c r="W168" s="20">
        <v>1</v>
      </c>
      <c r="X168" s="20">
        <v>1</v>
      </c>
      <c r="Y168" s="20">
        <v>1</v>
      </c>
      <c r="AA168" s="20"/>
    </row>
    <row r="169" spans="1:27">
      <c r="A169" s="23" t="s">
        <v>4798</v>
      </c>
      <c r="B169" s="23" t="s">
        <v>5240</v>
      </c>
      <c r="C169" s="22">
        <f t="shared" si="4"/>
        <v>5</v>
      </c>
      <c r="E169" s="22"/>
      <c r="F169" s="22"/>
      <c r="G169" s="22"/>
      <c r="H169" s="22"/>
      <c r="I169" s="22"/>
      <c r="J169" s="22"/>
      <c r="K169" s="22"/>
      <c r="L169" s="22"/>
      <c r="N169" s="20"/>
      <c r="O169" s="20"/>
      <c r="P169" s="22"/>
      <c r="Q169" s="22"/>
      <c r="R169" s="20"/>
      <c r="V169" s="20">
        <v>1</v>
      </c>
      <c r="W169" s="20">
        <v>1</v>
      </c>
      <c r="X169" s="20">
        <v>1</v>
      </c>
      <c r="Z169" s="20">
        <v>1</v>
      </c>
      <c r="AA169" s="20">
        <v>1</v>
      </c>
    </row>
    <row r="170" spans="1:27">
      <c r="A170" s="23" t="s">
        <v>4933</v>
      </c>
      <c r="B170" s="23" t="s">
        <v>5242</v>
      </c>
      <c r="C170" s="22">
        <f t="shared" si="4"/>
        <v>7</v>
      </c>
      <c r="E170" s="22"/>
      <c r="F170" s="22"/>
      <c r="G170" s="22"/>
      <c r="H170" s="22"/>
      <c r="I170" s="22"/>
      <c r="J170" s="22"/>
      <c r="K170" s="22"/>
      <c r="L170" s="22"/>
      <c r="N170" s="20"/>
      <c r="O170" s="20"/>
      <c r="P170" s="22"/>
      <c r="Q170" s="22"/>
      <c r="R170" s="20">
        <v>1</v>
      </c>
      <c r="V170" s="20">
        <v>1</v>
      </c>
      <c r="W170" s="20">
        <v>1</v>
      </c>
      <c r="X170" s="20">
        <v>1</v>
      </c>
      <c r="Y170" s="20">
        <v>1</v>
      </c>
      <c r="Z170" s="20">
        <v>1</v>
      </c>
      <c r="AA170" s="20">
        <v>1</v>
      </c>
    </row>
    <row r="171" spans="1:27">
      <c r="A171" s="23" t="s">
        <v>4708</v>
      </c>
      <c r="B171" s="23" t="s">
        <v>5243</v>
      </c>
      <c r="C171" s="22">
        <f t="shared" si="4"/>
        <v>7</v>
      </c>
      <c r="E171" s="22"/>
      <c r="F171" s="22"/>
      <c r="G171" s="22"/>
      <c r="H171" s="22"/>
      <c r="I171" s="22"/>
      <c r="J171" s="22"/>
      <c r="K171" s="22"/>
      <c r="L171" s="22"/>
      <c r="N171" s="20"/>
      <c r="O171" s="20"/>
      <c r="P171" s="22"/>
      <c r="Q171" s="22"/>
      <c r="R171" s="20">
        <v>1</v>
      </c>
      <c r="V171" s="20">
        <v>1</v>
      </c>
      <c r="W171" s="20">
        <v>1</v>
      </c>
      <c r="X171" s="20">
        <v>1</v>
      </c>
      <c r="Y171" s="20">
        <v>1</v>
      </c>
      <c r="Z171" s="20">
        <v>1</v>
      </c>
      <c r="AA171" s="20">
        <v>1</v>
      </c>
    </row>
    <row r="172" spans="1:27">
      <c r="A172" s="23" t="s">
        <v>4723</v>
      </c>
      <c r="B172" s="23" t="s">
        <v>5241</v>
      </c>
      <c r="C172" s="22">
        <f t="shared" si="4"/>
        <v>6</v>
      </c>
      <c r="E172" s="22"/>
      <c r="F172" s="22"/>
      <c r="G172" s="22"/>
      <c r="H172" s="22"/>
      <c r="I172" s="22"/>
      <c r="J172" s="22"/>
      <c r="K172" s="22"/>
      <c r="L172" s="22"/>
      <c r="N172" s="20"/>
      <c r="O172" s="20"/>
      <c r="P172" s="22"/>
      <c r="Q172" s="22"/>
      <c r="R172" s="20"/>
      <c r="V172" s="20">
        <v>1</v>
      </c>
      <c r="W172" s="20">
        <v>1</v>
      </c>
      <c r="X172" s="20">
        <v>1</v>
      </c>
      <c r="Y172" s="20">
        <v>1</v>
      </c>
      <c r="Z172" s="20">
        <v>1</v>
      </c>
      <c r="AA172" s="20">
        <v>1</v>
      </c>
    </row>
    <row r="173" spans="1:27">
      <c r="A173" s="23" t="s">
        <v>5052</v>
      </c>
      <c r="B173" s="23" t="s">
        <v>5248</v>
      </c>
      <c r="C173" s="22">
        <f t="shared" si="4"/>
        <v>5</v>
      </c>
      <c r="E173" s="22"/>
      <c r="F173" s="22"/>
      <c r="G173" s="22"/>
      <c r="H173" s="22"/>
      <c r="I173" s="22"/>
      <c r="J173" s="22"/>
      <c r="K173" s="22"/>
      <c r="L173" s="22"/>
      <c r="N173" s="20"/>
      <c r="O173" s="20"/>
      <c r="P173" s="22"/>
      <c r="Q173" s="22"/>
      <c r="R173" s="20"/>
      <c r="V173" s="20">
        <v>1</v>
      </c>
      <c r="W173" s="20">
        <v>1</v>
      </c>
      <c r="X173" s="20">
        <v>1</v>
      </c>
      <c r="Y173" s="20">
        <v>1</v>
      </c>
      <c r="Z173" s="20">
        <v>1</v>
      </c>
      <c r="AA173" s="20"/>
    </row>
    <row r="174" spans="1:27">
      <c r="A174" s="23" t="s">
        <v>4404</v>
      </c>
      <c r="B174" s="23" t="s">
        <v>5250</v>
      </c>
      <c r="C174" s="22">
        <f t="shared" si="4"/>
        <v>5</v>
      </c>
      <c r="E174" s="22"/>
      <c r="F174" s="22"/>
      <c r="G174" s="22"/>
      <c r="H174" s="22"/>
      <c r="I174" s="22"/>
      <c r="J174" s="22"/>
      <c r="K174" s="22"/>
      <c r="L174" s="22"/>
      <c r="N174" s="20"/>
      <c r="O174" s="20"/>
      <c r="P174" s="22"/>
      <c r="Q174" s="22"/>
      <c r="R174" s="20"/>
      <c r="V174" s="20">
        <v>1</v>
      </c>
      <c r="W174" s="20">
        <v>1</v>
      </c>
      <c r="X174" s="20">
        <v>1</v>
      </c>
      <c r="Y174" s="20">
        <v>1</v>
      </c>
      <c r="Z174" s="20">
        <v>1</v>
      </c>
      <c r="AA174" s="20"/>
    </row>
    <row r="175" spans="1:27">
      <c r="A175" s="23" t="s">
        <v>4534</v>
      </c>
      <c r="B175" s="23" t="s">
        <v>5251</v>
      </c>
      <c r="C175" s="22">
        <f t="shared" si="4"/>
        <v>4</v>
      </c>
      <c r="E175" s="22"/>
      <c r="F175" s="22"/>
      <c r="G175" s="22"/>
      <c r="H175" s="22"/>
      <c r="I175" s="22"/>
      <c r="J175" s="22"/>
      <c r="K175" s="22"/>
      <c r="L175" s="22"/>
      <c r="N175" s="20"/>
      <c r="O175" s="20"/>
      <c r="P175" s="22"/>
      <c r="Q175" s="22"/>
      <c r="R175" s="20"/>
      <c r="V175" s="20">
        <v>1</v>
      </c>
      <c r="X175" s="20">
        <v>1</v>
      </c>
      <c r="Y175" s="20">
        <v>1</v>
      </c>
      <c r="Z175" s="20">
        <v>1</v>
      </c>
      <c r="AA175" s="20"/>
    </row>
    <row r="176" spans="1:27">
      <c r="A176" s="23" t="s">
        <v>4726</v>
      </c>
      <c r="B176" s="23" t="s">
        <v>5252</v>
      </c>
      <c r="C176" s="22">
        <f t="shared" si="4"/>
        <v>4</v>
      </c>
      <c r="E176" s="22"/>
      <c r="F176" s="22"/>
      <c r="G176" s="22"/>
      <c r="H176" s="22"/>
      <c r="I176" s="22"/>
      <c r="J176" s="22"/>
      <c r="K176" s="22"/>
      <c r="L176" s="22"/>
      <c r="N176" s="20"/>
      <c r="O176" s="20"/>
      <c r="P176" s="22"/>
      <c r="Q176" s="22"/>
      <c r="R176" s="20"/>
      <c r="V176" s="20">
        <v>1</v>
      </c>
      <c r="X176" s="20">
        <v>1</v>
      </c>
      <c r="Y176" s="20">
        <v>1</v>
      </c>
      <c r="Z176" s="20">
        <v>1</v>
      </c>
      <c r="AA176" s="20"/>
    </row>
    <row r="177" spans="1:27">
      <c r="A177" s="23" t="s">
        <v>4452</v>
      </c>
      <c r="B177" s="23" t="s">
        <v>5253</v>
      </c>
      <c r="C177" s="22">
        <f t="shared" si="4"/>
        <v>4</v>
      </c>
      <c r="E177" s="22"/>
      <c r="F177" s="22"/>
      <c r="G177" s="22"/>
      <c r="H177" s="22"/>
      <c r="I177" s="22"/>
      <c r="J177" s="22"/>
      <c r="K177" s="22"/>
      <c r="L177" s="22"/>
      <c r="N177" s="20"/>
      <c r="O177" s="20"/>
      <c r="P177" s="22"/>
      <c r="Q177" s="22"/>
      <c r="R177" s="20"/>
      <c r="V177" s="20">
        <v>1</v>
      </c>
      <c r="X177" s="20">
        <v>1</v>
      </c>
      <c r="Y177" s="20">
        <v>1</v>
      </c>
      <c r="Z177" s="20">
        <v>1</v>
      </c>
      <c r="AA177" s="20"/>
    </row>
    <row r="178" spans="1:27">
      <c r="A178" s="23" t="s">
        <v>4537</v>
      </c>
      <c r="B178" s="23" t="s">
        <v>5254</v>
      </c>
      <c r="C178" s="22">
        <f t="shared" si="4"/>
        <v>4</v>
      </c>
      <c r="E178" s="22"/>
      <c r="F178" s="22"/>
      <c r="G178" s="22"/>
      <c r="H178" s="22"/>
      <c r="I178" s="22"/>
      <c r="J178" s="22"/>
      <c r="K178" s="22"/>
      <c r="L178" s="22"/>
      <c r="N178" s="20"/>
      <c r="O178" s="20"/>
      <c r="P178" s="22"/>
      <c r="Q178" s="22"/>
      <c r="R178" s="20"/>
      <c r="V178" s="20">
        <v>1</v>
      </c>
      <c r="X178" s="20">
        <v>1</v>
      </c>
      <c r="Y178" s="20">
        <v>1</v>
      </c>
      <c r="Z178" s="20">
        <v>1</v>
      </c>
      <c r="AA178" s="20"/>
    </row>
    <row r="179" spans="1:27">
      <c r="A179" s="23" t="s">
        <v>5049</v>
      </c>
      <c r="B179" s="23" t="s">
        <v>5255</v>
      </c>
      <c r="C179" s="22">
        <f t="shared" si="4"/>
        <v>3</v>
      </c>
      <c r="E179" s="22"/>
      <c r="F179" s="22"/>
      <c r="G179" s="22"/>
      <c r="H179" s="22"/>
      <c r="I179" s="22"/>
      <c r="J179" s="22"/>
      <c r="K179" s="22"/>
      <c r="L179" s="22"/>
      <c r="N179" s="20"/>
      <c r="O179" s="20"/>
      <c r="P179" s="22"/>
      <c r="Q179" s="22"/>
      <c r="R179" s="20"/>
      <c r="V179" s="20">
        <v>1</v>
      </c>
      <c r="W179" s="20">
        <v>1</v>
      </c>
      <c r="X179" s="20">
        <v>1</v>
      </c>
      <c r="AA179" s="20"/>
    </row>
    <row r="180" spans="1:27">
      <c r="A180" s="23" t="s">
        <v>4531</v>
      </c>
      <c r="B180" s="23" t="s">
        <v>5256</v>
      </c>
      <c r="C180" s="22">
        <f t="shared" si="4"/>
        <v>3</v>
      </c>
      <c r="E180" s="22"/>
      <c r="F180" s="22"/>
      <c r="G180" s="22"/>
      <c r="H180" s="22"/>
      <c r="I180" s="22"/>
      <c r="J180" s="22"/>
      <c r="K180" s="22"/>
      <c r="L180" s="22"/>
      <c r="N180" s="20"/>
      <c r="O180" s="20"/>
      <c r="P180" s="22"/>
      <c r="Q180" s="22"/>
      <c r="R180" s="20"/>
      <c r="V180" s="20">
        <v>1</v>
      </c>
      <c r="X180" s="20">
        <v>1</v>
      </c>
      <c r="Z180" s="20">
        <v>1</v>
      </c>
      <c r="AA180" s="20"/>
    </row>
    <row r="181" spans="1:27">
      <c r="A181" s="23" t="s">
        <v>4919</v>
      </c>
      <c r="B181" s="23" t="s">
        <v>5257</v>
      </c>
      <c r="C181" s="22">
        <f t="shared" si="4"/>
        <v>4</v>
      </c>
      <c r="E181" s="22"/>
      <c r="F181" s="22"/>
      <c r="G181" s="22"/>
      <c r="H181" s="22"/>
      <c r="I181" s="22"/>
      <c r="J181" s="22"/>
      <c r="K181" s="22"/>
      <c r="L181" s="22"/>
      <c r="N181" s="20"/>
      <c r="O181" s="20"/>
      <c r="P181" s="22"/>
      <c r="Q181" s="22"/>
      <c r="R181" s="20"/>
      <c r="V181" s="20">
        <v>1</v>
      </c>
      <c r="X181" s="20">
        <v>1</v>
      </c>
      <c r="Z181" s="20">
        <v>1</v>
      </c>
      <c r="AA181" s="20">
        <v>1</v>
      </c>
    </row>
    <row r="182" spans="1:27">
      <c r="A182" s="23" t="s">
        <v>4768</v>
      </c>
      <c r="B182" s="23" t="s">
        <v>5258</v>
      </c>
      <c r="C182" s="22">
        <f t="shared" si="4"/>
        <v>4</v>
      </c>
      <c r="E182" s="22"/>
      <c r="F182" s="22"/>
      <c r="G182" s="22"/>
      <c r="H182" s="22"/>
      <c r="I182" s="22"/>
      <c r="J182" s="22"/>
      <c r="K182" s="22"/>
      <c r="L182" s="22"/>
      <c r="N182" s="20"/>
      <c r="O182" s="20"/>
      <c r="P182" s="22"/>
      <c r="Q182" s="22"/>
      <c r="R182" s="20"/>
      <c r="V182" s="20">
        <v>1</v>
      </c>
      <c r="W182" s="20">
        <v>1</v>
      </c>
      <c r="X182" s="20">
        <v>1</v>
      </c>
      <c r="Z182" s="20">
        <v>1</v>
      </c>
      <c r="AA182" s="20"/>
    </row>
    <row r="183" spans="1:27">
      <c r="A183" s="23" t="s">
        <v>4845</v>
      </c>
      <c r="B183" s="23" t="s">
        <v>5259</v>
      </c>
      <c r="C183" s="22">
        <f t="shared" si="4"/>
        <v>5</v>
      </c>
      <c r="E183" s="22"/>
      <c r="F183" s="22"/>
      <c r="G183" s="22"/>
      <c r="H183" s="22"/>
      <c r="I183" s="22"/>
      <c r="J183" s="22"/>
      <c r="K183" s="22"/>
      <c r="L183" s="22"/>
      <c r="N183" s="20"/>
      <c r="O183" s="20"/>
      <c r="P183" s="22"/>
      <c r="Q183" s="22"/>
      <c r="R183" s="20"/>
      <c r="V183" s="20">
        <v>1</v>
      </c>
      <c r="W183" s="20">
        <v>1</v>
      </c>
      <c r="X183" s="20">
        <v>1</v>
      </c>
      <c r="Y183" s="20">
        <v>1</v>
      </c>
      <c r="Z183" s="20">
        <v>1</v>
      </c>
      <c r="AA183" s="20"/>
    </row>
    <row r="184" spans="1:27">
      <c r="A184" s="23" t="s">
        <v>4832</v>
      </c>
      <c r="B184" s="23" t="s">
        <v>5260</v>
      </c>
      <c r="C184" s="22">
        <f t="shared" si="4"/>
        <v>5</v>
      </c>
      <c r="E184" s="22"/>
      <c r="F184" s="22"/>
      <c r="G184" s="22"/>
      <c r="H184" s="22"/>
      <c r="I184" s="22"/>
      <c r="J184" s="22"/>
      <c r="K184" s="22"/>
      <c r="L184" s="22"/>
      <c r="N184" s="20"/>
      <c r="O184" s="20"/>
      <c r="P184" s="22"/>
      <c r="Q184" s="22"/>
      <c r="R184" s="20"/>
      <c r="V184" s="20">
        <v>1</v>
      </c>
      <c r="W184" s="20">
        <v>1</v>
      </c>
      <c r="X184" s="20">
        <v>1</v>
      </c>
      <c r="Y184" s="20">
        <v>1</v>
      </c>
      <c r="Z184" s="20">
        <v>1</v>
      </c>
      <c r="AA184" s="20"/>
    </row>
    <row r="185" spans="1:27">
      <c r="A185" s="23" t="s">
        <v>5016</v>
      </c>
      <c r="B185" s="23" t="s">
        <v>5261</v>
      </c>
      <c r="C185" s="22">
        <f t="shared" si="4"/>
        <v>2</v>
      </c>
      <c r="E185" s="22"/>
      <c r="F185" s="22"/>
      <c r="G185" s="22"/>
      <c r="H185" s="22"/>
      <c r="I185" s="22"/>
      <c r="J185" s="22"/>
      <c r="K185" s="22"/>
      <c r="L185" s="22"/>
      <c r="N185" s="20"/>
      <c r="O185" s="20"/>
      <c r="P185" s="22"/>
      <c r="Q185" s="22"/>
      <c r="R185" s="20"/>
      <c r="V185" s="20">
        <v>1</v>
      </c>
      <c r="X185" s="20">
        <v>1</v>
      </c>
      <c r="AA185" s="20"/>
    </row>
    <row r="186" spans="1:27">
      <c r="A186" s="23" t="s">
        <v>4835</v>
      </c>
      <c r="B186" s="23" t="s">
        <v>5262</v>
      </c>
      <c r="C186" s="22">
        <f t="shared" si="4"/>
        <v>3</v>
      </c>
      <c r="E186" s="22"/>
      <c r="F186" s="22"/>
      <c r="G186" s="22"/>
      <c r="H186" s="22"/>
      <c r="I186" s="22"/>
      <c r="J186" s="22"/>
      <c r="K186" s="22"/>
      <c r="L186" s="22"/>
      <c r="N186" s="20"/>
      <c r="O186" s="20"/>
      <c r="P186" s="22"/>
      <c r="Q186" s="22"/>
      <c r="R186" s="20"/>
      <c r="V186" s="20">
        <v>1</v>
      </c>
      <c r="X186" s="20">
        <v>1</v>
      </c>
      <c r="Z186" s="20">
        <v>1</v>
      </c>
      <c r="AA186" s="20"/>
    </row>
    <row r="187" spans="1:27">
      <c r="A187" s="23" t="s">
        <v>4317</v>
      </c>
      <c r="B187" s="23" t="s">
        <v>5263</v>
      </c>
      <c r="C187" s="22">
        <f t="shared" si="4"/>
        <v>2</v>
      </c>
      <c r="E187" s="22"/>
      <c r="F187" s="22"/>
      <c r="G187" s="22"/>
      <c r="H187" s="22"/>
      <c r="I187" s="22"/>
      <c r="J187" s="22"/>
      <c r="K187" s="22"/>
      <c r="L187" s="22"/>
      <c r="N187" s="20"/>
      <c r="O187" s="20"/>
      <c r="P187" s="22"/>
      <c r="Q187" s="22"/>
      <c r="R187" s="20"/>
      <c r="V187" s="20">
        <v>1</v>
      </c>
      <c r="X187" s="20">
        <v>1</v>
      </c>
      <c r="AA187" s="20"/>
    </row>
    <row r="188" spans="1:27">
      <c r="A188" s="23" t="s">
        <v>5128</v>
      </c>
      <c r="B188" s="23" t="s">
        <v>5264</v>
      </c>
      <c r="C188" s="22">
        <f t="shared" si="4"/>
        <v>3</v>
      </c>
      <c r="E188" s="22"/>
      <c r="F188" s="22"/>
      <c r="G188" s="22"/>
      <c r="H188" s="22"/>
      <c r="I188" s="22"/>
      <c r="J188" s="22"/>
      <c r="K188" s="22"/>
      <c r="L188" s="22"/>
      <c r="N188" s="20"/>
      <c r="O188" s="20"/>
      <c r="P188" s="22"/>
      <c r="Q188" s="22"/>
      <c r="R188" s="20"/>
      <c r="V188" s="20">
        <v>1</v>
      </c>
      <c r="X188" s="20">
        <v>1</v>
      </c>
      <c r="Y188" s="20">
        <v>1</v>
      </c>
      <c r="AA188" s="20"/>
    </row>
    <row r="189" spans="1:27">
      <c r="A189" s="23" t="s">
        <v>4908</v>
      </c>
      <c r="B189" s="23" t="s">
        <v>5265</v>
      </c>
      <c r="C189" s="22">
        <f t="shared" si="4"/>
        <v>3</v>
      </c>
      <c r="E189" s="22"/>
      <c r="F189" s="22"/>
      <c r="G189" s="22"/>
      <c r="H189" s="22"/>
      <c r="I189" s="22"/>
      <c r="J189" s="22"/>
      <c r="K189" s="22"/>
      <c r="L189" s="22"/>
      <c r="N189" s="20"/>
      <c r="O189" s="20"/>
      <c r="P189" s="22"/>
      <c r="Q189" s="22"/>
      <c r="R189" s="20"/>
      <c r="V189" s="20">
        <v>1</v>
      </c>
      <c r="X189" s="20">
        <v>1</v>
      </c>
      <c r="Z189" s="20">
        <v>1</v>
      </c>
      <c r="AA189" s="20"/>
    </row>
    <row r="190" spans="1:27">
      <c r="A190" s="23" t="s">
        <v>4668</v>
      </c>
      <c r="B190" s="23" t="s">
        <v>5266</v>
      </c>
      <c r="C190" s="22">
        <f t="shared" si="4"/>
        <v>4</v>
      </c>
      <c r="E190" s="22"/>
      <c r="F190" s="22"/>
      <c r="G190" s="22"/>
      <c r="H190" s="22"/>
      <c r="I190" s="22"/>
      <c r="J190" s="22"/>
      <c r="K190" s="22"/>
      <c r="L190" s="22"/>
      <c r="N190" s="20"/>
      <c r="O190" s="20"/>
      <c r="P190" s="22"/>
      <c r="Q190" s="22"/>
      <c r="R190" s="20"/>
      <c r="V190" s="20">
        <v>1</v>
      </c>
      <c r="X190" s="20">
        <v>1</v>
      </c>
      <c r="Y190" s="20">
        <v>1</v>
      </c>
      <c r="Z190" s="20">
        <v>1</v>
      </c>
      <c r="AA190" s="20"/>
    </row>
    <row r="191" spans="1:27">
      <c r="A191" s="23" t="s">
        <v>4671</v>
      </c>
      <c r="B191" s="23" t="s">
        <v>5267</v>
      </c>
      <c r="C191" s="22">
        <f t="shared" si="4"/>
        <v>4</v>
      </c>
      <c r="E191" s="22"/>
      <c r="F191" s="22"/>
      <c r="G191" s="22"/>
      <c r="H191" s="22"/>
      <c r="I191" s="22"/>
      <c r="J191" s="22"/>
      <c r="K191" s="22"/>
      <c r="L191" s="22"/>
      <c r="N191" s="20"/>
      <c r="O191" s="20"/>
      <c r="P191" s="22"/>
      <c r="Q191" s="22"/>
      <c r="R191" s="20"/>
      <c r="V191" s="20">
        <v>1</v>
      </c>
      <c r="X191" s="20">
        <v>1</v>
      </c>
      <c r="Y191" s="20">
        <v>1</v>
      </c>
      <c r="Z191" s="20">
        <v>1</v>
      </c>
      <c r="AA191" s="20"/>
    </row>
    <row r="192" spans="1:27">
      <c r="A192" s="23" t="s">
        <v>4674</v>
      </c>
      <c r="B192" s="23" t="s">
        <v>5268</v>
      </c>
      <c r="C192" s="22">
        <f t="shared" si="4"/>
        <v>4</v>
      </c>
      <c r="E192" s="22"/>
      <c r="F192" s="22"/>
      <c r="G192" s="22"/>
      <c r="H192" s="22"/>
      <c r="I192" s="22"/>
      <c r="J192" s="22"/>
      <c r="K192" s="22"/>
      <c r="L192" s="22"/>
      <c r="N192" s="20"/>
      <c r="O192" s="20"/>
      <c r="P192" s="22"/>
      <c r="Q192" s="22"/>
      <c r="R192" s="20"/>
      <c r="V192" s="20">
        <v>1</v>
      </c>
      <c r="X192" s="20">
        <v>1</v>
      </c>
      <c r="Y192" s="20">
        <v>1</v>
      </c>
      <c r="Z192" s="20">
        <v>1</v>
      </c>
      <c r="AA192" s="20"/>
    </row>
    <row r="193" spans="1:27">
      <c r="A193" s="23" t="s">
        <v>4848</v>
      </c>
      <c r="B193" s="23" t="s">
        <v>5269</v>
      </c>
      <c r="C193" s="22">
        <f t="shared" si="4"/>
        <v>3</v>
      </c>
      <c r="E193" s="22"/>
      <c r="F193" s="22"/>
      <c r="G193" s="22"/>
      <c r="H193" s="22"/>
      <c r="I193" s="22"/>
      <c r="J193" s="22"/>
      <c r="K193" s="22"/>
      <c r="L193" s="22"/>
      <c r="N193" s="20"/>
      <c r="O193" s="20"/>
      <c r="P193" s="22"/>
      <c r="Q193" s="22"/>
      <c r="R193" s="20"/>
      <c r="V193" s="20">
        <v>1</v>
      </c>
      <c r="W193" s="20">
        <v>1</v>
      </c>
      <c r="X193" s="20">
        <v>1</v>
      </c>
      <c r="AA193" s="20"/>
    </row>
    <row r="194" spans="1:27">
      <c r="A194" s="23" t="s">
        <v>5667</v>
      </c>
      <c r="B194" s="23" t="s">
        <v>5270</v>
      </c>
      <c r="C194" s="22">
        <f t="shared" si="4"/>
        <v>2</v>
      </c>
      <c r="E194" s="22"/>
      <c r="F194" s="22"/>
      <c r="G194" s="22"/>
      <c r="H194" s="22"/>
      <c r="I194" s="22"/>
      <c r="J194" s="22"/>
      <c r="K194" s="22"/>
      <c r="L194" s="22"/>
      <c r="N194" s="20"/>
      <c r="O194" s="20"/>
      <c r="P194" s="22"/>
      <c r="Q194" s="22"/>
      <c r="R194" s="20"/>
      <c r="V194" s="20">
        <v>1</v>
      </c>
      <c r="Z194" s="20">
        <v>1</v>
      </c>
      <c r="AA194" s="20"/>
    </row>
    <row r="195" spans="1:27">
      <c r="A195" s="23" t="s">
        <v>4273</v>
      </c>
      <c r="B195" s="23" t="s">
        <v>5273</v>
      </c>
      <c r="C195" s="22">
        <f t="shared" si="4"/>
        <v>2</v>
      </c>
      <c r="E195" s="22"/>
      <c r="F195" s="22"/>
      <c r="G195" s="22"/>
      <c r="H195" s="22"/>
      <c r="I195" s="22"/>
      <c r="J195" s="22"/>
      <c r="K195" s="22"/>
      <c r="L195" s="22"/>
      <c r="N195" s="20"/>
      <c r="O195" s="20"/>
      <c r="P195" s="22"/>
      <c r="Q195" s="22"/>
      <c r="R195" s="20"/>
      <c r="V195" s="20">
        <v>1</v>
      </c>
      <c r="X195" s="20">
        <v>1</v>
      </c>
      <c r="AA195" s="20"/>
    </row>
    <row r="196" spans="1:27">
      <c r="A196" s="23" t="s">
        <v>4970</v>
      </c>
      <c r="B196" s="23" t="s">
        <v>5274</v>
      </c>
      <c r="C196" s="22">
        <f t="shared" si="4"/>
        <v>2</v>
      </c>
      <c r="E196" s="22"/>
      <c r="F196" s="22"/>
      <c r="G196" s="22"/>
      <c r="H196" s="22"/>
      <c r="I196" s="22"/>
      <c r="J196" s="22"/>
      <c r="K196" s="22"/>
      <c r="L196" s="22"/>
      <c r="N196" s="20"/>
      <c r="O196" s="20"/>
      <c r="P196" s="22"/>
      <c r="Q196" s="22"/>
      <c r="R196" s="20"/>
      <c r="V196" s="20">
        <v>1</v>
      </c>
      <c r="X196" s="20">
        <v>1</v>
      </c>
      <c r="AA196" s="20"/>
    </row>
    <row r="197" spans="1:27">
      <c r="A197" s="23" t="s">
        <v>4711</v>
      </c>
      <c r="B197" s="23" t="s">
        <v>5275</v>
      </c>
      <c r="C197" s="22">
        <f t="shared" si="4"/>
        <v>3</v>
      </c>
      <c r="E197" s="22"/>
      <c r="F197" s="22"/>
      <c r="G197" s="22"/>
      <c r="H197" s="22"/>
      <c r="I197" s="22"/>
      <c r="J197" s="22"/>
      <c r="K197" s="22"/>
      <c r="L197" s="22"/>
      <c r="N197" s="20"/>
      <c r="O197" s="20"/>
      <c r="P197" s="22"/>
      <c r="Q197" s="22"/>
      <c r="R197" s="20"/>
      <c r="V197" s="20">
        <v>1</v>
      </c>
      <c r="W197" s="20">
        <v>1</v>
      </c>
      <c r="X197" s="20">
        <v>1</v>
      </c>
      <c r="AA197" s="20"/>
    </row>
    <row r="198" spans="1:27">
      <c r="A198" s="23" t="s">
        <v>4286</v>
      </c>
      <c r="B198" s="23" t="s">
        <v>5276</v>
      </c>
      <c r="C198" s="22">
        <f t="shared" si="4"/>
        <v>2</v>
      </c>
      <c r="E198" s="22"/>
      <c r="F198" s="22"/>
      <c r="G198" s="22"/>
      <c r="H198" s="22"/>
      <c r="I198" s="22"/>
      <c r="J198" s="22"/>
      <c r="K198" s="22"/>
      <c r="L198" s="22"/>
      <c r="N198" s="20"/>
      <c r="O198" s="20"/>
      <c r="P198" s="22"/>
      <c r="Q198" s="22"/>
      <c r="R198" s="20"/>
      <c r="V198" s="20">
        <v>1</v>
      </c>
      <c r="Z198" s="20">
        <v>1</v>
      </c>
      <c r="AA198" s="20"/>
    </row>
    <row r="199" spans="1:27">
      <c r="A199" s="23" t="s">
        <v>4714</v>
      </c>
      <c r="B199" s="23" t="s">
        <v>5277</v>
      </c>
      <c r="C199" s="22">
        <f t="shared" si="4"/>
        <v>3</v>
      </c>
      <c r="E199" s="22"/>
      <c r="F199" s="22"/>
      <c r="G199" s="22"/>
      <c r="H199" s="22"/>
      <c r="I199" s="22"/>
      <c r="J199" s="22"/>
      <c r="K199" s="22"/>
      <c r="L199" s="22"/>
      <c r="N199" s="20"/>
      <c r="O199" s="20"/>
      <c r="P199" s="22"/>
      <c r="Q199" s="22"/>
      <c r="R199" s="20"/>
      <c r="V199" s="20">
        <v>1</v>
      </c>
      <c r="W199" s="20">
        <v>1</v>
      </c>
      <c r="Z199" s="20">
        <v>1</v>
      </c>
      <c r="AA199" s="20"/>
    </row>
    <row r="200" spans="1:27">
      <c r="A200" s="23" t="s">
        <v>5278</v>
      </c>
      <c r="B200" s="23" t="s">
        <v>5279</v>
      </c>
      <c r="C200" s="22">
        <f t="shared" si="4"/>
        <v>2</v>
      </c>
      <c r="E200" s="22"/>
      <c r="F200" s="22"/>
      <c r="G200" s="22"/>
      <c r="H200" s="22"/>
      <c r="I200" s="22"/>
      <c r="J200" s="22"/>
      <c r="K200" s="22"/>
      <c r="L200" s="22"/>
      <c r="N200" s="20"/>
      <c r="O200" s="20"/>
      <c r="P200" s="22"/>
      <c r="Q200" s="22"/>
      <c r="R200" s="20"/>
      <c r="V200" s="20">
        <v>1</v>
      </c>
      <c r="Z200" s="20">
        <v>1</v>
      </c>
      <c r="AA200" s="20"/>
    </row>
    <row r="201" spans="1:27">
      <c r="A201" s="23" t="s">
        <v>5280</v>
      </c>
      <c r="B201" s="23" t="s">
        <v>5290</v>
      </c>
      <c r="C201" s="22">
        <f t="shared" si="4"/>
        <v>2</v>
      </c>
      <c r="E201" s="22"/>
      <c r="F201" s="22"/>
      <c r="G201" s="22"/>
      <c r="H201" s="22"/>
      <c r="I201" s="22"/>
      <c r="J201" s="22"/>
      <c r="K201" s="22"/>
      <c r="L201" s="22"/>
      <c r="N201" s="20"/>
      <c r="O201" s="20"/>
      <c r="P201" s="22"/>
      <c r="Q201" s="22"/>
      <c r="R201" s="20"/>
      <c r="V201" s="20">
        <v>1</v>
      </c>
      <c r="Z201" s="20">
        <v>1</v>
      </c>
      <c r="AA201" s="20"/>
    </row>
    <row r="202" spans="1:27">
      <c r="A202" s="23" t="s">
        <v>4243</v>
      </c>
      <c r="B202" s="23" t="s">
        <v>5281</v>
      </c>
      <c r="C202" s="22">
        <f t="shared" ref="C202:C265" si="5">SUM(D202:AI202)</f>
        <v>2</v>
      </c>
      <c r="E202" s="22"/>
      <c r="F202" s="22"/>
      <c r="G202" s="22"/>
      <c r="H202" s="22"/>
      <c r="I202" s="22"/>
      <c r="J202" s="22"/>
      <c r="K202" s="22"/>
      <c r="L202" s="22"/>
      <c r="N202" s="20"/>
      <c r="O202" s="20"/>
      <c r="P202" s="22"/>
      <c r="Q202" s="22"/>
      <c r="R202" s="20"/>
      <c r="V202" s="20">
        <v>1</v>
      </c>
      <c r="Y202" s="20">
        <v>1</v>
      </c>
      <c r="AA202" s="20"/>
    </row>
    <row r="203" spans="1:27">
      <c r="A203" s="23" t="s">
        <v>4320</v>
      </c>
      <c r="B203" s="23" t="s">
        <v>5282</v>
      </c>
      <c r="C203" s="22">
        <f t="shared" si="5"/>
        <v>2</v>
      </c>
      <c r="E203" s="22"/>
      <c r="F203" s="22"/>
      <c r="G203" s="22"/>
      <c r="H203" s="22"/>
      <c r="I203" s="22"/>
      <c r="J203" s="22"/>
      <c r="K203" s="22"/>
      <c r="L203" s="22"/>
      <c r="N203" s="20"/>
      <c r="O203" s="20"/>
      <c r="P203" s="22"/>
      <c r="Q203" s="22"/>
      <c r="R203" s="20"/>
      <c r="V203" s="20">
        <v>1</v>
      </c>
      <c r="Y203" s="20">
        <v>1</v>
      </c>
      <c r="AA203" s="20"/>
    </row>
    <row r="204" spans="1:27">
      <c r="A204" s="23" t="s">
        <v>5158</v>
      </c>
      <c r="B204" s="23" t="s">
        <v>5283</v>
      </c>
      <c r="C204" s="22">
        <f t="shared" si="5"/>
        <v>2</v>
      </c>
      <c r="E204" s="22"/>
      <c r="F204" s="22"/>
      <c r="G204" s="22"/>
      <c r="H204" s="22"/>
      <c r="I204" s="22"/>
      <c r="J204" s="22"/>
      <c r="K204" s="22"/>
      <c r="L204" s="22"/>
      <c r="N204" s="20"/>
      <c r="O204" s="20"/>
      <c r="P204" s="22"/>
      <c r="Q204" s="22"/>
      <c r="R204" s="20"/>
      <c r="V204" s="20">
        <v>1</v>
      </c>
      <c r="Y204" s="20">
        <v>1</v>
      </c>
      <c r="AA204" s="20"/>
    </row>
    <row r="205" spans="1:27">
      <c r="A205" s="23" t="s">
        <v>4349</v>
      </c>
      <c r="B205" s="23" t="s">
        <v>5284</v>
      </c>
      <c r="C205" s="22">
        <f t="shared" si="5"/>
        <v>2</v>
      </c>
      <c r="E205" s="22"/>
      <c r="F205" s="22"/>
      <c r="G205" s="22"/>
      <c r="H205" s="22"/>
      <c r="I205" s="22"/>
      <c r="J205" s="22"/>
      <c r="K205" s="22"/>
      <c r="L205" s="22"/>
      <c r="N205" s="20"/>
      <c r="O205" s="20"/>
      <c r="P205" s="22"/>
      <c r="Q205" s="22"/>
      <c r="R205" s="20"/>
      <c r="V205" s="20">
        <v>1</v>
      </c>
      <c r="Y205" s="20">
        <v>1</v>
      </c>
      <c r="AA205" s="20"/>
    </row>
    <row r="206" spans="1:27">
      <c r="A206" s="23" t="s">
        <v>5285</v>
      </c>
      <c r="B206" s="23" t="s">
        <v>5286</v>
      </c>
      <c r="C206" s="22">
        <f t="shared" si="5"/>
        <v>2</v>
      </c>
      <c r="E206" s="22"/>
      <c r="F206" s="22"/>
      <c r="G206" s="22"/>
      <c r="H206" s="22"/>
      <c r="I206" s="22"/>
      <c r="J206" s="22"/>
      <c r="K206" s="22"/>
      <c r="L206" s="22"/>
      <c r="N206" s="20"/>
      <c r="O206" s="20"/>
      <c r="P206" s="22"/>
      <c r="Q206" s="22"/>
      <c r="R206" s="20"/>
      <c r="V206" s="20">
        <v>1</v>
      </c>
      <c r="Z206" s="20">
        <v>1</v>
      </c>
      <c r="AA206" s="20"/>
    </row>
    <row r="207" spans="1:27">
      <c r="A207" s="23" t="s">
        <v>4268</v>
      </c>
      <c r="B207" s="23" t="s">
        <v>5287</v>
      </c>
      <c r="C207" s="22">
        <f t="shared" si="5"/>
        <v>2</v>
      </c>
      <c r="E207" s="22"/>
      <c r="F207" s="22"/>
      <c r="G207" s="22"/>
      <c r="H207" s="22"/>
      <c r="I207" s="22"/>
      <c r="J207" s="22"/>
      <c r="K207" s="22"/>
      <c r="L207" s="22"/>
      <c r="N207" s="20"/>
      <c r="O207" s="20"/>
      <c r="P207" s="22"/>
      <c r="Q207" s="22"/>
      <c r="R207" s="20"/>
      <c r="V207" s="20">
        <v>1</v>
      </c>
      <c r="X207" s="20">
        <v>1</v>
      </c>
      <c r="AA207" s="20"/>
    </row>
    <row r="208" spans="1:27">
      <c r="A208" s="23" t="s">
        <v>4973</v>
      </c>
      <c r="B208" s="23" t="s">
        <v>5288</v>
      </c>
      <c r="C208" s="22">
        <f t="shared" si="5"/>
        <v>2</v>
      </c>
      <c r="E208" s="22"/>
      <c r="F208" s="22"/>
      <c r="G208" s="22"/>
      <c r="H208" s="22"/>
      <c r="I208" s="22"/>
      <c r="J208" s="22"/>
      <c r="K208" s="22"/>
      <c r="L208" s="22"/>
      <c r="N208" s="20"/>
      <c r="O208" s="20"/>
      <c r="P208" s="22"/>
      <c r="Q208" s="22"/>
      <c r="R208" s="20"/>
      <c r="V208" s="20">
        <v>1</v>
      </c>
      <c r="X208" s="20">
        <v>1</v>
      </c>
      <c r="AA208" s="20"/>
    </row>
    <row r="209" spans="1:27">
      <c r="A209" s="23" t="s">
        <v>4517</v>
      </c>
      <c r="B209" s="23" t="s">
        <v>5292</v>
      </c>
      <c r="C209" s="22">
        <f t="shared" si="5"/>
        <v>2</v>
      </c>
      <c r="E209" s="22"/>
      <c r="F209" s="22"/>
      <c r="G209" s="22"/>
      <c r="H209" s="22"/>
      <c r="I209" s="22"/>
      <c r="J209" s="22"/>
      <c r="K209" s="22"/>
      <c r="L209" s="22"/>
      <c r="N209" s="20"/>
      <c r="O209" s="20"/>
      <c r="P209" s="22"/>
      <c r="Q209" s="22"/>
      <c r="R209" s="20"/>
      <c r="V209" s="20">
        <v>1</v>
      </c>
      <c r="X209" s="20">
        <v>1</v>
      </c>
      <c r="AA209" s="20"/>
    </row>
    <row r="210" spans="1:27">
      <c r="A210" s="23" t="s">
        <v>5289</v>
      </c>
      <c r="B210" s="23" t="s">
        <v>5291</v>
      </c>
      <c r="C210" s="22">
        <f t="shared" si="5"/>
        <v>2</v>
      </c>
      <c r="E210" s="22"/>
      <c r="F210" s="22"/>
      <c r="G210" s="22"/>
      <c r="H210" s="22"/>
      <c r="I210" s="22"/>
      <c r="J210" s="22"/>
      <c r="K210" s="22"/>
      <c r="L210" s="22"/>
      <c r="N210" s="20"/>
      <c r="O210" s="20"/>
      <c r="P210" s="22"/>
      <c r="Q210" s="22"/>
      <c r="R210" s="20"/>
      <c r="V210" s="20">
        <v>1</v>
      </c>
      <c r="Z210" s="20">
        <v>1</v>
      </c>
      <c r="AA210" s="20"/>
    </row>
    <row r="211" spans="1:27">
      <c r="A211" s="23" t="s">
        <v>5293</v>
      </c>
      <c r="B211" s="23" t="s">
        <v>5294</v>
      </c>
      <c r="C211" s="22">
        <f t="shared" si="5"/>
        <v>3</v>
      </c>
      <c r="E211" s="22"/>
      <c r="F211" s="22"/>
      <c r="G211" s="22"/>
      <c r="H211" s="22"/>
      <c r="I211" s="22"/>
      <c r="J211" s="22"/>
      <c r="K211" s="22"/>
      <c r="L211" s="22"/>
      <c r="N211" s="20"/>
      <c r="O211" s="20"/>
      <c r="P211" s="22"/>
      <c r="Q211" s="22"/>
      <c r="R211" s="20"/>
      <c r="V211" s="20">
        <v>1</v>
      </c>
      <c r="W211" s="20">
        <v>1</v>
      </c>
      <c r="Z211" s="20">
        <v>1</v>
      </c>
      <c r="AA211" s="20"/>
    </row>
    <row r="212" spans="1:27">
      <c r="A212" s="23" t="s">
        <v>4734</v>
      </c>
      <c r="B212" s="23" t="s">
        <v>5295</v>
      </c>
      <c r="C212" s="22">
        <f t="shared" si="5"/>
        <v>3</v>
      </c>
      <c r="E212" s="22"/>
      <c r="F212" s="22"/>
      <c r="G212" s="22"/>
      <c r="H212" s="22"/>
      <c r="I212" s="22"/>
      <c r="J212" s="22"/>
      <c r="K212" s="22"/>
      <c r="L212" s="22"/>
      <c r="N212" s="20"/>
      <c r="O212" s="20"/>
      <c r="P212" s="22"/>
      <c r="Q212" s="22"/>
      <c r="R212" s="20"/>
      <c r="V212" s="20">
        <v>1</v>
      </c>
      <c r="W212" s="20">
        <v>1</v>
      </c>
      <c r="Z212" s="20">
        <v>1</v>
      </c>
      <c r="AA212" s="20"/>
    </row>
    <row r="213" spans="1:27">
      <c r="A213" s="23" t="s">
        <v>4793</v>
      </c>
      <c r="B213" s="23" t="s">
        <v>5296</v>
      </c>
      <c r="C213" s="22">
        <f t="shared" si="5"/>
        <v>3</v>
      </c>
      <c r="E213" s="22"/>
      <c r="F213" s="22"/>
      <c r="G213" s="22"/>
      <c r="H213" s="22"/>
      <c r="I213" s="22"/>
      <c r="J213" s="22"/>
      <c r="K213" s="22"/>
      <c r="L213" s="22"/>
      <c r="N213" s="20"/>
      <c r="O213" s="20"/>
      <c r="P213" s="22"/>
      <c r="Q213" s="22"/>
      <c r="R213" s="20"/>
      <c r="V213" s="20">
        <v>1</v>
      </c>
      <c r="W213" s="20">
        <v>1</v>
      </c>
      <c r="Z213" s="20">
        <v>1</v>
      </c>
      <c r="AA213" s="20"/>
    </row>
    <row r="214" spans="1:27">
      <c r="A214" s="23" t="s">
        <v>5297</v>
      </c>
      <c r="B214" s="23" t="s">
        <v>5427</v>
      </c>
      <c r="C214" s="22">
        <f t="shared" si="5"/>
        <v>2</v>
      </c>
      <c r="E214" s="22"/>
      <c r="F214" s="22"/>
      <c r="G214" s="22"/>
      <c r="H214" s="22"/>
      <c r="I214" s="22"/>
      <c r="J214" s="22"/>
      <c r="K214" s="22"/>
      <c r="L214" s="22"/>
      <c r="N214" s="20"/>
      <c r="O214" s="20"/>
      <c r="P214" s="22"/>
      <c r="Q214" s="22"/>
      <c r="R214" s="20"/>
      <c r="V214" s="20">
        <v>1</v>
      </c>
      <c r="Z214" s="20">
        <v>1</v>
      </c>
      <c r="AA214" s="20"/>
    </row>
    <row r="215" spans="1:27">
      <c r="A215" s="23" t="s">
        <v>5298</v>
      </c>
      <c r="B215" s="23" t="s">
        <v>5299</v>
      </c>
      <c r="C215" s="22">
        <f t="shared" si="5"/>
        <v>2</v>
      </c>
      <c r="E215" s="22"/>
      <c r="F215" s="22"/>
      <c r="G215" s="22"/>
      <c r="H215" s="22"/>
      <c r="I215" s="22"/>
      <c r="J215" s="22"/>
      <c r="K215" s="22"/>
      <c r="L215" s="22"/>
      <c r="N215" s="20"/>
      <c r="O215" s="20"/>
      <c r="P215" s="22"/>
      <c r="Q215" s="22"/>
      <c r="R215" s="20"/>
      <c r="V215" s="20">
        <v>1</v>
      </c>
      <c r="X215" s="20">
        <v>1</v>
      </c>
      <c r="AA215" s="20"/>
    </row>
    <row r="216" spans="1:27">
      <c r="A216" s="23" t="s">
        <v>4278</v>
      </c>
      <c r="B216" s="23" t="s">
        <v>5300</v>
      </c>
      <c r="C216" s="22">
        <f t="shared" si="5"/>
        <v>2</v>
      </c>
      <c r="E216" s="22"/>
      <c r="F216" s="22"/>
      <c r="G216" s="22"/>
      <c r="H216" s="22"/>
      <c r="I216" s="22"/>
      <c r="J216" s="22"/>
      <c r="K216" s="22"/>
      <c r="L216" s="22"/>
      <c r="N216" s="20"/>
      <c r="O216" s="20"/>
      <c r="P216" s="22"/>
      <c r="Q216" s="22"/>
      <c r="R216" s="20"/>
      <c r="V216" s="20">
        <v>1</v>
      </c>
      <c r="X216" s="20">
        <v>1</v>
      </c>
      <c r="AA216" s="20"/>
    </row>
    <row r="217" spans="1:27">
      <c r="A217" s="23" t="s">
        <v>5301</v>
      </c>
      <c r="B217" s="23" t="s">
        <v>5302</v>
      </c>
      <c r="C217" s="22">
        <f t="shared" si="5"/>
        <v>2</v>
      </c>
      <c r="E217" s="22"/>
      <c r="F217" s="22"/>
      <c r="G217" s="22"/>
      <c r="H217" s="22"/>
      <c r="I217" s="22"/>
      <c r="J217" s="22"/>
      <c r="K217" s="22"/>
      <c r="L217" s="22"/>
      <c r="N217" s="20"/>
      <c r="O217" s="20"/>
      <c r="P217" s="22"/>
      <c r="Q217" s="22"/>
      <c r="R217" s="20"/>
      <c r="V217" s="20">
        <v>1</v>
      </c>
      <c r="X217" s="20">
        <v>1</v>
      </c>
      <c r="AA217" s="20"/>
    </row>
    <row r="218" spans="1:27">
      <c r="A218" s="23" t="s">
        <v>5303</v>
      </c>
      <c r="B218" s="23" t="s">
        <v>5273</v>
      </c>
      <c r="C218" s="22">
        <f t="shared" si="5"/>
        <v>2</v>
      </c>
      <c r="E218" s="22"/>
      <c r="F218" s="22"/>
      <c r="G218" s="22"/>
      <c r="H218" s="22"/>
      <c r="I218" s="22"/>
      <c r="J218" s="22"/>
      <c r="K218" s="22"/>
      <c r="L218" s="22"/>
      <c r="N218" s="20"/>
      <c r="O218" s="20"/>
      <c r="P218" s="22"/>
      <c r="Q218" s="22"/>
      <c r="R218" s="20"/>
      <c r="V218" s="20">
        <v>1</v>
      </c>
      <c r="X218" s="20">
        <v>1</v>
      </c>
      <c r="AA218" s="20"/>
    </row>
    <row r="219" spans="1:27">
      <c r="A219" s="23" t="s">
        <v>5324</v>
      </c>
      <c r="B219" s="23" t="s">
        <v>5466</v>
      </c>
      <c r="C219" s="22">
        <f t="shared" si="5"/>
        <v>3</v>
      </c>
      <c r="E219" s="22"/>
      <c r="F219" s="22"/>
      <c r="G219" s="22"/>
      <c r="H219" s="22"/>
      <c r="I219" s="22"/>
      <c r="J219" s="22"/>
      <c r="K219" s="22"/>
      <c r="L219" s="22"/>
      <c r="N219" s="20"/>
      <c r="O219" s="20"/>
      <c r="P219" s="22"/>
      <c r="Q219" s="22"/>
      <c r="R219" s="20"/>
      <c r="T219" s="20">
        <v>1</v>
      </c>
      <c r="V219" s="20">
        <v>1</v>
      </c>
      <c r="Z219" s="20">
        <v>1</v>
      </c>
      <c r="AA219" s="20"/>
    </row>
    <row r="220" spans="1:27">
      <c r="A220" s="23" t="s">
        <v>5523</v>
      </c>
      <c r="B220" s="23" t="s">
        <v>5524</v>
      </c>
      <c r="C220" s="22">
        <f t="shared" si="5"/>
        <v>2</v>
      </c>
      <c r="E220" s="22"/>
      <c r="F220" s="22"/>
      <c r="G220" s="22"/>
      <c r="H220" s="22"/>
      <c r="I220" s="22"/>
      <c r="J220" s="22"/>
      <c r="K220" s="22"/>
      <c r="L220" s="22"/>
      <c r="N220" s="20"/>
      <c r="O220" s="20"/>
      <c r="P220" s="22"/>
      <c r="Q220" s="22"/>
      <c r="R220" s="20"/>
      <c r="V220" s="20">
        <v>1</v>
      </c>
      <c r="Z220" s="20">
        <v>1</v>
      </c>
      <c r="AA220" s="20"/>
    </row>
    <row r="221" spans="1:27">
      <c r="A221" s="23" t="s">
        <v>4992</v>
      </c>
      <c r="B221" s="23" t="s">
        <v>5525</v>
      </c>
      <c r="C221" s="22">
        <f t="shared" si="5"/>
        <v>2</v>
      </c>
      <c r="E221" s="22"/>
      <c r="F221" s="22"/>
      <c r="G221" s="22"/>
      <c r="H221" s="22"/>
      <c r="I221" s="22"/>
      <c r="J221" s="22"/>
      <c r="K221" s="22"/>
      <c r="L221" s="22"/>
      <c r="N221" s="20"/>
      <c r="O221" s="20"/>
      <c r="P221" s="22"/>
      <c r="Q221" s="22"/>
      <c r="R221" s="20"/>
      <c r="V221" s="20">
        <v>1</v>
      </c>
      <c r="Z221" s="20">
        <v>1</v>
      </c>
      <c r="AA221" s="20"/>
    </row>
    <row r="222" spans="1:27">
      <c r="A222" s="23" t="s">
        <v>4340</v>
      </c>
      <c r="B222" s="23" t="s">
        <v>5526</v>
      </c>
      <c r="C222" s="22">
        <f t="shared" si="5"/>
        <v>2</v>
      </c>
      <c r="E222" s="22"/>
      <c r="F222" s="22"/>
      <c r="G222" s="22"/>
      <c r="H222" s="22"/>
      <c r="I222" s="22"/>
      <c r="J222" s="22"/>
      <c r="K222" s="22"/>
      <c r="L222" s="22"/>
      <c r="N222" s="20"/>
      <c r="O222" s="20"/>
      <c r="P222" s="22"/>
      <c r="Q222" s="22"/>
      <c r="R222" s="20"/>
      <c r="V222" s="20">
        <v>1</v>
      </c>
      <c r="Z222" s="20">
        <v>1</v>
      </c>
      <c r="AA222" s="20"/>
    </row>
    <row r="223" spans="1:27">
      <c r="A223" s="23" t="s">
        <v>5609</v>
      </c>
      <c r="B223" s="23" t="s">
        <v>5610</v>
      </c>
      <c r="C223" s="22">
        <f t="shared" si="5"/>
        <v>3</v>
      </c>
      <c r="E223" s="22"/>
      <c r="F223" s="22"/>
      <c r="G223" s="22"/>
      <c r="H223" s="22"/>
      <c r="I223" s="22"/>
      <c r="J223" s="22"/>
      <c r="K223" s="22"/>
      <c r="L223" s="22"/>
      <c r="N223" s="20"/>
      <c r="O223" s="20"/>
      <c r="P223" s="22"/>
      <c r="Q223" s="22"/>
      <c r="R223" s="20"/>
      <c r="V223" s="20">
        <v>1</v>
      </c>
      <c r="W223" s="20">
        <v>1</v>
      </c>
      <c r="X223" s="20">
        <v>1</v>
      </c>
      <c r="AA223" s="20"/>
    </row>
    <row r="224" spans="1:27">
      <c r="A224" s="23" t="s">
        <v>5611</v>
      </c>
      <c r="B224" s="23" t="s">
        <v>5612</v>
      </c>
      <c r="C224" s="22">
        <f t="shared" si="5"/>
        <v>5</v>
      </c>
      <c r="E224" s="22"/>
      <c r="F224" s="22"/>
      <c r="G224" s="22"/>
      <c r="H224" s="22"/>
      <c r="I224" s="22"/>
      <c r="J224" s="22"/>
      <c r="K224" s="22"/>
      <c r="L224" s="22"/>
      <c r="N224" s="20"/>
      <c r="O224" s="20"/>
      <c r="P224" s="22"/>
      <c r="Q224" s="22"/>
      <c r="R224" s="20"/>
      <c r="V224" s="20">
        <v>1</v>
      </c>
      <c r="W224" s="20">
        <v>1</v>
      </c>
      <c r="X224" s="20">
        <v>1</v>
      </c>
      <c r="Y224" s="20">
        <v>1</v>
      </c>
      <c r="Z224" s="20">
        <v>1</v>
      </c>
      <c r="AA224" s="20"/>
    </row>
    <row r="225" spans="1:30">
      <c r="A225" s="23" t="s">
        <v>5304</v>
      </c>
      <c r="B225" s="23" t="s">
        <v>5305</v>
      </c>
      <c r="C225" s="22">
        <f t="shared" si="5"/>
        <v>4</v>
      </c>
      <c r="E225" s="22"/>
      <c r="F225" s="22"/>
      <c r="G225" s="22"/>
      <c r="H225" s="22"/>
      <c r="I225" s="22"/>
      <c r="J225" s="22"/>
      <c r="K225" s="22"/>
      <c r="L225" s="22"/>
      <c r="N225" s="20"/>
      <c r="O225" s="20"/>
      <c r="P225" s="22"/>
      <c r="Q225" s="22"/>
      <c r="R225" s="20">
        <v>1</v>
      </c>
      <c r="S225" s="20">
        <v>1</v>
      </c>
      <c r="V225" s="20">
        <v>1</v>
      </c>
      <c r="AA225" s="20">
        <v>1</v>
      </c>
    </row>
    <row r="226" spans="1:30">
      <c r="A226" s="23" t="s">
        <v>4334</v>
      </c>
      <c r="B226" s="23" t="s">
        <v>5306</v>
      </c>
      <c r="C226" s="22">
        <f t="shared" si="5"/>
        <v>3</v>
      </c>
      <c r="E226" s="22"/>
      <c r="F226" s="22"/>
      <c r="G226" s="22"/>
      <c r="H226" s="22"/>
      <c r="I226" s="22"/>
      <c r="J226" s="22"/>
      <c r="K226" s="22"/>
      <c r="L226" s="22"/>
      <c r="N226" s="20"/>
      <c r="O226" s="20"/>
      <c r="P226" s="22"/>
      <c r="Q226" s="22"/>
      <c r="R226" s="20"/>
      <c r="S226" s="20">
        <v>1</v>
      </c>
      <c r="V226" s="20">
        <v>1</v>
      </c>
      <c r="AA226" s="20">
        <v>1</v>
      </c>
    </row>
    <row r="227" spans="1:30">
      <c r="A227" s="23" t="s">
        <v>5628</v>
      </c>
      <c r="B227" s="23" t="s">
        <v>5629</v>
      </c>
      <c r="C227" s="22">
        <f t="shared" si="5"/>
        <v>5</v>
      </c>
      <c r="E227" s="22"/>
      <c r="F227" s="22"/>
      <c r="G227" s="22"/>
      <c r="H227" s="22"/>
      <c r="I227" s="22"/>
      <c r="J227" s="22"/>
      <c r="K227" s="22"/>
      <c r="L227" s="22"/>
      <c r="N227" s="20"/>
      <c r="O227" s="20"/>
      <c r="P227" s="22"/>
      <c r="Q227" s="22"/>
      <c r="R227" s="20"/>
      <c r="S227" s="20">
        <v>1</v>
      </c>
      <c r="T227" s="20">
        <v>1</v>
      </c>
      <c r="V227" s="20">
        <v>1</v>
      </c>
      <c r="Y227" s="20">
        <v>1</v>
      </c>
      <c r="AA227" s="20"/>
      <c r="AB227" s="20">
        <v>1</v>
      </c>
    </row>
    <row r="228" spans="1:30">
      <c r="A228" s="23" t="s">
        <v>4838</v>
      </c>
      <c r="B228" s="23" t="s">
        <v>5630</v>
      </c>
      <c r="C228" s="22">
        <f t="shared" si="5"/>
        <v>5</v>
      </c>
      <c r="E228" s="22"/>
      <c r="F228" s="22"/>
      <c r="G228" s="22"/>
      <c r="H228" s="22"/>
      <c r="I228" s="22"/>
      <c r="J228" s="22"/>
      <c r="K228" s="22"/>
      <c r="L228" s="22"/>
      <c r="N228" s="20"/>
      <c r="O228" s="20"/>
      <c r="P228" s="22"/>
      <c r="Q228" s="22"/>
      <c r="R228" s="20"/>
      <c r="S228" s="20">
        <v>1</v>
      </c>
      <c r="T228" s="20">
        <v>1</v>
      </c>
      <c r="V228" s="20">
        <v>1</v>
      </c>
      <c r="Y228" s="20">
        <v>1</v>
      </c>
      <c r="AA228" s="20"/>
      <c r="AB228" s="20">
        <v>1</v>
      </c>
    </row>
    <row r="229" spans="1:30">
      <c r="A229" s="23" t="s">
        <v>5631</v>
      </c>
      <c r="B229" s="23" t="s">
        <v>5632</v>
      </c>
      <c r="C229" s="22">
        <f t="shared" si="5"/>
        <v>5</v>
      </c>
      <c r="E229" s="22"/>
      <c r="F229" s="22"/>
      <c r="G229" s="22"/>
      <c r="H229" s="22"/>
      <c r="I229" s="22"/>
      <c r="J229" s="22"/>
      <c r="K229" s="22"/>
      <c r="L229" s="22"/>
      <c r="N229" s="20"/>
      <c r="O229" s="20"/>
      <c r="P229" s="22"/>
      <c r="Q229" s="22"/>
      <c r="R229" s="20"/>
      <c r="S229" s="20">
        <v>1</v>
      </c>
      <c r="T229" s="20">
        <v>1</v>
      </c>
      <c r="V229" s="20">
        <v>1</v>
      </c>
      <c r="Y229" s="20">
        <v>1</v>
      </c>
      <c r="AA229" s="20"/>
      <c r="AB229" s="20">
        <v>1</v>
      </c>
    </row>
    <row r="230" spans="1:30">
      <c r="A230" s="23" t="s">
        <v>5671</v>
      </c>
      <c r="B230" s="23" t="s">
        <v>5458</v>
      </c>
      <c r="C230" s="22">
        <f t="shared" si="5"/>
        <v>5</v>
      </c>
      <c r="E230" s="22"/>
      <c r="F230" s="22"/>
      <c r="G230" s="22"/>
      <c r="H230" s="22"/>
      <c r="I230" s="22"/>
      <c r="J230" s="22"/>
      <c r="K230" s="22"/>
      <c r="L230" s="22"/>
      <c r="N230" s="20"/>
      <c r="O230" s="20"/>
      <c r="P230" s="22"/>
      <c r="Q230" s="22"/>
      <c r="R230" s="20"/>
      <c r="S230" s="20">
        <v>1</v>
      </c>
      <c r="T230" s="20">
        <v>1</v>
      </c>
      <c r="V230" s="20">
        <v>1</v>
      </c>
      <c r="Y230" s="20">
        <v>1</v>
      </c>
      <c r="AA230" s="20"/>
      <c r="AB230" s="20">
        <v>1</v>
      </c>
    </row>
    <row r="231" spans="1:30">
      <c r="A231" s="23" t="s">
        <v>5633</v>
      </c>
      <c r="B231" s="23" t="s">
        <v>5634</v>
      </c>
      <c r="C231" s="22">
        <f t="shared" si="5"/>
        <v>5</v>
      </c>
      <c r="E231" s="22"/>
      <c r="F231" s="22"/>
      <c r="G231" s="22"/>
      <c r="H231" s="22"/>
      <c r="I231" s="22"/>
      <c r="J231" s="22"/>
      <c r="K231" s="22"/>
      <c r="L231" s="22"/>
      <c r="N231" s="20"/>
      <c r="O231" s="20"/>
      <c r="P231" s="22"/>
      <c r="Q231" s="22"/>
      <c r="R231" s="20"/>
      <c r="S231" s="20">
        <v>1</v>
      </c>
      <c r="T231" s="20">
        <v>1</v>
      </c>
      <c r="V231" s="20">
        <v>1</v>
      </c>
      <c r="X231" s="20">
        <v>1</v>
      </c>
      <c r="AA231" s="20"/>
      <c r="AB231" s="20">
        <v>1</v>
      </c>
    </row>
    <row r="232" spans="1:30">
      <c r="A232" s="23" t="s">
        <v>5464</v>
      </c>
      <c r="B232" s="23" t="s">
        <v>5465</v>
      </c>
      <c r="C232" s="22">
        <f t="shared" si="5"/>
        <v>5</v>
      </c>
      <c r="E232" s="22"/>
      <c r="F232" s="22"/>
      <c r="G232" s="22"/>
      <c r="H232" s="22"/>
      <c r="I232" s="22"/>
      <c r="J232" s="22"/>
      <c r="K232" s="22"/>
      <c r="L232" s="22"/>
      <c r="N232" s="20"/>
      <c r="O232" s="20"/>
      <c r="P232" s="22"/>
      <c r="Q232" s="22"/>
      <c r="R232" s="20"/>
      <c r="S232" s="20">
        <v>1</v>
      </c>
      <c r="T232" s="20">
        <v>1</v>
      </c>
      <c r="V232" s="20">
        <v>1</v>
      </c>
      <c r="Z232" s="20">
        <v>1</v>
      </c>
      <c r="AA232" s="20"/>
      <c r="AB232" s="20">
        <v>1</v>
      </c>
    </row>
    <row r="233" spans="1:30">
      <c r="A233" s="23" t="s">
        <v>5460</v>
      </c>
      <c r="B233" s="23" t="s">
        <v>5461</v>
      </c>
      <c r="C233" s="22">
        <f t="shared" si="5"/>
        <v>7</v>
      </c>
      <c r="E233" s="22"/>
      <c r="F233" s="22"/>
      <c r="G233" s="22"/>
      <c r="H233" s="22"/>
      <c r="I233" s="22"/>
      <c r="J233" s="22"/>
      <c r="K233" s="22"/>
      <c r="L233" s="22"/>
      <c r="N233" s="20"/>
      <c r="O233" s="20"/>
      <c r="P233" s="22"/>
      <c r="Q233" s="22"/>
      <c r="R233" s="20"/>
      <c r="S233" s="20">
        <v>1</v>
      </c>
      <c r="T233" s="20">
        <v>1</v>
      </c>
      <c r="V233" s="20">
        <v>1</v>
      </c>
      <c r="Z233" s="20">
        <v>1</v>
      </c>
      <c r="AA233" s="20"/>
      <c r="AB233" s="20">
        <v>1</v>
      </c>
      <c r="AC233" s="20">
        <v>1</v>
      </c>
      <c r="AD233" s="20">
        <v>1</v>
      </c>
    </row>
    <row r="234" spans="1:30">
      <c r="A234" s="23" t="s">
        <v>5396</v>
      </c>
      <c r="B234" s="23" t="s">
        <v>5397</v>
      </c>
      <c r="C234" s="22">
        <f t="shared" si="5"/>
        <v>5</v>
      </c>
      <c r="E234" s="22"/>
      <c r="F234" s="22"/>
      <c r="G234" s="22"/>
      <c r="H234" s="22"/>
      <c r="I234" s="22"/>
      <c r="J234" s="22"/>
      <c r="K234" s="22"/>
      <c r="L234" s="22"/>
      <c r="N234" s="20"/>
      <c r="O234" s="20"/>
      <c r="P234" s="22"/>
      <c r="Q234" s="22"/>
      <c r="R234" s="20"/>
      <c r="S234" s="20">
        <v>1</v>
      </c>
      <c r="T234" s="20">
        <v>1</v>
      </c>
      <c r="AA234" s="20"/>
      <c r="AB234" s="20">
        <v>1</v>
      </c>
      <c r="AC234" s="20">
        <v>1</v>
      </c>
      <c r="AD234" s="20">
        <v>1</v>
      </c>
    </row>
    <row r="235" spans="1:30">
      <c r="A235" s="23" t="s">
        <v>5398</v>
      </c>
      <c r="B235" s="23" t="s">
        <v>5399</v>
      </c>
      <c r="C235" s="22">
        <f t="shared" si="5"/>
        <v>5</v>
      </c>
      <c r="E235" s="22"/>
      <c r="F235" s="22"/>
      <c r="G235" s="22"/>
      <c r="H235" s="22"/>
      <c r="I235" s="22"/>
      <c r="J235" s="22"/>
      <c r="K235" s="22"/>
      <c r="L235" s="22"/>
      <c r="N235" s="20"/>
      <c r="O235" s="20"/>
      <c r="P235" s="22"/>
      <c r="Q235" s="22"/>
      <c r="R235" s="20"/>
      <c r="S235" s="20">
        <v>1</v>
      </c>
      <c r="T235" s="20">
        <v>1</v>
      </c>
      <c r="AA235" s="20"/>
      <c r="AB235" s="20">
        <v>1</v>
      </c>
      <c r="AC235" s="20">
        <v>1</v>
      </c>
      <c r="AD235" s="20">
        <v>1</v>
      </c>
    </row>
    <row r="236" spans="1:30">
      <c r="A236" s="23" t="s">
        <v>5188</v>
      </c>
      <c r="B236" s="23" t="s">
        <v>5189</v>
      </c>
      <c r="C236" s="22">
        <f t="shared" si="5"/>
        <v>5</v>
      </c>
      <c r="E236" s="22"/>
      <c r="F236" s="22"/>
      <c r="G236" s="22"/>
      <c r="H236" s="22"/>
      <c r="I236" s="22"/>
      <c r="J236" s="22"/>
      <c r="K236" s="22"/>
      <c r="L236" s="22"/>
      <c r="N236" s="20"/>
      <c r="O236" s="20"/>
      <c r="P236" s="22"/>
      <c r="Q236" s="22"/>
      <c r="R236" s="20"/>
      <c r="S236" s="20">
        <v>1</v>
      </c>
      <c r="T236" s="20">
        <v>1</v>
      </c>
      <c r="AA236" s="20"/>
      <c r="AB236" s="20">
        <v>1</v>
      </c>
      <c r="AC236" s="20">
        <v>1</v>
      </c>
      <c r="AD236" s="20">
        <v>1</v>
      </c>
    </row>
    <row r="237" spans="1:30">
      <c r="A237" s="23" t="s">
        <v>5487</v>
      </c>
      <c r="B237" s="23" t="s">
        <v>5488</v>
      </c>
      <c r="C237" s="22">
        <f t="shared" si="5"/>
        <v>5</v>
      </c>
      <c r="E237" s="22"/>
      <c r="F237" s="22"/>
      <c r="G237" s="22"/>
      <c r="H237" s="22"/>
      <c r="I237" s="22"/>
      <c r="J237" s="22"/>
      <c r="K237" s="22"/>
      <c r="L237" s="22"/>
      <c r="N237" s="20"/>
      <c r="O237" s="20"/>
      <c r="P237" s="22"/>
      <c r="Q237" s="22"/>
      <c r="R237" s="20"/>
      <c r="S237" s="20">
        <v>1</v>
      </c>
      <c r="T237" s="20">
        <v>1</v>
      </c>
      <c r="AA237" s="20"/>
      <c r="AB237" s="20">
        <v>1</v>
      </c>
      <c r="AC237" s="20">
        <v>1</v>
      </c>
      <c r="AD237" s="20">
        <v>1</v>
      </c>
    </row>
    <row r="238" spans="1:30">
      <c r="A238" s="23" t="s">
        <v>4399</v>
      </c>
      <c r="B238" s="23" t="s">
        <v>5489</v>
      </c>
      <c r="C238" s="22">
        <f t="shared" si="5"/>
        <v>5</v>
      </c>
      <c r="E238" s="22"/>
      <c r="F238" s="22"/>
      <c r="G238" s="22"/>
      <c r="H238" s="22"/>
      <c r="I238" s="22"/>
      <c r="J238" s="22"/>
      <c r="K238" s="22"/>
      <c r="L238" s="22"/>
      <c r="N238" s="20"/>
      <c r="O238" s="20"/>
      <c r="P238" s="22"/>
      <c r="Q238" s="22"/>
      <c r="R238" s="20"/>
      <c r="S238" s="20">
        <v>1</v>
      </c>
      <c r="T238" s="20">
        <v>1</v>
      </c>
      <c r="AA238" s="20"/>
      <c r="AB238" s="20">
        <v>1</v>
      </c>
      <c r="AC238" s="20">
        <v>1</v>
      </c>
      <c r="AD238" s="20">
        <v>1</v>
      </c>
    </row>
    <row r="239" spans="1:30">
      <c r="A239" s="23" t="s">
        <v>5462</v>
      </c>
      <c r="B239" s="23" t="s">
        <v>5463</v>
      </c>
      <c r="C239" s="22">
        <f t="shared" si="5"/>
        <v>3</v>
      </c>
      <c r="E239" s="22"/>
      <c r="F239" s="22"/>
      <c r="G239" s="22"/>
      <c r="H239" s="22"/>
      <c r="I239" s="22"/>
      <c r="J239" s="22"/>
      <c r="K239" s="22"/>
      <c r="L239" s="22"/>
      <c r="N239" s="20"/>
      <c r="O239" s="20"/>
      <c r="P239" s="22"/>
      <c r="Q239" s="22"/>
      <c r="R239" s="20"/>
      <c r="S239" s="20">
        <v>1</v>
      </c>
      <c r="T239" s="20">
        <v>1</v>
      </c>
      <c r="AA239" s="20"/>
      <c r="AB239" s="20">
        <v>1</v>
      </c>
    </row>
    <row r="240" spans="1:30">
      <c r="A240" s="23" t="s">
        <v>5467</v>
      </c>
      <c r="B240" s="23" t="s">
        <v>5468</v>
      </c>
      <c r="C240" s="22">
        <f t="shared" si="5"/>
        <v>3</v>
      </c>
      <c r="E240" s="22"/>
      <c r="F240" s="22"/>
      <c r="G240" s="22"/>
      <c r="H240" s="22"/>
      <c r="I240" s="22"/>
      <c r="J240" s="22"/>
      <c r="K240" s="22"/>
      <c r="L240" s="22"/>
      <c r="N240" s="20"/>
      <c r="O240" s="20"/>
      <c r="P240" s="22"/>
      <c r="Q240" s="22"/>
      <c r="R240" s="20"/>
      <c r="S240" s="20">
        <v>1</v>
      </c>
      <c r="T240" s="20">
        <v>1</v>
      </c>
      <c r="AA240" s="20"/>
      <c r="AB240" s="20">
        <v>1</v>
      </c>
    </row>
    <row r="241" spans="1:30">
      <c r="A241" s="23" t="s">
        <v>5472</v>
      </c>
      <c r="B241" s="23" t="s">
        <v>5473</v>
      </c>
      <c r="C241" s="22">
        <f t="shared" si="5"/>
        <v>3</v>
      </c>
      <c r="E241" s="22"/>
      <c r="F241" s="22"/>
      <c r="G241" s="22"/>
      <c r="H241" s="22"/>
      <c r="I241" s="22"/>
      <c r="J241" s="22"/>
      <c r="K241" s="22"/>
      <c r="L241" s="22"/>
      <c r="N241" s="20"/>
      <c r="O241" s="20"/>
      <c r="P241" s="22"/>
      <c r="Q241" s="22"/>
      <c r="R241" s="20"/>
      <c r="S241" s="20">
        <v>1</v>
      </c>
      <c r="T241" s="20">
        <v>1</v>
      </c>
      <c r="AA241" s="20"/>
      <c r="AB241" s="20">
        <v>1</v>
      </c>
    </row>
    <row r="242" spans="1:30">
      <c r="A242" s="23" t="s">
        <v>5475</v>
      </c>
      <c r="B242" s="23" t="s">
        <v>5476</v>
      </c>
      <c r="C242" s="22">
        <f t="shared" si="5"/>
        <v>3</v>
      </c>
      <c r="E242" s="22"/>
      <c r="F242" s="22"/>
      <c r="G242" s="22"/>
      <c r="H242" s="22"/>
      <c r="I242" s="22"/>
      <c r="J242" s="22"/>
      <c r="K242" s="22"/>
      <c r="L242" s="22"/>
      <c r="N242" s="20"/>
      <c r="O242" s="20"/>
      <c r="P242" s="22"/>
      <c r="Q242" s="22"/>
      <c r="R242" s="20"/>
      <c r="S242" s="20">
        <v>1</v>
      </c>
      <c r="T242" s="20">
        <v>1</v>
      </c>
      <c r="AA242" s="20"/>
      <c r="AB242" s="20">
        <v>1</v>
      </c>
    </row>
    <row r="243" spans="1:30">
      <c r="A243" s="23" t="s">
        <v>5457</v>
      </c>
      <c r="B243" s="23" t="s">
        <v>5459</v>
      </c>
      <c r="C243" s="22">
        <f t="shared" si="5"/>
        <v>3</v>
      </c>
      <c r="E243" s="22"/>
      <c r="F243" s="22"/>
      <c r="G243" s="22"/>
      <c r="H243" s="22"/>
      <c r="I243" s="22"/>
      <c r="J243" s="22"/>
      <c r="K243" s="22"/>
      <c r="L243" s="22"/>
      <c r="N243" s="20"/>
      <c r="O243" s="20"/>
      <c r="P243" s="22"/>
      <c r="Q243" s="22"/>
      <c r="R243" s="20"/>
      <c r="S243" s="20">
        <v>1</v>
      </c>
      <c r="T243" s="20">
        <v>1</v>
      </c>
      <c r="AA243" s="20"/>
      <c r="AB243" s="20">
        <v>1</v>
      </c>
    </row>
    <row r="244" spans="1:30">
      <c r="A244" s="23" t="s">
        <v>4930</v>
      </c>
      <c r="B244" s="23" t="s">
        <v>5313</v>
      </c>
      <c r="C244" s="22">
        <f t="shared" si="5"/>
        <v>3</v>
      </c>
      <c r="E244" s="22"/>
      <c r="F244" s="22"/>
      <c r="G244" s="22"/>
      <c r="H244" s="22"/>
      <c r="I244" s="22"/>
      <c r="J244" s="22"/>
      <c r="K244" s="22"/>
      <c r="L244" s="22"/>
      <c r="N244" s="20"/>
      <c r="O244" s="20"/>
      <c r="P244" s="22"/>
      <c r="Q244" s="22"/>
      <c r="R244" s="20"/>
      <c r="S244" s="20">
        <v>1</v>
      </c>
      <c r="T244" s="20">
        <v>1</v>
      </c>
      <c r="AA244" s="20"/>
      <c r="AC244" s="20">
        <v>1</v>
      </c>
    </row>
    <row r="245" spans="1:30">
      <c r="A245" s="23" t="s">
        <v>5022</v>
      </c>
      <c r="B245" s="23" t="s">
        <v>5314</v>
      </c>
      <c r="C245" s="22">
        <f t="shared" si="5"/>
        <v>3</v>
      </c>
      <c r="E245" s="22"/>
      <c r="F245" s="22"/>
      <c r="G245" s="22"/>
      <c r="H245" s="22"/>
      <c r="I245" s="22"/>
      <c r="J245" s="22"/>
      <c r="K245" s="22"/>
      <c r="L245" s="22"/>
      <c r="N245" s="20"/>
      <c r="O245" s="20"/>
      <c r="P245" s="22"/>
      <c r="Q245" s="22"/>
      <c r="R245" s="20"/>
      <c r="S245" s="20">
        <v>1</v>
      </c>
      <c r="T245" s="20">
        <v>1</v>
      </c>
      <c r="AA245" s="20"/>
      <c r="AC245" s="20">
        <v>1</v>
      </c>
    </row>
    <row r="246" spans="1:30">
      <c r="A246" s="23" t="s">
        <v>5011</v>
      </c>
      <c r="B246" s="23" t="s">
        <v>5315</v>
      </c>
      <c r="C246" s="22">
        <f t="shared" si="5"/>
        <v>3</v>
      </c>
      <c r="E246" s="22"/>
      <c r="F246" s="22"/>
      <c r="G246" s="22"/>
      <c r="H246" s="22"/>
      <c r="I246" s="22"/>
      <c r="J246" s="22"/>
      <c r="K246" s="22"/>
      <c r="L246" s="22"/>
      <c r="N246" s="20"/>
      <c r="O246" s="20"/>
      <c r="P246" s="22"/>
      <c r="Q246" s="22"/>
      <c r="R246" s="20"/>
      <c r="S246" s="20">
        <v>1</v>
      </c>
      <c r="T246" s="20">
        <v>1</v>
      </c>
      <c r="AA246" s="20"/>
      <c r="AC246" s="20">
        <v>1</v>
      </c>
    </row>
    <row r="247" spans="1:30">
      <c r="A247" s="23" t="s">
        <v>4997</v>
      </c>
      <c r="B247" s="23" t="s">
        <v>5316</v>
      </c>
      <c r="C247" s="22">
        <f t="shared" si="5"/>
        <v>3</v>
      </c>
      <c r="E247" s="22"/>
      <c r="F247" s="22"/>
      <c r="G247" s="22"/>
      <c r="H247" s="22"/>
      <c r="I247" s="22"/>
      <c r="J247" s="22"/>
      <c r="K247" s="22"/>
      <c r="L247" s="22"/>
      <c r="N247" s="20"/>
      <c r="O247" s="20"/>
      <c r="P247" s="22"/>
      <c r="Q247" s="22"/>
      <c r="R247" s="20"/>
      <c r="S247" s="20">
        <v>1</v>
      </c>
      <c r="T247" s="20">
        <v>1</v>
      </c>
      <c r="AA247" s="20"/>
      <c r="AC247" s="20">
        <v>1</v>
      </c>
    </row>
    <row r="248" spans="1:30">
      <c r="A248" s="23" t="s">
        <v>5000</v>
      </c>
      <c r="B248" s="23" t="s">
        <v>5317</v>
      </c>
      <c r="C248" s="22">
        <f t="shared" si="5"/>
        <v>3</v>
      </c>
      <c r="E248" s="22"/>
      <c r="F248" s="22"/>
      <c r="G248" s="22"/>
      <c r="H248" s="22"/>
      <c r="I248" s="22"/>
      <c r="J248" s="22"/>
      <c r="K248" s="22"/>
      <c r="L248" s="22"/>
      <c r="N248" s="20"/>
      <c r="O248" s="20"/>
      <c r="P248" s="22"/>
      <c r="Q248" s="22"/>
      <c r="R248" s="20"/>
      <c r="S248" s="20">
        <v>1</v>
      </c>
      <c r="T248" s="20">
        <v>1</v>
      </c>
      <c r="AA248" s="20"/>
      <c r="AC248" s="20">
        <v>1</v>
      </c>
    </row>
    <row r="249" spans="1:30">
      <c r="A249" s="23" t="s">
        <v>5319</v>
      </c>
      <c r="B249" s="23" t="s">
        <v>5318</v>
      </c>
      <c r="C249" s="22">
        <f t="shared" si="5"/>
        <v>3</v>
      </c>
      <c r="E249" s="22"/>
      <c r="F249" s="22"/>
      <c r="G249" s="22"/>
      <c r="H249" s="22"/>
      <c r="I249" s="22"/>
      <c r="J249" s="22"/>
      <c r="K249" s="22"/>
      <c r="L249" s="22"/>
      <c r="N249" s="20"/>
      <c r="O249" s="20"/>
      <c r="P249" s="22"/>
      <c r="Q249" s="22"/>
      <c r="R249" s="20"/>
      <c r="S249" s="20">
        <v>1</v>
      </c>
      <c r="T249" s="20">
        <v>1</v>
      </c>
      <c r="AA249" s="20"/>
      <c r="AC249" s="20">
        <v>1</v>
      </c>
    </row>
    <row r="250" spans="1:30">
      <c r="A250" s="23" t="s">
        <v>4961</v>
      </c>
      <c r="B250" s="23" t="s">
        <v>5320</v>
      </c>
      <c r="C250" s="22">
        <f t="shared" si="5"/>
        <v>3</v>
      </c>
      <c r="E250" s="22"/>
      <c r="F250" s="22"/>
      <c r="G250" s="22"/>
      <c r="H250" s="22"/>
      <c r="I250" s="22"/>
      <c r="J250" s="22"/>
      <c r="K250" s="22"/>
      <c r="L250" s="22"/>
      <c r="N250" s="20"/>
      <c r="O250" s="20"/>
      <c r="P250" s="22"/>
      <c r="Q250" s="22"/>
      <c r="R250" s="20"/>
      <c r="S250" s="20">
        <v>1</v>
      </c>
      <c r="T250" s="20">
        <v>1</v>
      </c>
      <c r="AA250" s="20"/>
      <c r="AC250" s="20">
        <v>1</v>
      </c>
    </row>
    <row r="251" spans="1:30">
      <c r="A251" s="23" t="s">
        <v>5008</v>
      </c>
      <c r="B251" s="23" t="s">
        <v>5321</v>
      </c>
      <c r="C251" s="22">
        <f t="shared" si="5"/>
        <v>3</v>
      </c>
      <c r="E251" s="22"/>
      <c r="F251" s="22"/>
      <c r="G251" s="22"/>
      <c r="H251" s="22"/>
      <c r="I251" s="22"/>
      <c r="J251" s="22"/>
      <c r="K251" s="22"/>
      <c r="L251" s="22"/>
      <c r="N251" s="20"/>
      <c r="O251" s="20"/>
      <c r="P251" s="22"/>
      <c r="Q251" s="22"/>
      <c r="R251" s="20"/>
      <c r="S251" s="20">
        <v>1</v>
      </c>
      <c r="T251" s="20">
        <v>1</v>
      </c>
      <c r="AA251" s="20"/>
      <c r="AC251" s="20">
        <v>1</v>
      </c>
    </row>
    <row r="252" spans="1:30">
      <c r="A252" s="23" t="s">
        <v>5005</v>
      </c>
      <c r="B252" s="23" t="s">
        <v>5322</v>
      </c>
      <c r="C252" s="22">
        <f t="shared" si="5"/>
        <v>3</v>
      </c>
      <c r="E252" s="22"/>
      <c r="F252" s="22"/>
      <c r="G252" s="22"/>
      <c r="H252" s="22"/>
      <c r="I252" s="22"/>
      <c r="J252" s="22"/>
      <c r="K252" s="22"/>
      <c r="L252" s="22"/>
      <c r="N252" s="20"/>
      <c r="O252" s="20"/>
      <c r="P252" s="22"/>
      <c r="Q252" s="22"/>
      <c r="R252" s="20"/>
      <c r="S252" s="20">
        <v>1</v>
      </c>
      <c r="T252" s="20">
        <v>1</v>
      </c>
      <c r="AA252" s="20"/>
      <c r="AC252" s="20">
        <v>1</v>
      </c>
    </row>
    <row r="253" spans="1:30">
      <c r="A253" s="23" t="s">
        <v>5307</v>
      </c>
      <c r="B253" s="23" t="s">
        <v>5308</v>
      </c>
      <c r="C253" s="22">
        <f t="shared" si="5"/>
        <v>3</v>
      </c>
      <c r="E253" s="22"/>
      <c r="F253" s="22"/>
      <c r="G253" s="22"/>
      <c r="H253" s="22"/>
      <c r="I253" s="22"/>
      <c r="J253" s="22"/>
      <c r="K253" s="22"/>
      <c r="L253" s="22"/>
      <c r="N253" s="20"/>
      <c r="O253" s="20"/>
      <c r="P253" s="22"/>
      <c r="Q253" s="22"/>
      <c r="R253" s="20"/>
      <c r="S253" s="20">
        <v>1</v>
      </c>
      <c r="T253" s="20">
        <v>1</v>
      </c>
      <c r="AA253" s="20"/>
      <c r="AD253" s="20">
        <v>1</v>
      </c>
    </row>
    <row r="254" spans="1:30">
      <c r="A254" s="23" t="s">
        <v>5072</v>
      </c>
      <c r="B254" s="23" t="s">
        <v>5309</v>
      </c>
      <c r="C254" s="22">
        <f t="shared" si="5"/>
        <v>3</v>
      </c>
      <c r="E254" s="22"/>
      <c r="F254" s="22"/>
      <c r="G254" s="22"/>
      <c r="H254" s="22"/>
      <c r="I254" s="22"/>
      <c r="J254" s="22"/>
      <c r="K254" s="22"/>
      <c r="L254" s="22"/>
      <c r="N254" s="20"/>
      <c r="O254" s="20"/>
      <c r="P254" s="22"/>
      <c r="Q254" s="22"/>
      <c r="R254" s="20"/>
      <c r="S254" s="20">
        <v>1</v>
      </c>
      <c r="T254" s="20">
        <v>1</v>
      </c>
      <c r="AA254" s="20"/>
      <c r="AD254" s="20">
        <v>1</v>
      </c>
    </row>
    <row r="255" spans="1:30">
      <c r="A255" s="23" t="s">
        <v>5310</v>
      </c>
      <c r="B255" s="23" t="s">
        <v>5311</v>
      </c>
      <c r="C255" s="22">
        <f t="shared" si="5"/>
        <v>3</v>
      </c>
      <c r="E255" s="22"/>
      <c r="F255" s="22"/>
      <c r="G255" s="22"/>
      <c r="H255" s="22"/>
      <c r="I255" s="22"/>
      <c r="J255" s="22"/>
      <c r="K255" s="22"/>
      <c r="L255" s="22"/>
      <c r="N255" s="20"/>
      <c r="O255" s="20"/>
      <c r="P255" s="22"/>
      <c r="Q255" s="22"/>
      <c r="R255" s="20"/>
      <c r="S255" s="20">
        <v>1</v>
      </c>
      <c r="T255" s="20">
        <v>1</v>
      </c>
      <c r="AA255" s="20"/>
      <c r="AD255" s="20">
        <v>1</v>
      </c>
    </row>
    <row r="256" spans="1:30">
      <c r="A256" s="23" t="s">
        <v>5069</v>
      </c>
      <c r="B256" s="23" t="s">
        <v>5312</v>
      </c>
      <c r="C256" s="22">
        <f t="shared" si="5"/>
        <v>3</v>
      </c>
      <c r="E256" s="22"/>
      <c r="F256" s="22"/>
      <c r="G256" s="22"/>
      <c r="H256" s="22"/>
      <c r="I256" s="22"/>
      <c r="J256" s="22"/>
      <c r="K256" s="22"/>
      <c r="L256" s="22"/>
      <c r="N256" s="20"/>
      <c r="O256" s="20"/>
      <c r="P256" s="22"/>
      <c r="Q256" s="22"/>
      <c r="R256" s="20"/>
      <c r="S256" s="20">
        <v>1</v>
      </c>
      <c r="T256" s="20">
        <v>1</v>
      </c>
      <c r="AA256" s="20"/>
      <c r="AD256" s="20">
        <v>1</v>
      </c>
    </row>
    <row r="257" spans="1:31">
      <c r="A257" s="23" t="s">
        <v>5392</v>
      </c>
      <c r="B257" s="23" t="s">
        <v>5393</v>
      </c>
      <c r="C257" s="22">
        <f t="shared" si="5"/>
        <v>3</v>
      </c>
      <c r="E257" s="22"/>
      <c r="F257" s="22"/>
      <c r="G257" s="22"/>
      <c r="H257" s="22"/>
      <c r="I257" s="22"/>
      <c r="J257" s="22"/>
      <c r="K257" s="22"/>
      <c r="L257" s="22"/>
      <c r="N257" s="20"/>
      <c r="O257" s="20"/>
      <c r="P257" s="22"/>
      <c r="Q257" s="22"/>
      <c r="R257" s="20"/>
      <c r="S257" s="20">
        <v>1</v>
      </c>
      <c r="T257" s="20">
        <v>1</v>
      </c>
      <c r="AA257" s="20"/>
      <c r="AD257" s="20">
        <v>1</v>
      </c>
    </row>
    <row r="258" spans="1:31">
      <c r="A258" s="23" t="s">
        <v>4440</v>
      </c>
      <c r="B258" s="23" t="s">
        <v>5362</v>
      </c>
      <c r="C258" s="22">
        <f t="shared" si="5"/>
        <v>2</v>
      </c>
      <c r="E258" s="22"/>
      <c r="F258" s="22"/>
      <c r="G258" s="22"/>
      <c r="H258" s="22"/>
      <c r="I258" s="22"/>
      <c r="J258" s="22"/>
      <c r="K258" s="22"/>
      <c r="L258" s="22"/>
      <c r="N258" s="20"/>
      <c r="O258" s="20"/>
      <c r="P258" s="22"/>
      <c r="Q258" s="22"/>
      <c r="R258" s="20"/>
      <c r="S258" s="20">
        <v>1</v>
      </c>
      <c r="AA258" s="20"/>
      <c r="AE258" s="20">
        <v>1</v>
      </c>
    </row>
    <row r="259" spans="1:31">
      <c r="A259" s="23" t="s">
        <v>4514</v>
      </c>
      <c r="B259" s="23" t="s">
        <v>5363</v>
      </c>
      <c r="C259" s="22">
        <f t="shared" si="5"/>
        <v>2</v>
      </c>
      <c r="E259" s="22"/>
      <c r="F259" s="22"/>
      <c r="G259" s="22"/>
      <c r="H259" s="22"/>
      <c r="I259" s="22"/>
      <c r="J259" s="22"/>
      <c r="K259" s="22"/>
      <c r="L259" s="22"/>
      <c r="N259" s="20"/>
      <c r="O259" s="20"/>
      <c r="P259" s="22"/>
      <c r="Q259" s="22"/>
      <c r="R259" s="20"/>
      <c r="S259" s="20">
        <v>1</v>
      </c>
      <c r="AA259" s="20"/>
      <c r="AE259" s="20">
        <v>1</v>
      </c>
    </row>
    <row r="260" spans="1:31">
      <c r="A260" s="23" t="s">
        <v>4343</v>
      </c>
      <c r="B260" s="23" t="s">
        <v>5364</v>
      </c>
      <c r="C260" s="22">
        <f t="shared" si="5"/>
        <v>2</v>
      </c>
      <c r="E260" s="22"/>
      <c r="F260" s="22"/>
      <c r="G260" s="22"/>
      <c r="H260" s="22"/>
      <c r="I260" s="22"/>
      <c r="J260" s="22"/>
      <c r="K260" s="22"/>
      <c r="L260" s="22"/>
      <c r="N260" s="20"/>
      <c r="O260" s="20"/>
      <c r="P260" s="22"/>
      <c r="Q260" s="22"/>
      <c r="R260" s="20"/>
      <c r="S260" s="20">
        <v>1</v>
      </c>
      <c r="AA260" s="20"/>
      <c r="AE260" s="20">
        <v>1</v>
      </c>
    </row>
    <row r="261" spans="1:31">
      <c r="A261" s="23" t="s">
        <v>4301</v>
      </c>
      <c r="B261" s="23" t="s">
        <v>5365</v>
      </c>
      <c r="C261" s="22">
        <f t="shared" si="5"/>
        <v>2</v>
      </c>
      <c r="E261" s="22"/>
      <c r="F261" s="22"/>
      <c r="G261" s="22"/>
      <c r="H261" s="22"/>
      <c r="I261" s="22"/>
      <c r="J261" s="22"/>
      <c r="K261" s="22"/>
      <c r="L261" s="22"/>
      <c r="N261" s="20"/>
      <c r="O261" s="20"/>
      <c r="P261" s="22"/>
      <c r="Q261" s="22"/>
      <c r="R261" s="20"/>
      <c r="S261" s="20">
        <v>1</v>
      </c>
      <c r="AA261" s="20"/>
      <c r="AE261" s="20">
        <v>1</v>
      </c>
    </row>
    <row r="262" spans="1:31">
      <c r="A262" s="23" t="s">
        <v>4872</v>
      </c>
      <c r="B262" s="23" t="s">
        <v>5366</v>
      </c>
      <c r="C262" s="22">
        <f t="shared" si="5"/>
        <v>2</v>
      </c>
      <c r="E262" s="22"/>
      <c r="F262" s="22"/>
      <c r="G262" s="22"/>
      <c r="H262" s="22"/>
      <c r="I262" s="22"/>
      <c r="J262" s="22"/>
      <c r="K262" s="22"/>
      <c r="L262" s="22"/>
      <c r="N262" s="20"/>
      <c r="O262" s="20"/>
      <c r="P262" s="22"/>
      <c r="Q262" s="22"/>
      <c r="R262" s="20"/>
      <c r="S262" s="20">
        <v>1</v>
      </c>
      <c r="AA262" s="20"/>
      <c r="AE262" s="20">
        <v>1</v>
      </c>
    </row>
    <row r="263" spans="1:31">
      <c r="A263" s="23" t="s">
        <v>5369</v>
      </c>
      <c r="B263" s="23" t="s">
        <v>5370</v>
      </c>
      <c r="C263" s="22">
        <f t="shared" si="5"/>
        <v>2</v>
      </c>
      <c r="E263" s="22"/>
      <c r="F263" s="22"/>
      <c r="G263" s="22"/>
      <c r="H263" s="22"/>
      <c r="I263" s="22"/>
      <c r="J263" s="22"/>
      <c r="K263" s="22"/>
      <c r="L263" s="22"/>
      <c r="N263" s="20"/>
      <c r="O263" s="20"/>
      <c r="P263" s="22"/>
      <c r="Q263" s="22"/>
      <c r="R263" s="20"/>
      <c r="S263" s="20">
        <v>1</v>
      </c>
      <c r="AA263" s="20"/>
      <c r="AE263" s="20">
        <v>1</v>
      </c>
    </row>
    <row r="264" spans="1:31">
      <c r="A264" s="23" t="s">
        <v>5371</v>
      </c>
      <c r="B264" s="23" t="s">
        <v>5372</v>
      </c>
      <c r="C264" s="22">
        <f t="shared" si="5"/>
        <v>2</v>
      </c>
      <c r="E264" s="22"/>
      <c r="F264" s="22"/>
      <c r="G264" s="22"/>
      <c r="H264" s="22"/>
      <c r="I264" s="22"/>
      <c r="J264" s="22"/>
      <c r="K264" s="22"/>
      <c r="L264" s="22"/>
      <c r="N264" s="20"/>
      <c r="O264" s="20"/>
      <c r="P264" s="22"/>
      <c r="Q264" s="22"/>
      <c r="R264" s="20"/>
      <c r="S264" s="20">
        <v>1</v>
      </c>
      <c r="AA264" s="20"/>
      <c r="AE264" s="20">
        <v>1</v>
      </c>
    </row>
    <row r="265" spans="1:31">
      <c r="A265" s="23" t="s">
        <v>5384</v>
      </c>
      <c r="B265" s="23" t="s">
        <v>5385</v>
      </c>
      <c r="C265" s="22">
        <f t="shared" si="5"/>
        <v>2</v>
      </c>
      <c r="E265" s="22"/>
      <c r="F265" s="22"/>
      <c r="G265" s="22"/>
      <c r="H265" s="22"/>
      <c r="I265" s="22"/>
      <c r="J265" s="22"/>
      <c r="K265" s="22"/>
      <c r="L265" s="22"/>
      <c r="N265" s="20"/>
      <c r="O265" s="20"/>
      <c r="P265" s="22"/>
      <c r="Q265" s="22"/>
      <c r="R265" s="20"/>
      <c r="S265" s="20">
        <v>1</v>
      </c>
      <c r="AA265" s="20"/>
      <c r="AE265" s="20">
        <v>1</v>
      </c>
    </row>
    <row r="266" spans="1:31">
      <c r="A266" s="23" t="s">
        <v>5031</v>
      </c>
      <c r="B266" s="23" t="s">
        <v>5386</v>
      </c>
      <c r="C266" s="22">
        <f t="shared" ref="C266:C329" si="6">SUM(D266:AI266)</f>
        <v>2</v>
      </c>
      <c r="E266" s="22"/>
      <c r="F266" s="22"/>
      <c r="G266" s="22"/>
      <c r="H266" s="22"/>
      <c r="I266" s="22"/>
      <c r="J266" s="22"/>
      <c r="K266" s="22"/>
      <c r="L266" s="22"/>
      <c r="N266" s="20"/>
      <c r="O266" s="20"/>
      <c r="P266" s="22"/>
      <c r="Q266" s="22"/>
      <c r="R266" s="20"/>
      <c r="S266" s="20">
        <v>1</v>
      </c>
      <c r="AA266" s="20"/>
      <c r="AE266" s="20">
        <v>1</v>
      </c>
    </row>
    <row r="267" spans="1:31">
      <c r="A267" s="23" t="s">
        <v>4386</v>
      </c>
      <c r="B267" s="23" t="s">
        <v>5387</v>
      </c>
      <c r="C267" s="22">
        <f t="shared" si="6"/>
        <v>2</v>
      </c>
      <c r="E267" s="22"/>
      <c r="F267" s="22"/>
      <c r="G267" s="22"/>
      <c r="H267" s="22"/>
      <c r="I267" s="22"/>
      <c r="J267" s="22"/>
      <c r="K267" s="22"/>
      <c r="L267" s="22"/>
      <c r="N267" s="20"/>
      <c r="O267" s="20"/>
      <c r="P267" s="22"/>
      <c r="Q267" s="22"/>
      <c r="R267" s="20"/>
      <c r="S267" s="20">
        <v>1</v>
      </c>
      <c r="AA267" s="20"/>
      <c r="AE267" s="20">
        <v>1</v>
      </c>
    </row>
    <row r="268" spans="1:31">
      <c r="A268" s="23" t="s">
        <v>4419</v>
      </c>
      <c r="B268" s="23" t="s">
        <v>5388</v>
      </c>
      <c r="C268" s="22">
        <f t="shared" si="6"/>
        <v>2</v>
      </c>
      <c r="E268" s="22"/>
      <c r="F268" s="22"/>
      <c r="G268" s="22"/>
      <c r="H268" s="22"/>
      <c r="I268" s="22"/>
      <c r="J268" s="22"/>
      <c r="K268" s="22"/>
      <c r="L268" s="22"/>
      <c r="N268" s="20"/>
      <c r="O268" s="20"/>
      <c r="P268" s="22"/>
      <c r="Q268" s="22"/>
      <c r="R268" s="20"/>
      <c r="S268" s="20">
        <v>1</v>
      </c>
      <c r="AA268" s="20"/>
      <c r="AE268" s="20">
        <v>1</v>
      </c>
    </row>
    <row r="269" spans="1:31">
      <c r="A269" s="23" t="s">
        <v>4869</v>
      </c>
      <c r="B269" s="23" t="s">
        <v>5389</v>
      </c>
      <c r="C269" s="22">
        <f t="shared" si="6"/>
        <v>2</v>
      </c>
      <c r="E269" s="22"/>
      <c r="F269" s="22"/>
      <c r="G269" s="22"/>
      <c r="H269" s="22"/>
      <c r="I269" s="22"/>
      <c r="J269" s="22"/>
      <c r="K269" s="22"/>
      <c r="L269" s="22"/>
      <c r="N269" s="20"/>
      <c r="O269" s="20"/>
      <c r="P269" s="22"/>
      <c r="Q269" s="22"/>
      <c r="R269" s="20"/>
      <c r="S269" s="20">
        <v>1</v>
      </c>
      <c r="AA269" s="20"/>
      <c r="AE269" s="20">
        <v>1</v>
      </c>
    </row>
    <row r="270" spans="1:31">
      <c r="A270" s="23" t="s">
        <v>4304</v>
      </c>
      <c r="B270" s="23" t="s">
        <v>5390</v>
      </c>
      <c r="C270" s="22">
        <f t="shared" si="6"/>
        <v>2</v>
      </c>
      <c r="E270" s="22"/>
      <c r="F270" s="22"/>
      <c r="G270" s="22"/>
      <c r="H270" s="22"/>
      <c r="I270" s="22"/>
      <c r="J270" s="22"/>
      <c r="K270" s="22"/>
      <c r="L270" s="22"/>
      <c r="N270" s="20"/>
      <c r="O270" s="20"/>
      <c r="P270" s="22"/>
      <c r="Q270" s="22"/>
      <c r="R270" s="20"/>
      <c r="S270" s="20">
        <v>1</v>
      </c>
      <c r="AA270" s="20"/>
      <c r="AE270" s="20">
        <v>1</v>
      </c>
    </row>
    <row r="271" spans="1:31">
      <c r="A271" s="23" t="s">
        <v>4393</v>
      </c>
      <c r="B271" s="23" t="s">
        <v>5391</v>
      </c>
      <c r="C271" s="22">
        <f t="shared" si="6"/>
        <v>2</v>
      </c>
      <c r="E271" s="22"/>
      <c r="F271" s="22"/>
      <c r="G271" s="22"/>
      <c r="H271" s="22"/>
      <c r="I271" s="22"/>
      <c r="J271" s="22"/>
      <c r="K271" s="22"/>
      <c r="L271" s="22"/>
      <c r="N271" s="20"/>
      <c r="O271" s="20"/>
      <c r="P271" s="22"/>
      <c r="Q271" s="22"/>
      <c r="R271" s="20"/>
      <c r="S271" s="20">
        <v>1</v>
      </c>
      <c r="AA271" s="20"/>
      <c r="AE271" s="20">
        <v>1</v>
      </c>
    </row>
    <row r="272" spans="1:31">
      <c r="A272" s="23" t="s">
        <v>5400</v>
      </c>
      <c r="B272" s="23" t="s">
        <v>5401</v>
      </c>
      <c r="C272" s="22">
        <f t="shared" si="6"/>
        <v>2</v>
      </c>
      <c r="E272" s="22"/>
      <c r="F272" s="22"/>
      <c r="G272" s="22"/>
      <c r="H272" s="22"/>
      <c r="I272" s="22"/>
      <c r="J272" s="22"/>
      <c r="K272" s="22"/>
      <c r="L272" s="22"/>
      <c r="N272" s="20"/>
      <c r="O272" s="20"/>
      <c r="P272" s="22"/>
      <c r="Q272" s="22"/>
      <c r="R272" s="20"/>
      <c r="S272" s="20">
        <v>1</v>
      </c>
      <c r="AA272" s="20"/>
      <c r="AE272" s="20">
        <v>1</v>
      </c>
    </row>
    <row r="273" spans="1:31">
      <c r="A273" s="23" t="s">
        <v>4916</v>
      </c>
      <c r="B273" s="23" t="s">
        <v>5402</v>
      </c>
      <c r="C273" s="22">
        <f t="shared" si="6"/>
        <v>2</v>
      </c>
      <c r="E273" s="22"/>
      <c r="F273" s="22"/>
      <c r="G273" s="22"/>
      <c r="H273" s="22"/>
      <c r="I273" s="22"/>
      <c r="J273" s="22"/>
      <c r="K273" s="22"/>
      <c r="L273" s="22"/>
      <c r="N273" s="20"/>
      <c r="O273" s="20"/>
      <c r="P273" s="22"/>
      <c r="Q273" s="22"/>
      <c r="R273" s="20"/>
      <c r="S273" s="20">
        <v>1</v>
      </c>
      <c r="AA273" s="20"/>
      <c r="AE273" s="20">
        <v>1</v>
      </c>
    </row>
    <row r="274" spans="1:31">
      <c r="A274" s="23" t="s">
        <v>5403</v>
      </c>
      <c r="B274" s="23" t="s">
        <v>5404</v>
      </c>
      <c r="C274" s="22">
        <f t="shared" si="6"/>
        <v>2</v>
      </c>
      <c r="E274" s="22"/>
      <c r="F274" s="22"/>
      <c r="G274" s="22"/>
      <c r="H274" s="22"/>
      <c r="I274" s="22"/>
      <c r="J274" s="22"/>
      <c r="K274" s="22"/>
      <c r="L274" s="22"/>
      <c r="N274" s="20"/>
      <c r="O274" s="20"/>
      <c r="P274" s="22"/>
      <c r="Q274" s="22"/>
      <c r="R274" s="20"/>
      <c r="S274" s="20">
        <v>1</v>
      </c>
      <c r="AA274" s="20"/>
      <c r="AE274" s="20">
        <v>1</v>
      </c>
    </row>
    <row r="275" spans="1:31">
      <c r="A275" s="23" t="s">
        <v>5411</v>
      </c>
      <c r="B275" s="23" t="s">
        <v>5415</v>
      </c>
      <c r="C275" s="22">
        <f t="shared" si="6"/>
        <v>2</v>
      </c>
      <c r="E275" s="22"/>
      <c r="F275" s="22"/>
      <c r="G275" s="22"/>
      <c r="H275" s="22"/>
      <c r="I275" s="22"/>
      <c r="J275" s="22"/>
      <c r="K275" s="22"/>
      <c r="L275" s="22"/>
      <c r="N275" s="20"/>
      <c r="O275" s="20"/>
      <c r="P275" s="22"/>
      <c r="Q275" s="22"/>
      <c r="R275" s="20"/>
      <c r="S275" s="20">
        <v>1</v>
      </c>
      <c r="AA275" s="20"/>
      <c r="AE275" s="20">
        <v>1</v>
      </c>
    </row>
    <row r="276" spans="1:31">
      <c r="A276" s="23" t="s">
        <v>5414</v>
      </c>
      <c r="B276" s="23" t="s">
        <v>5416</v>
      </c>
      <c r="C276" s="22">
        <f t="shared" si="6"/>
        <v>2</v>
      </c>
      <c r="E276" s="22"/>
      <c r="F276" s="22"/>
      <c r="G276" s="22"/>
      <c r="H276" s="22"/>
      <c r="I276" s="22"/>
      <c r="J276" s="22"/>
      <c r="K276" s="22"/>
      <c r="L276" s="22"/>
      <c r="N276" s="20"/>
      <c r="O276" s="20"/>
      <c r="P276" s="22"/>
      <c r="Q276" s="22"/>
      <c r="R276" s="20"/>
      <c r="S276" s="20">
        <v>1</v>
      </c>
      <c r="AA276" s="20"/>
      <c r="AE276" s="20">
        <v>1</v>
      </c>
    </row>
    <row r="277" spans="1:31">
      <c r="A277" s="23" t="s">
        <v>4863</v>
      </c>
      <c r="B277" s="23" t="s">
        <v>5516</v>
      </c>
      <c r="C277" s="22">
        <f t="shared" si="6"/>
        <v>2</v>
      </c>
      <c r="E277" s="22"/>
      <c r="F277" s="22"/>
      <c r="G277" s="22"/>
      <c r="H277" s="22"/>
      <c r="I277" s="22"/>
      <c r="J277" s="22"/>
      <c r="K277" s="22"/>
      <c r="L277" s="22"/>
      <c r="P277" s="22"/>
      <c r="Q277" s="22"/>
      <c r="S277" s="20">
        <v>1</v>
      </c>
      <c r="AE277" s="20">
        <v>1</v>
      </c>
    </row>
    <row r="278" spans="1:31">
      <c r="A278" s="23" t="s">
        <v>4620</v>
      </c>
      <c r="B278" s="23" t="s">
        <v>5470</v>
      </c>
      <c r="C278" s="22">
        <f t="shared" si="6"/>
        <v>2</v>
      </c>
      <c r="E278" s="22"/>
      <c r="F278" s="22"/>
      <c r="G278" s="22"/>
      <c r="H278" s="22"/>
      <c r="I278" s="22"/>
      <c r="J278" s="22"/>
      <c r="K278" s="22"/>
      <c r="L278" s="22"/>
      <c r="N278" s="20"/>
      <c r="O278" s="20"/>
      <c r="P278" s="22"/>
      <c r="Q278" s="22"/>
      <c r="R278" s="20"/>
      <c r="S278" s="20">
        <v>1</v>
      </c>
      <c r="AA278" s="20"/>
      <c r="AE278" s="20">
        <v>1</v>
      </c>
    </row>
    <row r="279" spans="1:31">
      <c r="A279" s="23" t="s">
        <v>5479</v>
      </c>
      <c r="B279" s="23" t="s">
        <v>5480</v>
      </c>
      <c r="C279" s="22">
        <f t="shared" si="6"/>
        <v>2</v>
      </c>
      <c r="E279" s="22"/>
      <c r="F279" s="22"/>
      <c r="G279" s="22"/>
      <c r="H279" s="22"/>
      <c r="I279" s="22"/>
      <c r="J279" s="22"/>
      <c r="K279" s="22"/>
      <c r="L279" s="22"/>
      <c r="N279" s="20"/>
      <c r="O279" s="20"/>
      <c r="P279" s="22"/>
      <c r="Q279" s="22"/>
      <c r="R279" s="20"/>
      <c r="S279" s="20">
        <v>1</v>
      </c>
      <c r="AA279" s="20"/>
      <c r="AE279" s="20">
        <v>1</v>
      </c>
    </row>
    <row r="280" spans="1:31">
      <c r="A280" s="23" t="s">
        <v>5481</v>
      </c>
      <c r="B280" s="23" t="s">
        <v>5482</v>
      </c>
      <c r="C280" s="22">
        <f t="shared" si="6"/>
        <v>2</v>
      </c>
      <c r="E280" s="22"/>
      <c r="F280" s="22"/>
      <c r="G280" s="22"/>
      <c r="H280" s="22"/>
      <c r="I280" s="22"/>
      <c r="J280" s="22"/>
      <c r="K280" s="22"/>
      <c r="L280" s="22"/>
      <c r="N280" s="20"/>
      <c r="O280" s="20"/>
      <c r="P280" s="22"/>
      <c r="Q280" s="22"/>
      <c r="R280" s="20"/>
      <c r="S280" s="20">
        <v>1</v>
      </c>
      <c r="AA280" s="20"/>
      <c r="AE280" s="20">
        <v>1</v>
      </c>
    </row>
    <row r="281" spans="1:31">
      <c r="A281" s="23" t="s">
        <v>5483</v>
      </c>
      <c r="B281" s="23" t="s">
        <v>5471</v>
      </c>
      <c r="C281" s="22">
        <f t="shared" si="6"/>
        <v>2</v>
      </c>
      <c r="E281" s="22"/>
      <c r="F281" s="22"/>
      <c r="G281" s="22"/>
      <c r="H281" s="22"/>
      <c r="I281" s="22"/>
      <c r="J281" s="22"/>
      <c r="K281" s="22"/>
      <c r="L281" s="22"/>
      <c r="N281" s="20"/>
      <c r="O281" s="20"/>
      <c r="P281" s="22"/>
      <c r="Q281" s="22"/>
      <c r="R281" s="20"/>
      <c r="S281" s="20">
        <v>1</v>
      </c>
      <c r="AA281" s="20"/>
      <c r="AE281" s="20">
        <v>1</v>
      </c>
    </row>
    <row r="282" spans="1:31">
      <c r="A282" s="23" t="s">
        <v>5515</v>
      </c>
      <c r="B282" s="23" t="s">
        <v>5516</v>
      </c>
      <c r="C282" s="22">
        <f t="shared" si="6"/>
        <v>2</v>
      </c>
      <c r="E282" s="22"/>
      <c r="F282" s="22"/>
      <c r="G282" s="22"/>
      <c r="H282" s="22"/>
      <c r="I282" s="22"/>
      <c r="J282" s="22"/>
      <c r="K282" s="22"/>
      <c r="L282" s="22"/>
      <c r="N282" s="20"/>
      <c r="O282" s="20"/>
      <c r="P282" s="22"/>
      <c r="Q282" s="22"/>
      <c r="R282" s="20"/>
      <c r="S282" s="20">
        <v>1</v>
      </c>
      <c r="AA282" s="20"/>
      <c r="AE282" s="20">
        <v>1</v>
      </c>
    </row>
    <row r="283" spans="1:31">
      <c r="A283" s="23" t="s">
        <v>4866</v>
      </c>
      <c r="B283" s="23" t="s">
        <v>5613</v>
      </c>
      <c r="C283" s="22">
        <f t="shared" si="6"/>
        <v>2</v>
      </c>
      <c r="E283" s="22"/>
      <c r="F283" s="22"/>
      <c r="G283" s="22"/>
      <c r="H283" s="22"/>
      <c r="I283" s="22"/>
      <c r="J283" s="22"/>
      <c r="K283" s="22"/>
      <c r="L283" s="22"/>
      <c r="P283" s="22"/>
      <c r="Q283" s="22"/>
      <c r="S283" s="20">
        <v>1</v>
      </c>
      <c r="AE283" s="20">
        <v>1</v>
      </c>
    </row>
    <row r="284" spans="1:31">
      <c r="A284" s="23" t="s">
        <v>4878</v>
      </c>
      <c r="B284" s="23" t="s">
        <v>5614</v>
      </c>
      <c r="C284" s="22">
        <f t="shared" si="6"/>
        <v>2</v>
      </c>
      <c r="E284" s="22"/>
      <c r="F284" s="22"/>
      <c r="G284" s="22"/>
      <c r="H284" s="22"/>
      <c r="I284" s="22"/>
      <c r="J284" s="22"/>
      <c r="K284" s="22"/>
      <c r="L284" s="22"/>
      <c r="P284" s="22"/>
      <c r="Q284" s="22"/>
      <c r="S284" s="20">
        <v>1</v>
      </c>
      <c r="AE284" s="20">
        <v>1</v>
      </c>
    </row>
    <row r="285" spans="1:31">
      <c r="A285" s="23" t="s">
        <v>4900</v>
      </c>
      <c r="B285" s="23" t="s">
        <v>5615</v>
      </c>
      <c r="C285" s="22">
        <f t="shared" si="6"/>
        <v>2</v>
      </c>
      <c r="E285" s="22"/>
      <c r="F285" s="22"/>
      <c r="G285" s="22"/>
      <c r="H285" s="22"/>
      <c r="I285" s="22"/>
      <c r="J285" s="22"/>
      <c r="K285" s="22"/>
      <c r="L285" s="22"/>
      <c r="P285" s="22"/>
      <c r="Q285" s="22"/>
      <c r="S285" s="20">
        <v>1</v>
      </c>
      <c r="AE285" s="20">
        <v>1</v>
      </c>
    </row>
    <row r="286" spans="1:31">
      <c r="A286" s="23" t="s">
        <v>4893</v>
      </c>
      <c r="B286" s="23" t="s">
        <v>5616</v>
      </c>
      <c r="C286" s="22">
        <f t="shared" si="6"/>
        <v>2</v>
      </c>
      <c r="E286" s="22"/>
      <c r="F286" s="22"/>
      <c r="G286" s="22"/>
      <c r="H286" s="22"/>
      <c r="I286" s="22"/>
      <c r="J286" s="22"/>
      <c r="K286" s="22"/>
      <c r="L286" s="22"/>
      <c r="P286" s="22"/>
      <c r="Q286" s="22"/>
      <c r="S286" s="20">
        <v>1</v>
      </c>
      <c r="AE286" s="20">
        <v>1</v>
      </c>
    </row>
    <row r="287" spans="1:31">
      <c r="A287" s="23" t="s">
        <v>5077</v>
      </c>
      <c r="B287" s="23" t="s">
        <v>5617</v>
      </c>
      <c r="C287" s="22">
        <f t="shared" si="6"/>
        <v>2</v>
      </c>
      <c r="E287" s="22"/>
      <c r="F287" s="22"/>
      <c r="G287" s="22"/>
      <c r="H287" s="22"/>
      <c r="I287" s="22"/>
      <c r="J287" s="22"/>
      <c r="K287" s="22"/>
      <c r="L287" s="22"/>
      <c r="P287" s="22"/>
      <c r="Q287" s="22"/>
      <c r="S287" s="20">
        <v>1</v>
      </c>
      <c r="AE287" s="20">
        <v>1</v>
      </c>
    </row>
    <row r="288" spans="1:31">
      <c r="A288" s="23" t="s">
        <v>5019</v>
      </c>
      <c r="B288" s="23" t="s">
        <v>5618</v>
      </c>
      <c r="C288" s="22">
        <f t="shared" si="6"/>
        <v>2</v>
      </c>
      <c r="E288" s="22"/>
      <c r="F288" s="22"/>
      <c r="G288" s="22"/>
      <c r="H288" s="22"/>
      <c r="I288" s="22"/>
      <c r="J288" s="22"/>
      <c r="K288" s="22"/>
      <c r="L288" s="22"/>
      <c r="P288" s="22"/>
      <c r="Q288" s="22"/>
      <c r="S288" s="20">
        <v>1</v>
      </c>
      <c r="AE288" s="20">
        <v>1</v>
      </c>
    </row>
    <row r="289" spans="1:32">
      <c r="A289" s="23" t="s">
        <v>4887</v>
      </c>
      <c r="B289" s="23" t="s">
        <v>5619</v>
      </c>
      <c r="C289" s="22">
        <f t="shared" si="6"/>
        <v>2</v>
      </c>
      <c r="E289" s="22"/>
      <c r="F289" s="22"/>
      <c r="G289" s="22"/>
      <c r="H289" s="22"/>
      <c r="I289" s="22"/>
      <c r="J289" s="22"/>
      <c r="K289" s="22"/>
      <c r="L289" s="22"/>
      <c r="P289" s="22"/>
      <c r="Q289" s="22"/>
      <c r="S289" s="20">
        <v>1</v>
      </c>
      <c r="AE289" s="20">
        <v>1</v>
      </c>
    </row>
    <row r="290" spans="1:32">
      <c r="A290" s="23" t="s">
        <v>4881</v>
      </c>
      <c r="B290" s="23" t="s">
        <v>5620</v>
      </c>
      <c r="C290" s="22">
        <f t="shared" si="6"/>
        <v>2</v>
      </c>
      <c r="E290" s="22"/>
      <c r="F290" s="22"/>
      <c r="G290" s="22"/>
      <c r="H290" s="22"/>
      <c r="I290" s="22"/>
      <c r="J290" s="22"/>
      <c r="K290" s="22"/>
      <c r="L290" s="22"/>
      <c r="P290" s="22"/>
      <c r="Q290" s="22"/>
      <c r="S290" s="20">
        <v>1</v>
      </c>
      <c r="AE290" s="20">
        <v>1</v>
      </c>
    </row>
    <row r="291" spans="1:32">
      <c r="A291" s="23" t="s">
        <v>4890</v>
      </c>
      <c r="B291" s="23" t="s">
        <v>5621</v>
      </c>
      <c r="C291" s="22">
        <f t="shared" si="6"/>
        <v>2</v>
      </c>
      <c r="E291" s="22"/>
      <c r="F291" s="22"/>
      <c r="G291" s="22"/>
      <c r="H291" s="22"/>
      <c r="I291" s="22"/>
      <c r="J291" s="22"/>
      <c r="K291" s="22"/>
      <c r="L291" s="22"/>
      <c r="P291" s="22"/>
      <c r="Q291" s="22"/>
      <c r="S291" s="20">
        <v>1</v>
      </c>
      <c r="AE291" s="20">
        <v>1</v>
      </c>
    </row>
    <row r="292" spans="1:32">
      <c r="A292" s="23" t="s">
        <v>5626</v>
      </c>
      <c r="B292" s="23" t="s">
        <v>5482</v>
      </c>
      <c r="C292" s="22">
        <f t="shared" si="6"/>
        <v>2</v>
      </c>
      <c r="E292" s="22"/>
      <c r="F292" s="22"/>
      <c r="G292" s="22"/>
      <c r="H292" s="22"/>
      <c r="I292" s="22"/>
      <c r="J292" s="22"/>
      <c r="K292" s="22"/>
      <c r="L292" s="22"/>
      <c r="P292" s="22"/>
      <c r="Q292" s="22"/>
      <c r="S292" s="20">
        <v>1</v>
      </c>
      <c r="AE292" s="20">
        <v>1</v>
      </c>
    </row>
    <row r="293" spans="1:32">
      <c r="A293" s="23" t="s">
        <v>4643</v>
      </c>
      <c r="B293" s="23" t="s">
        <v>5422</v>
      </c>
      <c r="C293" s="22">
        <f t="shared" si="6"/>
        <v>2</v>
      </c>
      <c r="E293" s="22"/>
      <c r="F293" s="22"/>
      <c r="G293" s="22"/>
      <c r="H293" s="22"/>
      <c r="I293" s="22"/>
      <c r="J293" s="22"/>
      <c r="K293" s="22"/>
      <c r="L293" s="22"/>
      <c r="P293" s="22"/>
      <c r="Q293" s="22"/>
      <c r="S293" s="20">
        <v>1</v>
      </c>
      <c r="AE293" s="20">
        <v>1</v>
      </c>
    </row>
    <row r="294" spans="1:32">
      <c r="A294" s="23" t="s">
        <v>5445</v>
      </c>
      <c r="B294" s="23" t="s">
        <v>5446</v>
      </c>
      <c r="C294" s="22">
        <f t="shared" si="6"/>
        <v>4</v>
      </c>
      <c r="E294" s="22"/>
      <c r="F294" s="22"/>
      <c r="G294" s="22"/>
      <c r="H294" s="22"/>
      <c r="I294" s="22"/>
      <c r="J294" s="22"/>
      <c r="K294" s="22"/>
      <c r="L294" s="22"/>
      <c r="N294" s="20"/>
      <c r="O294" s="20"/>
      <c r="P294" s="22"/>
      <c r="Q294" s="22"/>
      <c r="R294" s="20"/>
      <c r="S294" s="20">
        <v>1</v>
      </c>
      <c r="U294" s="20">
        <v>1</v>
      </c>
      <c r="AA294" s="20"/>
      <c r="AE294" s="20">
        <v>1</v>
      </c>
      <c r="AF294" s="20">
        <v>1</v>
      </c>
    </row>
    <row r="295" spans="1:32">
      <c r="A295" s="23" t="s">
        <v>4826</v>
      </c>
      <c r="B295" s="23" t="s">
        <v>5446</v>
      </c>
      <c r="C295" s="22">
        <f t="shared" si="6"/>
        <v>4</v>
      </c>
      <c r="E295" s="22"/>
      <c r="F295" s="22"/>
      <c r="G295" s="22"/>
      <c r="H295" s="22"/>
      <c r="I295" s="22"/>
      <c r="J295" s="22"/>
      <c r="K295" s="22"/>
      <c r="L295" s="22"/>
      <c r="N295" s="20"/>
      <c r="O295" s="20"/>
      <c r="P295" s="22"/>
      <c r="Q295" s="22"/>
      <c r="R295" s="20"/>
      <c r="S295" s="20">
        <v>1</v>
      </c>
      <c r="U295" s="20">
        <v>1</v>
      </c>
      <c r="AA295" s="20"/>
      <c r="AE295" s="20">
        <v>1</v>
      </c>
      <c r="AF295" s="20">
        <v>1</v>
      </c>
    </row>
    <row r="296" spans="1:32">
      <c r="A296" s="23" t="s">
        <v>5622</v>
      </c>
      <c r="B296" s="23" t="s">
        <v>5407</v>
      </c>
      <c r="C296" s="22">
        <f t="shared" si="6"/>
        <v>3</v>
      </c>
      <c r="E296" s="22"/>
      <c r="F296" s="22"/>
      <c r="G296" s="22"/>
      <c r="H296" s="22"/>
      <c r="I296" s="22"/>
      <c r="J296" s="22"/>
      <c r="K296" s="22"/>
      <c r="L296" s="22"/>
      <c r="P296" s="22"/>
      <c r="Q296" s="22"/>
      <c r="S296" s="20">
        <v>1</v>
      </c>
      <c r="U296" s="20">
        <v>1</v>
      </c>
      <c r="AE296" s="20">
        <v>1</v>
      </c>
    </row>
    <row r="297" spans="1:32">
      <c r="A297" s="23" t="s">
        <v>5623</v>
      </c>
      <c r="B297" s="23" t="s">
        <v>5624</v>
      </c>
      <c r="C297" s="22">
        <f t="shared" si="6"/>
        <v>3</v>
      </c>
      <c r="E297" s="22"/>
      <c r="F297" s="22"/>
      <c r="G297" s="22"/>
      <c r="H297" s="22"/>
      <c r="I297" s="22"/>
      <c r="J297" s="22"/>
      <c r="K297" s="22"/>
      <c r="L297" s="22"/>
      <c r="P297" s="22"/>
      <c r="Q297" s="22"/>
      <c r="S297" s="20">
        <v>1</v>
      </c>
      <c r="U297" s="20">
        <v>1</v>
      </c>
      <c r="AE297" s="20">
        <v>1</v>
      </c>
    </row>
    <row r="298" spans="1:32">
      <c r="A298" s="23" t="s">
        <v>5367</v>
      </c>
      <c r="B298" s="23" t="s">
        <v>5379</v>
      </c>
      <c r="C298" s="22">
        <f t="shared" si="6"/>
        <v>2</v>
      </c>
      <c r="E298" s="22"/>
      <c r="F298" s="22"/>
      <c r="G298" s="22"/>
      <c r="H298" s="22"/>
      <c r="I298" s="22"/>
      <c r="J298" s="22"/>
      <c r="K298" s="22"/>
      <c r="L298" s="22"/>
      <c r="N298" s="20"/>
      <c r="O298" s="20"/>
      <c r="P298" s="22"/>
      <c r="Q298" s="22"/>
      <c r="R298" s="20"/>
      <c r="S298" s="20">
        <v>1</v>
      </c>
      <c r="U298" s="20">
        <v>1</v>
      </c>
      <c r="AA298" s="20"/>
    </row>
    <row r="299" spans="1:32">
      <c r="A299" s="23" t="s">
        <v>4252</v>
      </c>
      <c r="B299" s="23" t="s">
        <v>5380</v>
      </c>
      <c r="C299" s="22">
        <f t="shared" si="6"/>
        <v>3</v>
      </c>
      <c r="E299" s="22"/>
      <c r="F299" s="22"/>
      <c r="G299" s="22"/>
      <c r="H299" s="22"/>
      <c r="I299" s="22"/>
      <c r="J299" s="22"/>
      <c r="K299" s="22"/>
      <c r="L299" s="22"/>
      <c r="N299" s="20"/>
      <c r="O299" s="20"/>
      <c r="P299" s="22"/>
      <c r="Q299" s="22"/>
      <c r="R299" s="20"/>
      <c r="S299" s="20">
        <v>1</v>
      </c>
      <c r="U299" s="20">
        <v>1</v>
      </c>
      <c r="AA299" s="20"/>
      <c r="AF299" s="20">
        <v>1</v>
      </c>
    </row>
    <row r="300" spans="1:32">
      <c r="A300" s="23" t="s">
        <v>4359</v>
      </c>
      <c r="B300" s="23" t="s">
        <v>5368</v>
      </c>
      <c r="C300" s="22">
        <f t="shared" si="6"/>
        <v>3</v>
      </c>
      <c r="E300" s="22"/>
      <c r="F300" s="22"/>
      <c r="G300" s="22"/>
      <c r="H300" s="22"/>
      <c r="I300" s="22"/>
      <c r="J300" s="22"/>
      <c r="K300" s="22"/>
      <c r="L300" s="22"/>
      <c r="N300" s="20"/>
      <c r="O300" s="20"/>
      <c r="P300" s="22"/>
      <c r="Q300" s="22"/>
      <c r="R300" s="20"/>
      <c r="S300" s="20">
        <v>1</v>
      </c>
      <c r="AA300" s="20"/>
      <c r="AE300" s="20">
        <v>1</v>
      </c>
      <c r="AF300" s="20">
        <v>1</v>
      </c>
    </row>
    <row r="301" spans="1:32">
      <c r="A301" s="23" t="s">
        <v>5373</v>
      </c>
      <c r="B301" s="23" t="s">
        <v>5374</v>
      </c>
      <c r="C301" s="22">
        <f t="shared" si="6"/>
        <v>4</v>
      </c>
      <c r="E301" s="22"/>
      <c r="F301" s="22"/>
      <c r="G301" s="22"/>
      <c r="H301" s="22"/>
      <c r="I301" s="22"/>
      <c r="J301" s="22"/>
      <c r="K301" s="22"/>
      <c r="L301" s="22"/>
      <c r="N301" s="20"/>
      <c r="O301" s="20"/>
      <c r="P301" s="22"/>
      <c r="Q301" s="22"/>
      <c r="R301" s="20"/>
      <c r="S301" s="20">
        <v>1</v>
      </c>
      <c r="U301" s="20">
        <v>1</v>
      </c>
      <c r="AA301" s="20"/>
      <c r="AE301" s="20">
        <v>1</v>
      </c>
      <c r="AF301" s="20">
        <v>1</v>
      </c>
    </row>
    <row r="302" spans="1:32">
      <c r="A302" s="23" t="s">
        <v>5375</v>
      </c>
      <c r="B302" s="23" t="s">
        <v>5376</v>
      </c>
      <c r="C302" s="22">
        <f t="shared" si="6"/>
        <v>2</v>
      </c>
      <c r="E302" s="22"/>
      <c r="F302" s="22"/>
      <c r="G302" s="22"/>
      <c r="H302" s="22"/>
      <c r="I302" s="22"/>
      <c r="J302" s="22"/>
      <c r="K302" s="22"/>
      <c r="L302" s="22"/>
      <c r="N302" s="20"/>
      <c r="O302" s="20"/>
      <c r="P302" s="22"/>
      <c r="Q302" s="22"/>
      <c r="R302" s="20"/>
      <c r="S302" s="20">
        <v>1</v>
      </c>
      <c r="U302" s="20">
        <v>1</v>
      </c>
      <c r="AA302" s="20"/>
    </row>
    <row r="303" spans="1:32">
      <c r="A303" s="23" t="s">
        <v>4255</v>
      </c>
      <c r="B303" s="23" t="s">
        <v>5377</v>
      </c>
      <c r="C303" s="22">
        <f t="shared" si="6"/>
        <v>4</v>
      </c>
      <c r="E303" s="22"/>
      <c r="F303" s="22"/>
      <c r="G303" s="22"/>
      <c r="H303" s="22"/>
      <c r="I303" s="22"/>
      <c r="J303" s="22"/>
      <c r="K303" s="22"/>
      <c r="L303" s="22"/>
      <c r="N303" s="20"/>
      <c r="O303" s="20"/>
      <c r="P303" s="22"/>
      <c r="Q303" s="22"/>
      <c r="R303" s="20"/>
      <c r="S303" s="20">
        <v>1</v>
      </c>
      <c r="U303" s="20">
        <v>1</v>
      </c>
      <c r="AA303" s="20"/>
      <c r="AE303" s="20">
        <v>1</v>
      </c>
      <c r="AF303" s="20">
        <v>1</v>
      </c>
    </row>
    <row r="304" spans="1:32">
      <c r="A304" s="23" t="s">
        <v>5378</v>
      </c>
      <c r="B304" s="23" t="s">
        <v>5381</v>
      </c>
      <c r="C304" s="22">
        <f t="shared" si="6"/>
        <v>4</v>
      </c>
      <c r="E304" s="22"/>
      <c r="F304" s="22"/>
      <c r="G304" s="22"/>
      <c r="H304" s="22"/>
      <c r="I304" s="22"/>
      <c r="J304" s="22"/>
      <c r="K304" s="22"/>
      <c r="L304" s="22"/>
      <c r="N304" s="20"/>
      <c r="O304" s="20"/>
      <c r="P304" s="22"/>
      <c r="Q304" s="22"/>
      <c r="R304" s="20"/>
      <c r="S304" s="20">
        <v>1</v>
      </c>
      <c r="U304" s="20">
        <v>1</v>
      </c>
      <c r="AA304" s="20"/>
      <c r="AE304" s="20">
        <v>1</v>
      </c>
      <c r="AF304" s="20">
        <v>1</v>
      </c>
    </row>
    <row r="305" spans="1:32">
      <c r="A305" s="23" t="s">
        <v>4951</v>
      </c>
      <c r="B305" s="23" t="s">
        <v>5383</v>
      </c>
      <c r="C305" s="22">
        <f t="shared" si="6"/>
        <v>3</v>
      </c>
      <c r="E305" s="22"/>
      <c r="F305" s="22"/>
      <c r="G305" s="22"/>
      <c r="H305" s="22"/>
      <c r="I305" s="22"/>
      <c r="J305" s="22"/>
      <c r="K305" s="22"/>
      <c r="L305" s="22"/>
      <c r="N305" s="20"/>
      <c r="O305" s="20"/>
      <c r="P305" s="22"/>
      <c r="Q305" s="22"/>
      <c r="R305" s="20"/>
      <c r="S305" s="20">
        <v>1</v>
      </c>
      <c r="U305" s="20">
        <v>1</v>
      </c>
      <c r="AA305" s="20"/>
      <c r="AF305" s="20">
        <v>1</v>
      </c>
    </row>
    <row r="306" spans="1:32">
      <c r="A306" s="23" t="s">
        <v>5394</v>
      </c>
      <c r="B306" s="23" t="s">
        <v>5395</v>
      </c>
      <c r="C306" s="22">
        <f t="shared" si="6"/>
        <v>3</v>
      </c>
      <c r="E306" s="22"/>
      <c r="F306" s="22"/>
      <c r="G306" s="22"/>
      <c r="H306" s="22"/>
      <c r="I306" s="22"/>
      <c r="J306" s="22"/>
      <c r="K306" s="22"/>
      <c r="L306" s="22"/>
      <c r="N306" s="20"/>
      <c r="O306" s="20"/>
      <c r="P306" s="22"/>
      <c r="Q306" s="22"/>
      <c r="R306" s="20"/>
      <c r="S306" s="20">
        <v>1</v>
      </c>
      <c r="AA306" s="20"/>
      <c r="AE306" s="20">
        <v>1</v>
      </c>
      <c r="AF306" s="20">
        <v>1</v>
      </c>
    </row>
    <row r="307" spans="1:32">
      <c r="A307" s="23" t="s">
        <v>5405</v>
      </c>
      <c r="B307" s="23" t="s">
        <v>5407</v>
      </c>
      <c r="C307" s="22">
        <f t="shared" si="6"/>
        <v>3</v>
      </c>
      <c r="E307" s="22"/>
      <c r="F307" s="22"/>
      <c r="G307" s="22"/>
      <c r="H307" s="22"/>
      <c r="I307" s="22"/>
      <c r="J307" s="22"/>
      <c r="K307" s="22"/>
      <c r="L307" s="22"/>
      <c r="N307" s="20"/>
      <c r="O307" s="20"/>
      <c r="P307" s="22"/>
      <c r="Q307" s="22"/>
      <c r="R307" s="20"/>
      <c r="S307" s="20">
        <v>1</v>
      </c>
      <c r="U307" s="20">
        <v>1</v>
      </c>
      <c r="AA307" s="20"/>
      <c r="AE307" s="20">
        <v>1</v>
      </c>
    </row>
    <row r="308" spans="1:32">
      <c r="A308" s="23" t="s">
        <v>5406</v>
      </c>
      <c r="B308" s="23" t="s">
        <v>5408</v>
      </c>
      <c r="C308" s="22">
        <f t="shared" si="6"/>
        <v>3</v>
      </c>
      <c r="E308" s="22"/>
      <c r="F308" s="22"/>
      <c r="G308" s="22"/>
      <c r="H308" s="22"/>
      <c r="I308" s="22"/>
      <c r="J308" s="22"/>
      <c r="K308" s="22"/>
      <c r="L308" s="22"/>
      <c r="N308" s="20"/>
      <c r="O308" s="20"/>
      <c r="P308" s="22"/>
      <c r="Q308" s="22"/>
      <c r="R308" s="20"/>
      <c r="S308" s="20">
        <v>1</v>
      </c>
      <c r="U308" s="20">
        <v>1</v>
      </c>
      <c r="AA308" s="20"/>
      <c r="AE308" s="20">
        <v>1</v>
      </c>
    </row>
    <row r="309" spans="1:32">
      <c r="A309" s="23" t="s">
        <v>5409</v>
      </c>
      <c r="B309" s="23" t="s">
        <v>5410</v>
      </c>
      <c r="C309" s="22">
        <f t="shared" si="6"/>
        <v>3</v>
      </c>
      <c r="E309" s="22"/>
      <c r="F309" s="22"/>
      <c r="G309" s="22"/>
      <c r="H309" s="22"/>
      <c r="I309" s="22"/>
      <c r="J309" s="22"/>
      <c r="K309" s="22"/>
      <c r="L309" s="22"/>
      <c r="N309" s="20"/>
      <c r="O309" s="20"/>
      <c r="P309" s="22"/>
      <c r="Q309" s="22"/>
      <c r="R309" s="20"/>
      <c r="S309" s="20">
        <v>1</v>
      </c>
      <c r="AA309" s="20"/>
      <c r="AE309" s="20">
        <v>1</v>
      </c>
      <c r="AF309" s="20">
        <v>1</v>
      </c>
    </row>
    <row r="310" spans="1:32">
      <c r="A310" s="23" t="s">
        <v>5271</v>
      </c>
      <c r="B310" s="23" t="s">
        <v>5272</v>
      </c>
      <c r="C310" s="22">
        <f t="shared" si="6"/>
        <v>3</v>
      </c>
      <c r="E310" s="22"/>
      <c r="F310" s="22"/>
      <c r="G310" s="22"/>
      <c r="H310" s="22"/>
      <c r="I310" s="22"/>
      <c r="J310" s="22"/>
      <c r="K310" s="22"/>
      <c r="L310" s="22"/>
      <c r="N310" s="20"/>
      <c r="O310" s="20"/>
      <c r="P310" s="22"/>
      <c r="Q310" s="22"/>
      <c r="R310" s="20"/>
      <c r="S310" s="20">
        <v>1</v>
      </c>
      <c r="U310" s="20">
        <v>1</v>
      </c>
      <c r="AA310" s="20"/>
      <c r="AF310" s="20">
        <v>1</v>
      </c>
    </row>
    <row r="311" spans="1:32">
      <c r="A311" s="23" t="s">
        <v>5417</v>
      </c>
      <c r="B311" s="23" t="s">
        <v>5418</v>
      </c>
      <c r="C311" s="22">
        <f t="shared" si="6"/>
        <v>2</v>
      </c>
      <c r="E311" s="22"/>
      <c r="F311" s="22"/>
      <c r="G311" s="22"/>
      <c r="H311" s="22"/>
      <c r="I311" s="22"/>
      <c r="J311" s="22"/>
      <c r="K311" s="22"/>
      <c r="L311" s="22"/>
      <c r="N311" s="20"/>
      <c r="O311" s="20"/>
      <c r="P311" s="22"/>
      <c r="Q311" s="22"/>
      <c r="R311" s="20"/>
      <c r="S311" s="20">
        <v>1</v>
      </c>
      <c r="AA311" s="20"/>
      <c r="AF311" s="20">
        <v>1</v>
      </c>
    </row>
    <row r="312" spans="1:32">
      <c r="A312" s="23" t="s">
        <v>5419</v>
      </c>
      <c r="B312" s="23" t="s">
        <v>5420</v>
      </c>
      <c r="C312" s="22">
        <f t="shared" si="6"/>
        <v>2</v>
      </c>
      <c r="E312" s="22"/>
      <c r="F312" s="22"/>
      <c r="G312" s="22"/>
      <c r="H312" s="22"/>
      <c r="I312" s="22"/>
      <c r="J312" s="22"/>
      <c r="K312" s="22"/>
      <c r="L312" s="22"/>
      <c r="N312" s="20"/>
      <c r="O312" s="20"/>
      <c r="P312" s="22"/>
      <c r="Q312" s="22"/>
      <c r="R312" s="20"/>
      <c r="S312" s="20">
        <v>1</v>
      </c>
      <c r="AA312" s="20"/>
      <c r="AF312" s="20">
        <v>1</v>
      </c>
    </row>
    <row r="313" spans="1:32">
      <c r="A313" s="23" t="s">
        <v>4258</v>
      </c>
      <c r="B313" s="23" t="s">
        <v>5421</v>
      </c>
      <c r="C313" s="22">
        <f t="shared" si="6"/>
        <v>2</v>
      </c>
      <c r="E313" s="22"/>
      <c r="F313" s="22"/>
      <c r="G313" s="22"/>
      <c r="H313" s="22"/>
      <c r="I313" s="22"/>
      <c r="J313" s="22"/>
      <c r="K313" s="22"/>
      <c r="L313" s="22"/>
      <c r="N313" s="20"/>
      <c r="O313" s="20"/>
      <c r="P313" s="22"/>
      <c r="Q313" s="22"/>
      <c r="R313" s="20"/>
      <c r="S313" s="20">
        <v>1</v>
      </c>
      <c r="AA313" s="20"/>
      <c r="AF313" s="20">
        <v>1</v>
      </c>
    </row>
    <row r="314" spans="1:32">
      <c r="A314" s="23" t="s">
        <v>4646</v>
      </c>
      <c r="B314" s="23" t="s">
        <v>5422</v>
      </c>
      <c r="C314" s="22">
        <f t="shared" si="6"/>
        <v>2</v>
      </c>
      <c r="E314" s="22"/>
      <c r="F314" s="22"/>
      <c r="G314" s="22"/>
      <c r="H314" s="22"/>
      <c r="I314" s="22"/>
      <c r="J314" s="22"/>
      <c r="K314" s="22"/>
      <c r="L314" s="22"/>
      <c r="N314" s="20"/>
      <c r="O314" s="20"/>
      <c r="P314" s="22"/>
      <c r="Q314" s="22"/>
      <c r="R314" s="20"/>
      <c r="S314" s="20">
        <v>1</v>
      </c>
      <c r="AA314" s="20"/>
      <c r="AE314" s="20">
        <v>1</v>
      </c>
    </row>
    <row r="315" spans="1:32">
      <c r="A315" s="23" t="s">
        <v>5423</v>
      </c>
      <c r="B315" s="23" t="s">
        <v>5424</v>
      </c>
      <c r="C315" s="22">
        <f t="shared" si="6"/>
        <v>4</v>
      </c>
      <c r="E315" s="22"/>
      <c r="F315" s="22"/>
      <c r="G315" s="22"/>
      <c r="H315" s="22"/>
      <c r="I315" s="22"/>
      <c r="J315" s="22"/>
      <c r="K315" s="22"/>
      <c r="L315" s="22"/>
      <c r="N315" s="20"/>
      <c r="O315" s="20"/>
      <c r="P315" s="22"/>
      <c r="Q315" s="22"/>
      <c r="R315" s="20"/>
      <c r="S315" s="20">
        <v>1</v>
      </c>
      <c r="U315" s="20">
        <v>1</v>
      </c>
      <c r="AA315" s="20"/>
      <c r="AE315" s="20">
        <v>1</v>
      </c>
      <c r="AF315" s="20">
        <v>1</v>
      </c>
    </row>
    <row r="316" spans="1:32">
      <c r="A316" s="23" t="s">
        <v>5436</v>
      </c>
      <c r="B316" s="23" t="s">
        <v>5437</v>
      </c>
      <c r="C316" s="22">
        <f t="shared" si="6"/>
        <v>3</v>
      </c>
      <c r="E316" s="22"/>
      <c r="F316" s="22"/>
      <c r="G316" s="22"/>
      <c r="H316" s="22"/>
      <c r="I316" s="22"/>
      <c r="J316" s="22"/>
      <c r="K316" s="22"/>
      <c r="L316" s="22"/>
      <c r="N316" s="20"/>
      <c r="O316" s="20"/>
      <c r="P316" s="22"/>
      <c r="Q316" s="22"/>
      <c r="R316" s="20"/>
      <c r="S316" s="20">
        <v>1</v>
      </c>
      <c r="AA316" s="20"/>
      <c r="AE316" s="20">
        <v>1</v>
      </c>
      <c r="AF316" s="20">
        <v>1</v>
      </c>
    </row>
    <row r="317" spans="1:32">
      <c r="A317" s="23" t="s">
        <v>4684</v>
      </c>
      <c r="B317" s="23" t="s">
        <v>5185</v>
      </c>
      <c r="C317" s="22">
        <f t="shared" si="6"/>
        <v>3</v>
      </c>
      <c r="E317" s="22"/>
      <c r="F317" s="22"/>
      <c r="G317" s="22"/>
      <c r="H317" s="22"/>
      <c r="I317" s="22"/>
      <c r="J317" s="22"/>
      <c r="K317" s="22"/>
      <c r="L317" s="22"/>
      <c r="N317" s="20"/>
      <c r="O317" s="20"/>
      <c r="P317" s="22"/>
      <c r="Q317" s="22"/>
      <c r="R317" s="20"/>
      <c r="S317" s="20">
        <v>1</v>
      </c>
      <c r="AA317" s="20"/>
      <c r="AE317" s="20">
        <v>1</v>
      </c>
      <c r="AF317" s="20">
        <v>1</v>
      </c>
    </row>
    <row r="318" spans="1:32">
      <c r="A318" s="23" t="s">
        <v>5443</v>
      </c>
      <c r="B318" s="23" t="s">
        <v>5444</v>
      </c>
      <c r="C318" s="22">
        <f t="shared" si="6"/>
        <v>3</v>
      </c>
      <c r="E318" s="22"/>
      <c r="F318" s="22"/>
      <c r="G318" s="22"/>
      <c r="H318" s="22"/>
      <c r="I318" s="22"/>
      <c r="J318" s="22"/>
      <c r="K318" s="22"/>
      <c r="L318" s="22"/>
      <c r="N318" s="20"/>
      <c r="O318" s="20"/>
      <c r="P318" s="22"/>
      <c r="Q318" s="22"/>
      <c r="R318" s="20"/>
      <c r="S318" s="20">
        <v>1</v>
      </c>
      <c r="AA318" s="20"/>
      <c r="AE318" s="20">
        <v>1</v>
      </c>
      <c r="AF318" s="20">
        <v>1</v>
      </c>
    </row>
    <row r="319" spans="1:32">
      <c r="A319" s="23" t="s">
        <v>5447</v>
      </c>
      <c r="B319" s="23" t="s">
        <v>5448</v>
      </c>
      <c r="C319" s="22">
        <f t="shared" si="6"/>
        <v>2</v>
      </c>
      <c r="E319" s="22"/>
      <c r="F319" s="22"/>
      <c r="G319" s="22"/>
      <c r="H319" s="22"/>
      <c r="I319" s="22"/>
      <c r="J319" s="22"/>
      <c r="K319" s="22"/>
      <c r="L319" s="22"/>
      <c r="N319" s="20"/>
      <c r="O319" s="20"/>
      <c r="P319" s="22"/>
      <c r="Q319" s="22"/>
      <c r="R319" s="20"/>
      <c r="S319" s="20">
        <v>1</v>
      </c>
      <c r="AA319" s="20"/>
      <c r="AF319" s="20">
        <v>1</v>
      </c>
    </row>
    <row r="320" spans="1:32">
      <c r="A320" s="23" t="s">
        <v>4703</v>
      </c>
      <c r="B320" s="23" t="s">
        <v>5449</v>
      </c>
      <c r="C320" s="22">
        <f t="shared" si="6"/>
        <v>2</v>
      </c>
      <c r="E320" s="22"/>
      <c r="F320" s="22"/>
      <c r="G320" s="22"/>
      <c r="H320" s="22"/>
      <c r="I320" s="22"/>
      <c r="J320" s="22"/>
      <c r="K320" s="22"/>
      <c r="L320" s="22"/>
      <c r="N320" s="20"/>
      <c r="O320" s="20"/>
      <c r="P320" s="22"/>
      <c r="Q320" s="22"/>
      <c r="R320" s="20"/>
      <c r="S320" s="20">
        <v>1</v>
      </c>
      <c r="AA320" s="20"/>
      <c r="AF320" s="20">
        <v>1</v>
      </c>
    </row>
    <row r="321" spans="1:33">
      <c r="A321" s="23" t="s">
        <v>4580</v>
      </c>
      <c r="B321" s="23" t="s">
        <v>5450</v>
      </c>
      <c r="C321" s="22">
        <f t="shared" si="6"/>
        <v>2</v>
      </c>
      <c r="E321" s="22"/>
      <c r="F321" s="22"/>
      <c r="G321" s="22"/>
      <c r="H321" s="22"/>
      <c r="I321" s="22"/>
      <c r="J321" s="22"/>
      <c r="K321" s="22"/>
      <c r="L321" s="22"/>
      <c r="N321" s="20"/>
      <c r="O321" s="20"/>
      <c r="P321" s="22"/>
      <c r="Q321" s="22"/>
      <c r="R321" s="20"/>
      <c r="S321" s="20">
        <v>1</v>
      </c>
      <c r="AA321" s="20"/>
      <c r="AF321" s="20">
        <v>1</v>
      </c>
    </row>
    <row r="322" spans="1:33">
      <c r="A322" s="23" t="s">
        <v>4775</v>
      </c>
      <c r="B322" s="23" t="s">
        <v>5453</v>
      </c>
      <c r="C322" s="22">
        <f t="shared" si="6"/>
        <v>2</v>
      </c>
      <c r="E322" s="22"/>
      <c r="F322" s="22"/>
      <c r="G322" s="22"/>
      <c r="H322" s="22"/>
      <c r="I322" s="22"/>
      <c r="J322" s="22"/>
      <c r="K322" s="22"/>
      <c r="L322" s="22"/>
      <c r="N322" s="20"/>
      <c r="O322" s="20"/>
      <c r="P322" s="22"/>
      <c r="Q322" s="22"/>
      <c r="R322" s="20"/>
      <c r="S322" s="20">
        <v>1</v>
      </c>
      <c r="AA322" s="20"/>
      <c r="AF322" s="20">
        <v>1</v>
      </c>
    </row>
    <row r="323" spans="1:33">
      <c r="A323" s="23" t="s">
        <v>4829</v>
      </c>
      <c r="B323" s="23" t="s">
        <v>5452</v>
      </c>
      <c r="C323" s="22">
        <f t="shared" si="6"/>
        <v>2</v>
      </c>
      <c r="E323" s="22"/>
      <c r="F323" s="22"/>
      <c r="G323" s="22"/>
      <c r="H323" s="22"/>
      <c r="I323" s="22"/>
      <c r="J323" s="22"/>
      <c r="K323" s="22"/>
      <c r="L323" s="22"/>
      <c r="N323" s="20"/>
      <c r="O323" s="20"/>
      <c r="P323" s="22"/>
      <c r="Q323" s="22"/>
      <c r="R323" s="20"/>
      <c r="S323" s="20">
        <v>1</v>
      </c>
      <c r="AA323" s="20"/>
      <c r="AF323" s="20">
        <v>1</v>
      </c>
    </row>
    <row r="324" spans="1:33">
      <c r="A324" s="23" t="s">
        <v>4897</v>
      </c>
      <c r="B324" s="23" t="s">
        <v>5448</v>
      </c>
      <c r="C324" s="22">
        <f t="shared" si="6"/>
        <v>2</v>
      </c>
      <c r="E324" s="22"/>
      <c r="F324" s="22"/>
      <c r="G324" s="22"/>
      <c r="H324" s="22"/>
      <c r="I324" s="22"/>
      <c r="J324" s="22"/>
      <c r="K324" s="22"/>
      <c r="L324" s="22"/>
      <c r="P324" s="22"/>
      <c r="Q324" s="22"/>
      <c r="S324" s="20">
        <v>1</v>
      </c>
      <c r="AF324" s="20">
        <v>1</v>
      </c>
    </row>
    <row r="325" spans="1:33">
      <c r="A325" s="23" t="s">
        <v>4249</v>
      </c>
      <c r="B325" s="23" t="s">
        <v>5474</v>
      </c>
      <c r="C325" s="22">
        <f t="shared" si="6"/>
        <v>3</v>
      </c>
      <c r="E325" s="22"/>
      <c r="F325" s="22"/>
      <c r="G325" s="22"/>
      <c r="H325" s="22"/>
      <c r="I325" s="22"/>
      <c r="J325" s="22"/>
      <c r="K325" s="22"/>
      <c r="L325" s="22"/>
      <c r="N325" s="20"/>
      <c r="O325" s="20"/>
      <c r="P325" s="22"/>
      <c r="Q325" s="22"/>
      <c r="R325" s="20"/>
      <c r="S325" s="20">
        <v>1</v>
      </c>
      <c r="U325" s="20">
        <v>1</v>
      </c>
      <c r="AA325" s="20"/>
      <c r="AF325" s="20">
        <v>1</v>
      </c>
    </row>
    <row r="326" spans="1:33">
      <c r="A326" s="23" t="s">
        <v>5485</v>
      </c>
      <c r="B326" s="23" t="s">
        <v>5486</v>
      </c>
      <c r="C326" s="22">
        <f t="shared" si="6"/>
        <v>3</v>
      </c>
      <c r="E326" s="22"/>
      <c r="F326" s="22"/>
      <c r="G326" s="22"/>
      <c r="H326" s="22"/>
      <c r="I326" s="22"/>
      <c r="J326" s="22"/>
      <c r="K326" s="22"/>
      <c r="L326" s="22"/>
      <c r="N326" s="20"/>
      <c r="O326" s="20"/>
      <c r="P326" s="22"/>
      <c r="Q326" s="22"/>
      <c r="R326" s="20"/>
      <c r="S326" s="20">
        <v>1</v>
      </c>
      <c r="U326" s="20">
        <v>1</v>
      </c>
      <c r="AA326" s="20"/>
      <c r="AF326" s="20">
        <v>1</v>
      </c>
    </row>
    <row r="327" spans="1:33">
      <c r="A327" s="23" t="s">
        <v>5509</v>
      </c>
      <c r="B327" s="23" t="s">
        <v>5510</v>
      </c>
      <c r="C327" s="22">
        <f t="shared" si="6"/>
        <v>3</v>
      </c>
      <c r="E327" s="22"/>
      <c r="F327" s="22"/>
      <c r="G327" s="22"/>
      <c r="H327" s="22"/>
      <c r="I327" s="22"/>
      <c r="J327" s="22"/>
      <c r="K327" s="22"/>
      <c r="L327" s="22"/>
      <c r="N327" s="20"/>
      <c r="O327" s="20"/>
      <c r="P327" s="22"/>
      <c r="Q327" s="22"/>
      <c r="R327" s="20"/>
      <c r="S327" s="20">
        <v>1</v>
      </c>
      <c r="AA327" s="20"/>
      <c r="AE327" s="20">
        <v>1</v>
      </c>
      <c r="AF327" s="20">
        <v>1</v>
      </c>
    </row>
    <row r="328" spans="1:33">
      <c r="A328" s="23" t="s">
        <v>5469</v>
      </c>
      <c r="B328" s="23" t="s">
        <v>5484</v>
      </c>
      <c r="C328" s="22">
        <f t="shared" si="6"/>
        <v>3</v>
      </c>
      <c r="E328" s="22"/>
      <c r="F328" s="22"/>
      <c r="G328" s="22"/>
      <c r="H328" s="22"/>
      <c r="I328" s="22"/>
      <c r="J328" s="22"/>
      <c r="K328" s="22"/>
      <c r="L328" s="22"/>
      <c r="N328" s="20"/>
      <c r="O328" s="20"/>
      <c r="P328" s="22"/>
      <c r="Q328" s="22"/>
      <c r="R328" s="20"/>
      <c r="S328" s="20">
        <v>1</v>
      </c>
      <c r="AA328" s="20"/>
      <c r="AE328" s="20">
        <v>1</v>
      </c>
      <c r="AG328" s="20">
        <v>1</v>
      </c>
    </row>
    <row r="329" spans="1:33">
      <c r="A329" s="23" t="s">
        <v>5190</v>
      </c>
      <c r="B329" s="23" t="s">
        <v>5191</v>
      </c>
      <c r="C329" s="22">
        <f t="shared" si="6"/>
        <v>2</v>
      </c>
      <c r="E329" s="22"/>
      <c r="F329" s="22"/>
      <c r="G329" s="22"/>
      <c r="H329" s="22"/>
      <c r="I329" s="22"/>
      <c r="J329" s="22"/>
      <c r="K329" s="22"/>
      <c r="L329" s="22"/>
      <c r="N329" s="20"/>
      <c r="O329" s="20"/>
      <c r="P329" s="22"/>
      <c r="Q329" s="22"/>
      <c r="R329" s="20"/>
      <c r="S329" s="20">
        <v>1</v>
      </c>
      <c r="AA329" s="20"/>
      <c r="AG329" s="20">
        <v>1</v>
      </c>
    </row>
    <row r="330" spans="1:33">
      <c r="A330" s="23" t="s">
        <v>5438</v>
      </c>
      <c r="B330" s="23" t="s">
        <v>5439</v>
      </c>
      <c r="C330" s="22">
        <f t="shared" ref="C330:C365" si="7">SUM(D330:AI330)</f>
        <v>2</v>
      </c>
      <c r="E330" s="22"/>
      <c r="F330" s="22"/>
      <c r="G330" s="22"/>
      <c r="H330" s="22"/>
      <c r="I330" s="22"/>
      <c r="J330" s="22"/>
      <c r="K330" s="22"/>
      <c r="L330" s="22"/>
      <c r="N330" s="20"/>
      <c r="O330" s="20"/>
      <c r="P330" s="22"/>
      <c r="Q330" s="22"/>
      <c r="R330" s="20"/>
      <c r="S330" s="20">
        <v>1</v>
      </c>
      <c r="AA330" s="20"/>
      <c r="AG330" s="20">
        <v>1</v>
      </c>
    </row>
    <row r="331" spans="1:33">
      <c r="A331" s="23" t="s">
        <v>4446</v>
      </c>
      <c r="B331" s="23" t="s">
        <v>5440</v>
      </c>
      <c r="C331" s="22">
        <f t="shared" si="7"/>
        <v>2</v>
      </c>
      <c r="E331" s="22"/>
      <c r="F331" s="22"/>
      <c r="G331" s="22"/>
      <c r="H331" s="22"/>
      <c r="I331" s="22"/>
      <c r="J331" s="22"/>
      <c r="K331" s="22"/>
      <c r="L331" s="22"/>
      <c r="N331" s="20"/>
      <c r="O331" s="20"/>
      <c r="P331" s="22"/>
      <c r="Q331" s="22"/>
      <c r="R331" s="20"/>
      <c r="S331" s="20">
        <v>1</v>
      </c>
      <c r="AA331" s="20"/>
      <c r="AG331" s="20">
        <v>1</v>
      </c>
    </row>
    <row r="332" spans="1:33">
      <c r="A332" s="23" t="s">
        <v>4656</v>
      </c>
      <c r="B332" s="23" t="s">
        <v>5441</v>
      </c>
      <c r="C332" s="22">
        <f t="shared" si="7"/>
        <v>2</v>
      </c>
      <c r="E332" s="22"/>
      <c r="F332" s="22"/>
      <c r="G332" s="22"/>
      <c r="H332" s="22"/>
      <c r="I332" s="22"/>
      <c r="J332" s="22"/>
      <c r="K332" s="22"/>
      <c r="L332" s="22"/>
      <c r="N332" s="20"/>
      <c r="O332" s="20"/>
      <c r="P332" s="22"/>
      <c r="Q332" s="22"/>
      <c r="R332" s="20"/>
      <c r="S332" s="20">
        <v>1</v>
      </c>
      <c r="AA332" s="20"/>
      <c r="AG332" s="20">
        <v>1</v>
      </c>
    </row>
    <row r="333" spans="1:33">
      <c r="A333" s="23" t="s">
        <v>4905</v>
      </c>
      <c r="B333" s="23" t="s">
        <v>5442</v>
      </c>
      <c r="C333" s="22">
        <f t="shared" si="7"/>
        <v>2</v>
      </c>
      <c r="E333" s="22"/>
      <c r="F333" s="22"/>
      <c r="G333" s="22"/>
      <c r="H333" s="22"/>
      <c r="I333" s="22"/>
      <c r="J333" s="22"/>
      <c r="K333" s="22"/>
      <c r="L333" s="22"/>
      <c r="N333" s="20"/>
      <c r="O333" s="20"/>
      <c r="P333" s="22"/>
      <c r="Q333" s="22"/>
      <c r="R333" s="20"/>
      <c r="S333" s="20">
        <v>1</v>
      </c>
      <c r="AA333" s="20"/>
      <c r="AG333" s="20">
        <v>1</v>
      </c>
    </row>
    <row r="334" spans="1:33">
      <c r="A334" s="23" t="s">
        <v>5494</v>
      </c>
      <c r="B334" s="23" t="s">
        <v>5495</v>
      </c>
      <c r="C334" s="22">
        <f t="shared" si="7"/>
        <v>2</v>
      </c>
      <c r="E334" s="22"/>
      <c r="F334" s="22"/>
      <c r="G334" s="22"/>
      <c r="H334" s="22"/>
      <c r="I334" s="22"/>
      <c r="J334" s="22"/>
      <c r="K334" s="22"/>
      <c r="L334" s="22"/>
      <c r="N334" s="20"/>
      <c r="O334" s="20"/>
      <c r="P334" s="22"/>
      <c r="Q334" s="22"/>
      <c r="R334" s="20"/>
      <c r="S334" s="20">
        <v>1</v>
      </c>
      <c r="AA334" s="20"/>
      <c r="AG334" s="20">
        <v>1</v>
      </c>
    </row>
    <row r="335" spans="1:33">
      <c r="A335" s="23" t="s">
        <v>5101</v>
      </c>
      <c r="B335" s="23" t="s">
        <v>5627</v>
      </c>
      <c r="C335" s="22">
        <f t="shared" si="7"/>
        <v>2</v>
      </c>
      <c r="E335" s="22"/>
      <c r="F335" s="22"/>
      <c r="G335" s="22"/>
      <c r="H335" s="22"/>
      <c r="I335" s="22"/>
      <c r="J335" s="22"/>
      <c r="K335" s="22"/>
      <c r="L335" s="22"/>
      <c r="P335" s="22"/>
      <c r="Q335" s="22"/>
      <c r="S335" s="20">
        <v>1</v>
      </c>
      <c r="AG335" s="20">
        <v>1</v>
      </c>
    </row>
    <row r="336" spans="1:33">
      <c r="A336" s="23" t="s">
        <v>5504</v>
      </c>
      <c r="B336" s="23" t="s">
        <v>5505</v>
      </c>
      <c r="C336" s="22">
        <f t="shared" si="7"/>
        <v>2</v>
      </c>
      <c r="E336" s="22"/>
      <c r="F336" s="22"/>
      <c r="G336" s="22"/>
      <c r="H336" s="22"/>
      <c r="I336" s="22"/>
      <c r="J336" s="22"/>
      <c r="K336" s="22"/>
      <c r="L336" s="22"/>
      <c r="N336" s="20"/>
      <c r="O336" s="20"/>
      <c r="P336" s="22"/>
      <c r="Q336" s="22"/>
      <c r="R336" s="20"/>
      <c r="S336" s="20">
        <v>1</v>
      </c>
      <c r="AA336" s="20"/>
      <c r="AG336" s="20">
        <v>1</v>
      </c>
    </row>
    <row r="337" spans="1:34">
      <c r="A337" s="23" t="s">
        <v>4790</v>
      </c>
      <c r="B337" s="23" t="s">
        <v>5506</v>
      </c>
      <c r="C337" s="22">
        <f t="shared" si="7"/>
        <v>2</v>
      </c>
      <c r="E337" s="22"/>
      <c r="F337" s="22"/>
      <c r="G337" s="22"/>
      <c r="H337" s="22"/>
      <c r="I337" s="22"/>
      <c r="J337" s="22"/>
      <c r="K337" s="22"/>
      <c r="L337" s="22"/>
      <c r="N337" s="20"/>
      <c r="O337" s="20"/>
      <c r="P337" s="22"/>
      <c r="Q337" s="22"/>
      <c r="R337" s="20"/>
      <c r="S337" s="20">
        <v>1</v>
      </c>
      <c r="AA337" s="20"/>
      <c r="AG337" s="20">
        <v>1</v>
      </c>
    </row>
    <row r="338" spans="1:34">
      <c r="A338" s="23" t="s">
        <v>4465</v>
      </c>
      <c r="B338" s="23" t="s">
        <v>5507</v>
      </c>
      <c r="C338" s="22">
        <f t="shared" si="7"/>
        <v>2</v>
      </c>
      <c r="E338" s="22"/>
      <c r="F338" s="22"/>
      <c r="G338" s="22"/>
      <c r="H338" s="22"/>
      <c r="I338" s="22"/>
      <c r="J338" s="22"/>
      <c r="K338" s="22"/>
      <c r="L338" s="22"/>
      <c r="N338" s="20"/>
      <c r="O338" s="20"/>
      <c r="P338" s="22"/>
      <c r="Q338" s="22"/>
      <c r="R338" s="20"/>
      <c r="S338" s="20">
        <v>1</v>
      </c>
      <c r="AA338" s="20"/>
      <c r="AG338" s="20">
        <v>1</v>
      </c>
    </row>
    <row r="339" spans="1:34">
      <c r="A339" s="23" t="s">
        <v>4625</v>
      </c>
      <c r="B339" s="23" t="s">
        <v>5508</v>
      </c>
      <c r="C339" s="22">
        <f t="shared" si="7"/>
        <v>2</v>
      </c>
      <c r="E339" s="22"/>
      <c r="F339" s="22"/>
      <c r="G339" s="22"/>
      <c r="H339" s="22"/>
      <c r="I339" s="22"/>
      <c r="J339" s="22"/>
      <c r="K339" s="22"/>
      <c r="L339" s="22"/>
      <c r="N339" s="20"/>
      <c r="O339" s="20"/>
      <c r="P339" s="22"/>
      <c r="Q339" s="22"/>
      <c r="R339" s="20"/>
      <c r="S339" s="20">
        <v>1</v>
      </c>
      <c r="AA339" s="20"/>
      <c r="AG339" s="20">
        <v>1</v>
      </c>
    </row>
    <row r="340" spans="1:34">
      <c r="A340" s="23" t="s">
        <v>5433</v>
      </c>
      <c r="B340" s="23" t="s">
        <v>5434</v>
      </c>
      <c r="C340" s="22">
        <f t="shared" si="7"/>
        <v>3</v>
      </c>
      <c r="E340" s="22"/>
      <c r="F340" s="22"/>
      <c r="G340" s="22"/>
      <c r="H340" s="22"/>
      <c r="I340" s="22"/>
      <c r="J340" s="22"/>
      <c r="K340" s="22"/>
      <c r="L340" s="22"/>
      <c r="N340" s="20"/>
      <c r="O340" s="20"/>
      <c r="P340" s="22"/>
      <c r="Q340" s="22"/>
      <c r="R340" s="20"/>
      <c r="S340" s="20">
        <v>1</v>
      </c>
      <c r="AA340" s="20"/>
      <c r="AG340" s="20">
        <v>1</v>
      </c>
      <c r="AH340" s="20">
        <v>1</v>
      </c>
    </row>
    <row r="341" spans="1:34">
      <c r="A341" s="23" t="s">
        <v>4511</v>
      </c>
      <c r="B341" s="23" t="s">
        <v>5435</v>
      </c>
      <c r="C341" s="22">
        <f t="shared" si="7"/>
        <v>3</v>
      </c>
      <c r="E341" s="22"/>
      <c r="F341" s="22"/>
      <c r="G341" s="22"/>
      <c r="H341" s="22"/>
      <c r="I341" s="22"/>
      <c r="J341" s="22"/>
      <c r="K341" s="22"/>
      <c r="L341" s="22"/>
      <c r="N341" s="20"/>
      <c r="O341" s="20"/>
      <c r="P341" s="22"/>
      <c r="Q341" s="22"/>
      <c r="R341" s="20"/>
      <c r="S341" s="20">
        <v>1</v>
      </c>
      <c r="AA341" s="20"/>
      <c r="AG341" s="20">
        <v>1</v>
      </c>
      <c r="AH341" s="20">
        <v>1</v>
      </c>
    </row>
    <row r="342" spans="1:34">
      <c r="A342" s="23" t="s">
        <v>5511</v>
      </c>
      <c r="B342" s="23" t="s">
        <v>5513</v>
      </c>
      <c r="C342" s="22">
        <f t="shared" si="7"/>
        <v>2</v>
      </c>
      <c r="E342" s="22"/>
      <c r="F342" s="22"/>
      <c r="G342" s="22"/>
      <c r="H342" s="22"/>
      <c r="I342" s="22"/>
      <c r="J342" s="22"/>
      <c r="K342" s="22"/>
      <c r="L342" s="22"/>
      <c r="N342" s="20"/>
      <c r="O342" s="20"/>
      <c r="P342" s="22"/>
      <c r="Q342" s="22"/>
      <c r="R342" s="20"/>
      <c r="S342" s="20">
        <v>1</v>
      </c>
      <c r="AA342" s="20"/>
      <c r="AH342" s="20">
        <v>1</v>
      </c>
    </row>
    <row r="343" spans="1:34">
      <c r="A343" s="23" t="s">
        <v>4396</v>
      </c>
      <c r="B343" s="23" t="s">
        <v>5514</v>
      </c>
      <c r="C343" s="22">
        <f t="shared" si="7"/>
        <v>2</v>
      </c>
      <c r="E343" s="22"/>
      <c r="F343" s="22"/>
      <c r="G343" s="22"/>
      <c r="H343" s="22"/>
      <c r="I343" s="22"/>
      <c r="J343" s="22"/>
      <c r="K343" s="22"/>
      <c r="L343" s="22"/>
      <c r="N343" s="20"/>
      <c r="O343" s="20"/>
      <c r="P343" s="22"/>
      <c r="Q343" s="22"/>
      <c r="R343" s="20"/>
      <c r="S343" s="20">
        <v>1</v>
      </c>
      <c r="AA343" s="20"/>
      <c r="AH343" s="20">
        <v>1</v>
      </c>
    </row>
    <row r="344" spans="1:34">
      <c r="A344" s="23" t="s">
        <v>4261</v>
      </c>
      <c r="B344" s="23" t="s">
        <v>5512</v>
      </c>
      <c r="C344" s="22">
        <f t="shared" si="7"/>
        <v>2</v>
      </c>
      <c r="E344" s="22"/>
      <c r="F344" s="22"/>
      <c r="G344" s="22"/>
      <c r="H344" s="22"/>
      <c r="I344" s="22"/>
      <c r="J344" s="22"/>
      <c r="K344" s="22"/>
      <c r="L344" s="22"/>
      <c r="N344" s="20"/>
      <c r="O344" s="20"/>
      <c r="P344" s="22"/>
      <c r="Q344" s="22"/>
      <c r="R344" s="20"/>
      <c r="S344" s="20">
        <v>1</v>
      </c>
      <c r="AA344" s="20"/>
      <c r="AH344" s="20">
        <v>1</v>
      </c>
    </row>
    <row r="345" spans="1:34">
      <c r="A345" s="23" t="s">
        <v>5625</v>
      </c>
      <c r="B345" s="23" t="s">
        <v>5668</v>
      </c>
      <c r="C345" s="22">
        <f t="shared" si="7"/>
        <v>2</v>
      </c>
      <c r="E345" s="22"/>
      <c r="F345" s="22"/>
      <c r="G345" s="22"/>
      <c r="H345" s="22"/>
      <c r="I345" s="22"/>
      <c r="J345" s="22"/>
      <c r="K345" s="22"/>
      <c r="L345" s="22"/>
      <c r="P345" s="22"/>
      <c r="Q345" s="22"/>
      <c r="S345" s="20">
        <v>1</v>
      </c>
      <c r="AH345" s="20">
        <v>1</v>
      </c>
    </row>
    <row r="346" spans="1:34">
      <c r="A346" s="23" t="s">
        <v>5425</v>
      </c>
      <c r="B346" s="23" t="s">
        <v>5426</v>
      </c>
      <c r="C346" s="22">
        <f t="shared" si="7"/>
        <v>2</v>
      </c>
      <c r="E346" s="22"/>
      <c r="F346" s="22"/>
      <c r="G346" s="22"/>
      <c r="H346" s="22"/>
      <c r="I346" s="22"/>
      <c r="J346" s="22"/>
      <c r="K346" s="22"/>
      <c r="L346" s="22"/>
      <c r="N346" s="20"/>
      <c r="O346" s="20"/>
      <c r="P346" s="22"/>
      <c r="Q346" s="22"/>
      <c r="R346" s="20"/>
      <c r="S346" s="20">
        <v>1</v>
      </c>
      <c r="AA346" s="20"/>
      <c r="AH346" s="20">
        <v>1</v>
      </c>
    </row>
    <row r="347" spans="1:34">
      <c r="A347" s="23" t="s">
        <v>4346</v>
      </c>
      <c r="B347" s="23" t="s">
        <v>5428</v>
      </c>
      <c r="C347" s="22">
        <f t="shared" si="7"/>
        <v>2</v>
      </c>
      <c r="E347" s="22"/>
      <c r="F347" s="22"/>
      <c r="G347" s="22"/>
      <c r="H347" s="22"/>
      <c r="I347" s="22"/>
      <c r="J347" s="22"/>
      <c r="K347" s="22"/>
      <c r="L347" s="22"/>
      <c r="N347" s="20"/>
      <c r="O347" s="20"/>
      <c r="P347" s="22"/>
      <c r="Q347" s="22"/>
      <c r="R347" s="20"/>
      <c r="S347" s="20">
        <v>1</v>
      </c>
      <c r="AA347" s="20"/>
      <c r="AH347" s="20">
        <v>1</v>
      </c>
    </row>
    <row r="348" spans="1:34">
      <c r="A348" s="23" t="s">
        <v>4307</v>
      </c>
      <c r="B348" s="23" t="s">
        <v>5429</v>
      </c>
      <c r="C348" s="22">
        <f t="shared" si="7"/>
        <v>2</v>
      </c>
      <c r="E348" s="22"/>
      <c r="F348" s="22"/>
      <c r="G348" s="22"/>
      <c r="H348" s="22"/>
      <c r="I348" s="22"/>
      <c r="J348" s="22"/>
      <c r="K348" s="22"/>
      <c r="L348" s="22"/>
      <c r="N348" s="20"/>
      <c r="O348" s="20"/>
      <c r="P348" s="22"/>
      <c r="Q348" s="22"/>
      <c r="R348" s="20"/>
      <c r="S348" s="20">
        <v>1</v>
      </c>
      <c r="AA348" s="20"/>
      <c r="AH348" s="20">
        <v>1</v>
      </c>
    </row>
    <row r="349" spans="1:34">
      <c r="A349" s="23" t="s">
        <v>5430</v>
      </c>
      <c r="B349" s="23" t="s">
        <v>5431</v>
      </c>
      <c r="C349" s="22">
        <f t="shared" si="7"/>
        <v>2</v>
      </c>
      <c r="E349" s="22"/>
      <c r="F349" s="22"/>
      <c r="G349" s="22"/>
      <c r="H349" s="22"/>
      <c r="I349" s="22"/>
      <c r="J349" s="22"/>
      <c r="K349" s="22"/>
      <c r="L349" s="22"/>
      <c r="N349" s="20"/>
      <c r="O349" s="20"/>
      <c r="P349" s="22"/>
      <c r="Q349" s="22"/>
      <c r="R349" s="20"/>
      <c r="S349" s="20">
        <v>1</v>
      </c>
      <c r="AA349" s="20"/>
      <c r="AH349" s="20">
        <v>1</v>
      </c>
    </row>
    <row r="350" spans="1:34">
      <c r="A350" s="23" t="s">
        <v>5490</v>
      </c>
      <c r="B350" s="23" t="s">
        <v>5492</v>
      </c>
      <c r="C350" s="22">
        <f t="shared" si="7"/>
        <v>2</v>
      </c>
      <c r="E350" s="22"/>
      <c r="F350" s="22"/>
      <c r="G350" s="22"/>
      <c r="H350" s="22"/>
      <c r="I350" s="22"/>
      <c r="J350" s="22"/>
      <c r="K350" s="22"/>
      <c r="L350" s="22"/>
      <c r="N350" s="20"/>
      <c r="O350" s="20"/>
      <c r="P350" s="22"/>
      <c r="Q350" s="22"/>
      <c r="R350" s="20"/>
      <c r="S350" s="20">
        <v>1</v>
      </c>
      <c r="AA350" s="20"/>
      <c r="AH350" s="20">
        <v>1</v>
      </c>
    </row>
    <row r="351" spans="1:34">
      <c r="A351" s="23" t="s">
        <v>4374</v>
      </c>
      <c r="B351" s="23" t="s">
        <v>5432</v>
      </c>
      <c r="C351" s="22">
        <f t="shared" si="7"/>
        <v>2</v>
      </c>
      <c r="E351" s="22"/>
      <c r="F351" s="22"/>
      <c r="G351" s="22"/>
      <c r="H351" s="22"/>
      <c r="I351" s="22"/>
      <c r="J351" s="22"/>
      <c r="K351" s="22"/>
      <c r="L351" s="22"/>
      <c r="N351" s="20"/>
      <c r="O351" s="20"/>
      <c r="P351" s="22"/>
      <c r="Q351" s="22"/>
      <c r="R351" s="20"/>
      <c r="S351" s="20">
        <v>1</v>
      </c>
      <c r="AA351" s="20"/>
      <c r="AH351" s="20">
        <v>1</v>
      </c>
    </row>
    <row r="352" spans="1:34">
      <c r="A352" s="23" t="s">
        <v>5451</v>
      </c>
      <c r="B352" s="23" t="s">
        <v>5455</v>
      </c>
      <c r="C352" s="22">
        <f t="shared" si="7"/>
        <v>2</v>
      </c>
      <c r="E352" s="22"/>
      <c r="F352" s="22"/>
      <c r="G352" s="22"/>
      <c r="H352" s="22"/>
      <c r="I352" s="22"/>
      <c r="J352" s="22"/>
      <c r="K352" s="22"/>
      <c r="L352" s="22"/>
      <c r="N352" s="20"/>
      <c r="O352" s="20"/>
      <c r="P352" s="22"/>
      <c r="Q352" s="22"/>
      <c r="R352" s="20"/>
      <c r="S352" s="20">
        <v>1</v>
      </c>
      <c r="AA352" s="20"/>
      <c r="AH352" s="20">
        <v>1</v>
      </c>
    </row>
    <row r="353" spans="1:35">
      <c r="A353" s="23" t="s">
        <v>5454</v>
      </c>
      <c r="B353" s="23" t="s">
        <v>5456</v>
      </c>
      <c r="C353" s="22">
        <f t="shared" si="7"/>
        <v>2</v>
      </c>
      <c r="E353" s="22"/>
      <c r="F353" s="22"/>
      <c r="G353" s="22"/>
      <c r="H353" s="22"/>
      <c r="I353" s="22"/>
      <c r="J353" s="22"/>
      <c r="K353" s="22"/>
      <c r="L353" s="22"/>
      <c r="N353" s="20"/>
      <c r="O353" s="20"/>
      <c r="P353" s="22"/>
      <c r="Q353" s="22"/>
      <c r="R353" s="20"/>
      <c r="S353" s="20">
        <v>1</v>
      </c>
      <c r="AA353" s="20"/>
      <c r="AH353" s="20">
        <v>1</v>
      </c>
    </row>
    <row r="354" spans="1:35">
      <c r="A354" s="23" t="s">
        <v>5412</v>
      </c>
      <c r="B354" s="23" t="s">
        <v>5413</v>
      </c>
      <c r="C354" s="22">
        <f t="shared" si="7"/>
        <v>2</v>
      </c>
      <c r="E354" s="22"/>
      <c r="F354" s="22"/>
      <c r="G354" s="22"/>
      <c r="H354" s="22"/>
      <c r="I354" s="22"/>
      <c r="J354" s="22"/>
      <c r="K354" s="22"/>
      <c r="L354" s="22"/>
      <c r="N354" s="20"/>
      <c r="O354" s="20"/>
      <c r="P354" s="22"/>
      <c r="Q354" s="22"/>
      <c r="R354" s="20"/>
      <c r="S354" s="20">
        <v>1</v>
      </c>
      <c r="AA354" s="20"/>
      <c r="AH354" s="20">
        <v>1</v>
      </c>
    </row>
    <row r="355" spans="1:35">
      <c r="A355" s="23" t="s">
        <v>5491</v>
      </c>
      <c r="B355" s="23" t="s">
        <v>5493</v>
      </c>
      <c r="C355" s="22">
        <f t="shared" si="7"/>
        <v>2</v>
      </c>
      <c r="E355" s="22"/>
      <c r="F355" s="22"/>
      <c r="G355" s="22"/>
      <c r="H355" s="22"/>
      <c r="I355" s="22"/>
      <c r="J355" s="22"/>
      <c r="K355" s="22"/>
      <c r="L355" s="22"/>
      <c r="N355" s="20"/>
      <c r="O355" s="20"/>
      <c r="P355" s="22"/>
      <c r="Q355" s="22"/>
      <c r="R355" s="20"/>
      <c r="S355" s="20">
        <v>1</v>
      </c>
      <c r="AA355" s="20"/>
      <c r="AH355" s="20">
        <v>1</v>
      </c>
    </row>
    <row r="356" spans="1:35">
      <c r="A356" s="23" t="s">
        <v>5496</v>
      </c>
      <c r="B356" s="23" t="s">
        <v>5497</v>
      </c>
      <c r="C356" s="22">
        <f t="shared" si="7"/>
        <v>2</v>
      </c>
      <c r="E356" s="22"/>
      <c r="F356" s="22"/>
      <c r="G356" s="22"/>
      <c r="H356" s="22"/>
      <c r="I356" s="22"/>
      <c r="J356" s="22"/>
      <c r="K356" s="22"/>
      <c r="L356" s="22"/>
      <c r="N356" s="20"/>
      <c r="O356" s="20"/>
      <c r="P356" s="22"/>
      <c r="Q356" s="22"/>
      <c r="R356" s="20"/>
      <c r="S356" s="20">
        <v>1</v>
      </c>
      <c r="AA356" s="20"/>
      <c r="AH356" s="20">
        <v>1</v>
      </c>
    </row>
    <row r="357" spans="1:35">
      <c r="A357" s="23" t="s">
        <v>5498</v>
      </c>
      <c r="B357" s="23" t="s">
        <v>5499</v>
      </c>
      <c r="C357" s="22">
        <f t="shared" si="7"/>
        <v>2</v>
      </c>
      <c r="E357" s="22"/>
      <c r="F357" s="22"/>
      <c r="G357" s="22"/>
      <c r="H357" s="22"/>
      <c r="I357" s="22"/>
      <c r="J357" s="22"/>
      <c r="K357" s="22"/>
      <c r="L357" s="22"/>
      <c r="N357" s="20"/>
      <c r="O357" s="20"/>
      <c r="P357" s="22"/>
      <c r="Q357" s="22"/>
      <c r="R357" s="20"/>
      <c r="S357" s="20">
        <v>1</v>
      </c>
      <c r="AA357" s="20"/>
      <c r="AH357" s="20">
        <v>1</v>
      </c>
    </row>
    <row r="358" spans="1:35">
      <c r="A358" s="23" t="s">
        <v>5500</v>
      </c>
      <c r="B358" s="23" t="s">
        <v>5501</v>
      </c>
      <c r="C358" s="22">
        <f t="shared" si="7"/>
        <v>2</v>
      </c>
      <c r="E358" s="22"/>
      <c r="F358" s="22"/>
      <c r="G358" s="22"/>
      <c r="H358" s="22"/>
      <c r="I358" s="22"/>
      <c r="J358" s="22"/>
      <c r="K358" s="22"/>
      <c r="L358" s="22"/>
      <c r="N358" s="20"/>
      <c r="O358" s="20"/>
      <c r="P358" s="22"/>
      <c r="Q358" s="22"/>
      <c r="R358" s="20"/>
      <c r="S358" s="20">
        <v>1</v>
      </c>
      <c r="AA358" s="20"/>
      <c r="AH358" s="20">
        <v>1</v>
      </c>
    </row>
    <row r="359" spans="1:35">
      <c r="A359" s="23" t="s">
        <v>5477</v>
      </c>
      <c r="B359" s="23" t="s">
        <v>5478</v>
      </c>
      <c r="C359" s="22">
        <f t="shared" si="7"/>
        <v>2</v>
      </c>
      <c r="E359" s="22"/>
      <c r="F359" s="22"/>
      <c r="G359" s="22"/>
      <c r="H359" s="22"/>
      <c r="I359" s="22"/>
      <c r="J359" s="22"/>
      <c r="K359" s="22"/>
      <c r="L359" s="22"/>
      <c r="N359" s="20"/>
      <c r="O359" s="20"/>
      <c r="P359" s="22"/>
      <c r="Q359" s="22"/>
      <c r="R359" s="20"/>
      <c r="S359" s="20">
        <v>1</v>
      </c>
      <c r="AA359" s="20"/>
      <c r="AH359" s="20">
        <v>1</v>
      </c>
    </row>
    <row r="360" spans="1:35">
      <c r="A360" s="23" t="s">
        <v>5502</v>
      </c>
      <c r="B360" s="23" t="s">
        <v>5503</v>
      </c>
      <c r="C360" s="22">
        <f t="shared" si="7"/>
        <v>2</v>
      </c>
      <c r="E360" s="22"/>
      <c r="F360" s="22"/>
      <c r="G360" s="22"/>
      <c r="H360" s="22"/>
      <c r="I360" s="22"/>
      <c r="J360" s="22"/>
      <c r="K360" s="22"/>
      <c r="L360" s="22"/>
      <c r="N360" s="20"/>
      <c r="O360" s="20"/>
      <c r="P360" s="22"/>
      <c r="Q360" s="22"/>
      <c r="R360" s="20"/>
      <c r="S360" s="20">
        <v>1</v>
      </c>
      <c r="AA360" s="20"/>
      <c r="AH360" s="20">
        <v>1</v>
      </c>
    </row>
    <row r="361" spans="1:35">
      <c r="A361" s="23" t="s">
        <v>4694</v>
      </c>
      <c r="B361" s="23" t="s">
        <v>5635</v>
      </c>
      <c r="C361" s="22">
        <f t="shared" si="7"/>
        <v>2</v>
      </c>
      <c r="E361" s="22"/>
      <c r="F361" s="22"/>
      <c r="G361" s="22"/>
      <c r="H361" s="22"/>
      <c r="I361" s="22"/>
      <c r="J361" s="22"/>
      <c r="K361" s="22"/>
      <c r="L361" s="22"/>
      <c r="P361" s="22"/>
      <c r="Q361" s="22"/>
      <c r="S361" s="20">
        <v>1</v>
      </c>
      <c r="AI361" s="20">
        <v>1</v>
      </c>
    </row>
    <row r="362" spans="1:35">
      <c r="A362" s="23" t="s">
        <v>5636</v>
      </c>
      <c r="B362" s="23" t="s">
        <v>5635</v>
      </c>
      <c r="C362" s="22">
        <f t="shared" si="7"/>
        <v>2</v>
      </c>
      <c r="E362" s="22"/>
      <c r="F362" s="22"/>
      <c r="G362" s="22"/>
      <c r="H362" s="22"/>
      <c r="I362" s="22"/>
      <c r="J362" s="22"/>
      <c r="K362" s="22"/>
      <c r="L362" s="22"/>
      <c r="P362" s="22"/>
      <c r="Q362" s="22"/>
      <c r="S362" s="20">
        <v>1</v>
      </c>
      <c r="AI362" s="20">
        <v>1</v>
      </c>
    </row>
    <row r="363" spans="1:35">
      <c r="A363" s="23" t="s">
        <v>4561</v>
      </c>
      <c r="B363" s="23" t="s">
        <v>5635</v>
      </c>
      <c r="C363" s="22">
        <f t="shared" si="7"/>
        <v>2</v>
      </c>
      <c r="E363" s="22"/>
      <c r="F363" s="22"/>
      <c r="G363" s="22"/>
      <c r="H363" s="22"/>
      <c r="I363" s="22"/>
      <c r="J363" s="22"/>
      <c r="K363" s="22"/>
      <c r="L363" s="22"/>
      <c r="P363" s="22"/>
      <c r="Q363" s="22"/>
      <c r="S363" s="20">
        <v>1</v>
      </c>
      <c r="AI363" s="20">
        <v>1</v>
      </c>
    </row>
    <row r="364" spans="1:35">
      <c r="A364" s="23" t="s">
        <v>4598</v>
      </c>
      <c r="B364" s="23" t="s">
        <v>5635</v>
      </c>
      <c r="C364" s="22">
        <f t="shared" si="7"/>
        <v>2</v>
      </c>
      <c r="E364" s="22"/>
      <c r="F364" s="22"/>
      <c r="G364" s="22"/>
      <c r="H364" s="22"/>
      <c r="I364" s="22"/>
      <c r="J364" s="22"/>
      <c r="K364" s="22"/>
      <c r="L364" s="22"/>
      <c r="P364" s="22"/>
      <c r="Q364" s="22"/>
      <c r="S364" s="20">
        <v>1</v>
      </c>
      <c r="AI364" s="20">
        <v>1</v>
      </c>
    </row>
    <row r="365" spans="1:35">
      <c r="A365" s="23" t="s">
        <v>5057</v>
      </c>
      <c r="B365" s="23" t="s">
        <v>5635</v>
      </c>
      <c r="C365" s="22">
        <f t="shared" si="7"/>
        <v>2</v>
      </c>
      <c r="E365" s="22"/>
      <c r="F365" s="22"/>
      <c r="G365" s="22"/>
      <c r="H365" s="22"/>
      <c r="I365" s="22"/>
      <c r="J365" s="22"/>
      <c r="K365" s="22"/>
      <c r="L365" s="22"/>
      <c r="P365" s="22"/>
      <c r="Q365" s="22"/>
      <c r="S365" s="20">
        <v>1</v>
      </c>
      <c r="AI365" s="20">
        <v>1</v>
      </c>
    </row>
    <row r="366" spans="1:35" s="199" customFormat="1" ht="10.5" customHeight="1">
      <c r="C366" s="200"/>
      <c r="D366" s="200"/>
      <c r="E366" s="200"/>
      <c r="F366" s="200"/>
      <c r="G366" s="200"/>
      <c r="H366" s="200"/>
      <c r="I366" s="200"/>
      <c r="J366" s="200"/>
      <c r="K366" s="200"/>
      <c r="L366" s="200"/>
      <c r="M366" s="200"/>
      <c r="P366" s="200"/>
      <c r="Q366" s="200"/>
      <c r="S366" s="200"/>
      <c r="T366" s="200"/>
      <c r="U366" s="200"/>
      <c r="V366" s="200"/>
      <c r="W366" s="200"/>
      <c r="X366" s="200"/>
      <c r="Y366" s="200"/>
      <c r="Z366" s="200"/>
      <c r="AB366" s="200"/>
      <c r="AC366" s="200"/>
      <c r="AD366" s="200"/>
      <c r="AE366" s="200"/>
      <c r="AF366" s="200"/>
      <c r="AG366" s="200"/>
      <c r="AH366" s="200"/>
      <c r="AI366" s="200"/>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H111"/>
  <sheetViews>
    <sheetView workbookViewId="0">
      <selection activeCell="H90" sqref="H1:H90"/>
    </sheetView>
  </sheetViews>
  <sheetFormatPr defaultRowHeight="14.25"/>
  <cols>
    <col min="1" max="1" width="4.75" style="9" customWidth="1"/>
    <col min="3" max="3" width="19.875" style="161" customWidth="1"/>
    <col min="4" max="4" width="4.75" style="20" customWidth="1"/>
    <col min="5" max="5" width="4.75" style="9" customWidth="1"/>
    <col min="6" max="6" width="54.125" customWidth="1"/>
    <col min="7" max="7" width="9" style="20"/>
  </cols>
  <sheetData>
    <row r="1" spans="1:8">
      <c r="A1" s="9">
        <v>5.9</v>
      </c>
      <c r="B1" s="166" t="s">
        <v>3855</v>
      </c>
      <c r="C1" s="161" t="s">
        <v>3674</v>
      </c>
      <c r="D1" s="9">
        <v>10</v>
      </c>
      <c r="E1" s="9">
        <v>10</v>
      </c>
      <c r="F1" s="7" t="s">
        <v>2072</v>
      </c>
      <c r="G1" s="20">
        <v>8</v>
      </c>
      <c r="H1" s="7">
        <v>0.45</v>
      </c>
    </row>
    <row r="2" spans="1:8">
      <c r="A2" s="9">
        <v>4.8</v>
      </c>
      <c r="B2" s="166" t="s">
        <v>3775</v>
      </c>
      <c r="C2" s="31" t="s">
        <v>3857</v>
      </c>
      <c r="D2" s="9">
        <v>5</v>
      </c>
      <c r="E2" s="9">
        <v>5</v>
      </c>
      <c r="F2" s="7" t="s">
        <v>2074</v>
      </c>
      <c r="G2" s="20">
        <v>10</v>
      </c>
      <c r="H2" s="7">
        <v>0.8</v>
      </c>
    </row>
    <row r="3" spans="1:8">
      <c r="A3" s="9">
        <v>3.5</v>
      </c>
      <c r="B3" s="166" t="s">
        <v>3776</v>
      </c>
      <c r="C3" s="161" t="s">
        <v>3669</v>
      </c>
      <c r="D3" s="9">
        <v>6</v>
      </c>
      <c r="E3" s="9">
        <v>6</v>
      </c>
      <c r="F3" s="7" t="s">
        <v>2066</v>
      </c>
      <c r="G3" s="20">
        <v>2</v>
      </c>
      <c r="H3" s="7">
        <v>0.2</v>
      </c>
    </row>
    <row r="4" spans="1:8">
      <c r="B4" s="165" t="s">
        <v>3777</v>
      </c>
      <c r="C4" s="162" t="s">
        <v>3708</v>
      </c>
      <c r="F4" s="158"/>
      <c r="G4" s="157" t="s">
        <v>3707</v>
      </c>
    </row>
    <row r="5" spans="1:8">
      <c r="A5" s="9">
        <v>7</v>
      </c>
      <c r="B5" s="166" t="s">
        <v>3778</v>
      </c>
      <c r="C5" s="161" t="s">
        <v>3673</v>
      </c>
      <c r="D5" s="9">
        <v>3</v>
      </c>
      <c r="E5" s="9">
        <v>3</v>
      </c>
      <c r="F5" s="7" t="s">
        <v>2071</v>
      </c>
      <c r="G5" s="20">
        <v>7</v>
      </c>
      <c r="H5" s="7">
        <v>1.3</v>
      </c>
    </row>
    <row r="6" spans="1:8">
      <c r="A6" s="9">
        <v>3.2</v>
      </c>
      <c r="B6" s="166" t="s">
        <v>3779</v>
      </c>
      <c r="C6" s="161" t="s">
        <v>3675</v>
      </c>
      <c r="D6" s="9">
        <v>50</v>
      </c>
      <c r="E6" s="9">
        <v>50</v>
      </c>
      <c r="F6" s="7" t="s">
        <v>2067</v>
      </c>
      <c r="G6" s="20">
        <v>3</v>
      </c>
      <c r="H6" s="7">
        <v>0.22</v>
      </c>
    </row>
    <row r="7" spans="1:8">
      <c r="A7" s="9">
        <v>4.9000000000000004</v>
      </c>
      <c r="B7" s="166" t="s">
        <v>3780</v>
      </c>
      <c r="C7" s="161" t="s">
        <v>3672</v>
      </c>
      <c r="D7" s="9">
        <v>5</v>
      </c>
      <c r="E7" s="9">
        <v>5</v>
      </c>
      <c r="F7" s="7" t="s">
        <v>2070</v>
      </c>
      <c r="G7" s="20">
        <v>6</v>
      </c>
      <c r="H7" s="7">
        <v>0.7</v>
      </c>
    </row>
    <row r="8" spans="1:8">
      <c r="B8" s="165" t="s">
        <v>3781</v>
      </c>
      <c r="C8" s="162" t="s">
        <v>3742</v>
      </c>
      <c r="F8" s="158"/>
      <c r="G8" s="157" t="s">
        <v>3743</v>
      </c>
    </row>
    <row r="9" spans="1:8">
      <c r="B9" s="165" t="s">
        <v>3782</v>
      </c>
      <c r="C9" s="162" t="s">
        <v>3746</v>
      </c>
      <c r="F9" s="158"/>
      <c r="G9" s="157" t="s">
        <v>3745</v>
      </c>
    </row>
    <row r="10" spans="1:8">
      <c r="A10" s="9">
        <v>7.7</v>
      </c>
      <c r="B10" s="166" t="s">
        <v>3783</v>
      </c>
      <c r="C10" s="161" t="s">
        <v>3678</v>
      </c>
      <c r="D10" s="9">
        <v>5</v>
      </c>
      <c r="E10" s="9">
        <v>5</v>
      </c>
      <c r="F10" s="7" t="s">
        <v>2076</v>
      </c>
      <c r="G10" s="20">
        <v>12</v>
      </c>
      <c r="H10" s="7">
        <v>1.2</v>
      </c>
    </row>
    <row r="11" spans="1:8">
      <c r="A11" s="9">
        <v>7.2</v>
      </c>
      <c r="B11" s="166" t="s">
        <v>3784</v>
      </c>
      <c r="C11" s="161" t="s">
        <v>3677</v>
      </c>
      <c r="D11" s="9">
        <v>3</v>
      </c>
      <c r="E11" s="122">
        <v>5</v>
      </c>
      <c r="F11" s="7" t="s">
        <v>3858</v>
      </c>
      <c r="G11" s="20">
        <v>11</v>
      </c>
      <c r="H11" s="7">
        <v>1.1000000000000001</v>
      </c>
    </row>
    <row r="12" spans="1:8">
      <c r="A12" s="9">
        <v>7</v>
      </c>
      <c r="B12" s="166" t="s">
        <v>3785</v>
      </c>
      <c r="C12" s="161" t="s">
        <v>3668</v>
      </c>
      <c r="D12" s="9">
        <v>5</v>
      </c>
      <c r="E12" s="9">
        <v>5</v>
      </c>
      <c r="F12" s="7" t="s">
        <v>2065</v>
      </c>
      <c r="G12" s="20">
        <v>1</v>
      </c>
      <c r="H12" s="7">
        <v>0.5</v>
      </c>
    </row>
    <row r="13" spans="1:8">
      <c r="A13" s="9">
        <v>6.2</v>
      </c>
      <c r="B13" s="166" t="s">
        <v>3786</v>
      </c>
      <c r="C13" s="161" t="s">
        <v>3680</v>
      </c>
      <c r="D13" s="9">
        <v>3</v>
      </c>
      <c r="E13" s="9">
        <v>3</v>
      </c>
      <c r="F13" s="7" t="s">
        <v>2078</v>
      </c>
      <c r="G13" s="20">
        <v>14</v>
      </c>
      <c r="H13" s="7">
        <v>1.3</v>
      </c>
    </row>
    <row r="14" spans="1:8">
      <c r="A14" s="9">
        <v>7.2</v>
      </c>
      <c r="B14" s="166" t="s">
        <v>3787</v>
      </c>
      <c r="C14" s="161" t="s">
        <v>3681</v>
      </c>
      <c r="D14" s="9">
        <v>5</v>
      </c>
      <c r="E14" s="9">
        <v>5</v>
      </c>
      <c r="F14" s="7" t="s">
        <v>2079</v>
      </c>
      <c r="G14" s="20">
        <v>15</v>
      </c>
      <c r="H14" s="7">
        <v>1.1000000000000001</v>
      </c>
    </row>
    <row r="15" spans="1:8">
      <c r="A15" s="9">
        <v>8.9</v>
      </c>
      <c r="B15" s="166" t="s">
        <v>3788</v>
      </c>
      <c r="C15" s="161" t="s">
        <v>3679</v>
      </c>
      <c r="D15" s="9">
        <v>3</v>
      </c>
      <c r="E15" s="9">
        <v>3</v>
      </c>
      <c r="F15" s="7" t="s">
        <v>2077</v>
      </c>
      <c r="G15" s="20">
        <v>13</v>
      </c>
      <c r="H15" s="7">
        <v>1.6</v>
      </c>
    </row>
    <row r="16" spans="1:8">
      <c r="A16" s="9">
        <v>7.5</v>
      </c>
      <c r="B16" s="166" t="s">
        <v>3789</v>
      </c>
      <c r="C16" s="161" t="s">
        <v>3671</v>
      </c>
      <c r="D16" s="9">
        <v>3</v>
      </c>
      <c r="E16" s="9">
        <v>3</v>
      </c>
      <c r="F16" s="7" t="s">
        <v>2069</v>
      </c>
      <c r="G16" s="20">
        <v>5</v>
      </c>
      <c r="H16" s="7">
        <v>0.9</v>
      </c>
    </row>
    <row r="17" spans="1:8">
      <c r="A17" s="9">
        <v>10.5</v>
      </c>
      <c r="B17" s="166" t="s">
        <v>3790</v>
      </c>
      <c r="C17" s="161" t="s">
        <v>3683</v>
      </c>
      <c r="D17" s="9">
        <v>10</v>
      </c>
      <c r="E17" s="9">
        <v>10</v>
      </c>
      <c r="F17" s="7" t="s">
        <v>2081</v>
      </c>
      <c r="G17" s="20">
        <v>17</v>
      </c>
      <c r="H17" s="7">
        <v>0.76</v>
      </c>
    </row>
    <row r="18" spans="1:8">
      <c r="A18" s="9">
        <v>7.7</v>
      </c>
      <c r="B18" s="166" t="s">
        <v>3791</v>
      </c>
      <c r="C18" s="161" t="s">
        <v>3676</v>
      </c>
      <c r="D18" s="9">
        <v>5</v>
      </c>
      <c r="E18" s="9">
        <v>5</v>
      </c>
      <c r="F18" s="7" t="s">
        <v>2073</v>
      </c>
      <c r="G18" s="20">
        <v>9</v>
      </c>
      <c r="H18" s="7">
        <v>0.9</v>
      </c>
    </row>
    <row r="19" spans="1:8">
      <c r="A19" s="9">
        <v>11</v>
      </c>
      <c r="B19" s="166" t="s">
        <v>3792</v>
      </c>
      <c r="C19" s="161" t="s">
        <v>3682</v>
      </c>
      <c r="D19" s="9">
        <v>3</v>
      </c>
      <c r="E19" s="9">
        <v>3</v>
      </c>
      <c r="F19" s="7" t="s">
        <v>3862</v>
      </c>
      <c r="G19" s="20">
        <v>16</v>
      </c>
      <c r="H19" s="7">
        <v>1.8</v>
      </c>
    </row>
    <row r="20" spans="1:8">
      <c r="A20" s="9">
        <v>7.9</v>
      </c>
      <c r="B20" s="166" t="s">
        <v>3793</v>
      </c>
      <c r="C20" s="161" t="s">
        <v>3670</v>
      </c>
      <c r="D20" s="9">
        <v>3</v>
      </c>
      <c r="E20" s="9">
        <v>3</v>
      </c>
      <c r="F20" s="7" t="s">
        <v>2068</v>
      </c>
      <c r="G20" s="20">
        <v>4</v>
      </c>
      <c r="H20" s="7">
        <v>0.8</v>
      </c>
    </row>
    <row r="21" spans="1:8">
      <c r="B21" s="165" t="s">
        <v>3794</v>
      </c>
      <c r="C21" s="162" t="s">
        <v>3706</v>
      </c>
      <c r="F21" s="159"/>
      <c r="G21" s="157" t="s">
        <v>3709</v>
      </c>
    </row>
    <row r="22" spans="1:8">
      <c r="A22" s="9">
        <v>4.8</v>
      </c>
      <c r="B22" s="166" t="s">
        <v>3795</v>
      </c>
      <c r="C22" s="161" t="s">
        <v>3703</v>
      </c>
      <c r="D22" s="9">
        <v>10</v>
      </c>
      <c r="E22" s="9">
        <v>10</v>
      </c>
      <c r="F22" s="7" t="s">
        <v>2105</v>
      </c>
      <c r="G22" s="20">
        <v>41</v>
      </c>
      <c r="H22" s="7">
        <v>0.5</v>
      </c>
    </row>
    <row r="23" spans="1:8">
      <c r="A23" s="9">
        <v>5.9</v>
      </c>
      <c r="B23" s="167" t="s">
        <v>3859</v>
      </c>
      <c r="C23" s="161" t="s">
        <v>3704</v>
      </c>
      <c r="D23" s="9">
        <v>3</v>
      </c>
      <c r="E23" s="9">
        <v>3</v>
      </c>
      <c r="F23" s="7" t="s">
        <v>2106</v>
      </c>
      <c r="G23" s="20">
        <v>42</v>
      </c>
      <c r="H23" s="7">
        <v>0.55000000000000004</v>
      </c>
    </row>
    <row r="24" spans="1:8">
      <c r="A24" s="9">
        <v>4.8</v>
      </c>
      <c r="B24" s="166" t="s">
        <v>3796</v>
      </c>
      <c r="C24" s="161" t="s">
        <v>3710</v>
      </c>
      <c r="D24" s="9">
        <v>10</v>
      </c>
      <c r="E24" s="9">
        <v>10</v>
      </c>
      <c r="F24" s="7" t="s">
        <v>2109</v>
      </c>
      <c r="G24" s="20">
        <v>45</v>
      </c>
      <c r="H24" s="7">
        <v>0.5</v>
      </c>
    </row>
    <row r="25" spans="1:8">
      <c r="A25" s="9">
        <v>6</v>
      </c>
      <c r="B25" s="167" t="s">
        <v>3861</v>
      </c>
      <c r="C25" s="161" t="s">
        <v>3702</v>
      </c>
      <c r="D25" s="9">
        <v>10</v>
      </c>
      <c r="E25" s="9">
        <v>10</v>
      </c>
      <c r="F25" s="7" t="s">
        <v>2104</v>
      </c>
      <c r="G25" s="20">
        <v>40</v>
      </c>
      <c r="H25" s="7">
        <v>0.5</v>
      </c>
    </row>
    <row r="26" spans="1:8">
      <c r="A26" s="9">
        <v>11.5</v>
      </c>
      <c r="B26" s="166" t="s">
        <v>3797</v>
      </c>
      <c r="C26" s="161" t="s">
        <v>3717</v>
      </c>
      <c r="D26" s="9">
        <v>3</v>
      </c>
      <c r="E26" s="9">
        <v>3</v>
      </c>
      <c r="F26" s="7" t="s">
        <v>2117</v>
      </c>
      <c r="G26" s="20">
        <v>53</v>
      </c>
      <c r="H26" s="7">
        <v>1.3</v>
      </c>
    </row>
    <row r="27" spans="1:8">
      <c r="A27" s="9">
        <v>14.1</v>
      </c>
      <c r="B27" s="166" t="s">
        <v>3798</v>
      </c>
      <c r="C27" s="161" t="s">
        <v>3747</v>
      </c>
      <c r="D27" s="9">
        <v>5</v>
      </c>
      <c r="E27" s="9">
        <v>5</v>
      </c>
      <c r="F27" s="7" t="s">
        <v>2108</v>
      </c>
      <c r="G27" s="20">
        <v>44</v>
      </c>
      <c r="H27" s="7">
        <v>0.98</v>
      </c>
    </row>
    <row r="28" spans="1:8">
      <c r="A28" s="9">
        <v>14.1</v>
      </c>
      <c r="B28" s="166" t="s">
        <v>3799</v>
      </c>
      <c r="C28" s="161" t="s">
        <v>3748</v>
      </c>
      <c r="D28" s="9">
        <v>3</v>
      </c>
      <c r="E28" s="9">
        <v>3</v>
      </c>
      <c r="F28" s="7" t="s">
        <v>2110</v>
      </c>
      <c r="G28" s="20">
        <v>46</v>
      </c>
      <c r="H28" s="7">
        <v>0.98</v>
      </c>
    </row>
    <row r="29" spans="1:8">
      <c r="A29" s="9">
        <v>13.1</v>
      </c>
      <c r="B29" s="166" t="s">
        <v>3800</v>
      </c>
      <c r="C29" s="161" t="s">
        <v>3714</v>
      </c>
      <c r="D29" s="9">
        <v>3</v>
      </c>
      <c r="E29" s="9">
        <v>3</v>
      </c>
      <c r="F29" s="7" t="s">
        <v>2114</v>
      </c>
      <c r="G29" s="20">
        <v>50</v>
      </c>
      <c r="H29" s="7">
        <v>1.5</v>
      </c>
    </row>
    <row r="30" spans="1:8">
      <c r="A30" s="9">
        <v>12.4</v>
      </c>
      <c r="B30" s="166" t="s">
        <v>3801</v>
      </c>
      <c r="C30" s="164" t="s">
        <v>3716</v>
      </c>
      <c r="D30" s="9">
        <v>3</v>
      </c>
      <c r="E30" s="9">
        <v>3</v>
      </c>
      <c r="F30" s="7" t="s">
        <v>2116</v>
      </c>
      <c r="G30" s="20">
        <v>52</v>
      </c>
      <c r="H30" s="7">
        <v>1.3</v>
      </c>
    </row>
    <row r="31" spans="1:8">
      <c r="A31" s="9">
        <v>14.2</v>
      </c>
      <c r="B31" s="166" t="s">
        <v>3802</v>
      </c>
      <c r="C31" s="161" t="s">
        <v>3701</v>
      </c>
      <c r="D31" s="9">
        <v>5</v>
      </c>
      <c r="E31" s="9">
        <v>5</v>
      </c>
      <c r="F31" s="7" t="s">
        <v>2103</v>
      </c>
      <c r="G31" s="20">
        <v>39</v>
      </c>
      <c r="H31" s="7">
        <v>0.98</v>
      </c>
    </row>
    <row r="32" spans="1:8">
      <c r="A32" s="9">
        <v>11.8</v>
      </c>
      <c r="B32" s="166" t="s">
        <v>3803</v>
      </c>
      <c r="C32" s="161" t="s">
        <v>3711</v>
      </c>
      <c r="D32" s="9">
        <v>3</v>
      </c>
      <c r="E32" s="9">
        <v>3</v>
      </c>
      <c r="F32" s="7" t="s">
        <v>2111</v>
      </c>
      <c r="G32" s="20">
        <v>47</v>
      </c>
      <c r="H32" s="7">
        <v>1.3</v>
      </c>
    </row>
    <row r="33" spans="1:8">
      <c r="A33" s="9">
        <v>11</v>
      </c>
      <c r="B33" s="166" t="s">
        <v>3804</v>
      </c>
      <c r="C33" s="161" t="s">
        <v>3715</v>
      </c>
      <c r="D33" s="9">
        <v>3</v>
      </c>
      <c r="E33" s="9">
        <v>3</v>
      </c>
      <c r="F33" s="7" t="s">
        <v>2115</v>
      </c>
      <c r="G33" s="20">
        <v>51</v>
      </c>
      <c r="H33" s="7">
        <v>1.2</v>
      </c>
    </row>
    <row r="34" spans="1:8">
      <c r="A34" s="9">
        <v>12.2</v>
      </c>
      <c r="B34" s="166" t="s">
        <v>3805</v>
      </c>
      <c r="C34" s="161" t="s">
        <v>3713</v>
      </c>
      <c r="D34" s="9">
        <v>3</v>
      </c>
      <c r="E34" s="9">
        <v>3</v>
      </c>
      <c r="F34" s="7" t="s">
        <v>2113</v>
      </c>
      <c r="G34" s="20">
        <v>49</v>
      </c>
      <c r="H34" s="7">
        <v>1.8</v>
      </c>
    </row>
    <row r="35" spans="1:8">
      <c r="A35" s="9">
        <v>14.2</v>
      </c>
      <c r="B35" s="166" t="s">
        <v>3806</v>
      </c>
      <c r="C35" s="161" t="s">
        <v>3700</v>
      </c>
      <c r="D35" s="9">
        <v>5</v>
      </c>
      <c r="E35" s="9">
        <v>5</v>
      </c>
      <c r="F35" s="7" t="s">
        <v>2102</v>
      </c>
      <c r="G35" s="20">
        <v>38</v>
      </c>
      <c r="H35" s="7">
        <v>0.79</v>
      </c>
    </row>
    <row r="36" spans="1:8">
      <c r="A36" s="9">
        <v>11.6</v>
      </c>
      <c r="B36" s="166" t="s">
        <v>3807</v>
      </c>
      <c r="C36" s="161" t="s">
        <v>3719</v>
      </c>
      <c r="D36" s="9">
        <v>3</v>
      </c>
      <c r="E36" s="9">
        <v>3</v>
      </c>
      <c r="F36" s="7" t="s">
        <v>2119</v>
      </c>
      <c r="G36" s="20">
        <v>55</v>
      </c>
      <c r="H36" s="7">
        <v>1.3</v>
      </c>
    </row>
    <row r="37" spans="1:8">
      <c r="A37" s="9">
        <v>12.1</v>
      </c>
      <c r="B37" s="166" t="s">
        <v>3808</v>
      </c>
      <c r="C37" s="161" t="s">
        <v>3718</v>
      </c>
      <c r="D37" s="9">
        <v>3</v>
      </c>
      <c r="E37" s="9">
        <v>3</v>
      </c>
      <c r="F37" s="7" t="s">
        <v>2118</v>
      </c>
      <c r="G37" s="20">
        <v>54</v>
      </c>
      <c r="H37" s="7">
        <v>0.99</v>
      </c>
    </row>
    <row r="38" spans="1:8">
      <c r="A38" s="9">
        <v>12</v>
      </c>
      <c r="B38" s="166" t="s">
        <v>3809</v>
      </c>
      <c r="C38" s="161" t="s">
        <v>3712</v>
      </c>
      <c r="D38" s="9">
        <v>3</v>
      </c>
      <c r="E38" s="9">
        <v>3</v>
      </c>
      <c r="F38" s="7" t="s">
        <v>2112</v>
      </c>
      <c r="G38" s="20">
        <v>48</v>
      </c>
      <c r="H38" s="7">
        <v>0.99</v>
      </c>
    </row>
    <row r="39" spans="1:8">
      <c r="B39" s="165" t="s">
        <v>3810</v>
      </c>
      <c r="C39" s="162" t="s">
        <v>3741</v>
      </c>
      <c r="F39" s="159"/>
      <c r="G39" s="157" t="s">
        <v>3723</v>
      </c>
    </row>
    <row r="40" spans="1:8">
      <c r="A40" s="9">
        <v>17.100000000000001</v>
      </c>
      <c r="B40" s="167" t="s">
        <v>3860</v>
      </c>
      <c r="C40" s="161" t="s">
        <v>3705</v>
      </c>
      <c r="D40" s="9">
        <v>5</v>
      </c>
      <c r="E40" s="9">
        <v>5</v>
      </c>
      <c r="F40" s="7" t="s">
        <v>2107</v>
      </c>
      <c r="G40" s="20">
        <v>43</v>
      </c>
      <c r="H40" s="7">
        <v>1.3</v>
      </c>
    </row>
    <row r="41" spans="1:8">
      <c r="B41" s="165" t="s">
        <v>3847</v>
      </c>
      <c r="C41" s="162" t="s">
        <v>3836</v>
      </c>
      <c r="F41" s="53"/>
      <c r="G41" s="157" t="s">
        <v>3841</v>
      </c>
    </row>
    <row r="42" spans="1:8">
      <c r="B42" s="165" t="s">
        <v>3848</v>
      </c>
      <c r="C42" s="162" t="s">
        <v>3837</v>
      </c>
      <c r="F42" s="53"/>
      <c r="G42" s="157" t="s">
        <v>3842</v>
      </c>
    </row>
    <row r="43" spans="1:8">
      <c r="B43" s="165" t="s">
        <v>3849</v>
      </c>
      <c r="C43" s="162" t="s">
        <v>3838</v>
      </c>
      <c r="F43" s="53"/>
      <c r="G43" s="157" t="s">
        <v>3843</v>
      </c>
    </row>
    <row r="44" spans="1:8">
      <c r="A44" s="9">
        <v>18</v>
      </c>
      <c r="B44" s="166" t="s">
        <v>3823</v>
      </c>
      <c r="C44" s="161" t="s">
        <v>3736</v>
      </c>
      <c r="D44" s="9">
        <v>3</v>
      </c>
      <c r="E44" s="9">
        <v>3</v>
      </c>
      <c r="F44" s="7" t="s">
        <v>2135</v>
      </c>
      <c r="G44" s="20">
        <v>71</v>
      </c>
      <c r="H44" s="7">
        <v>1.88</v>
      </c>
    </row>
    <row r="45" spans="1:8">
      <c r="A45" s="9">
        <v>18</v>
      </c>
      <c r="B45" s="166" t="s">
        <v>3824</v>
      </c>
      <c r="C45" s="163" t="s">
        <v>3738</v>
      </c>
      <c r="D45" s="9">
        <v>3</v>
      </c>
      <c r="E45" s="9">
        <v>3</v>
      </c>
      <c r="F45" s="7" t="s">
        <v>2137</v>
      </c>
      <c r="G45" s="20">
        <v>73</v>
      </c>
      <c r="H45" s="7">
        <v>2.8</v>
      </c>
    </row>
    <row r="46" spans="1:8">
      <c r="C46" s="163" t="s">
        <v>3738</v>
      </c>
      <c r="D46" s="9">
        <v>3</v>
      </c>
      <c r="E46" s="9">
        <v>3</v>
      </c>
      <c r="F46" s="7" t="s">
        <v>2140</v>
      </c>
      <c r="G46" s="20">
        <v>76</v>
      </c>
      <c r="H46" s="7">
        <v>2.8</v>
      </c>
    </row>
    <row r="47" spans="1:8">
      <c r="B47" s="165" t="s">
        <v>3825</v>
      </c>
      <c r="C47" s="162" t="s">
        <v>3831</v>
      </c>
      <c r="F47" s="53"/>
      <c r="G47" s="157" t="s">
        <v>3829</v>
      </c>
    </row>
    <row r="48" spans="1:8">
      <c r="A48" s="9">
        <v>18</v>
      </c>
      <c r="B48" s="166" t="s">
        <v>3826</v>
      </c>
      <c r="C48" s="161" t="s">
        <v>3740</v>
      </c>
      <c r="D48" s="9">
        <v>3</v>
      </c>
      <c r="E48" s="9">
        <v>3</v>
      </c>
      <c r="F48" s="7" t="s">
        <v>2139</v>
      </c>
      <c r="G48" s="20">
        <v>75</v>
      </c>
      <c r="H48" s="7">
        <v>3.2</v>
      </c>
    </row>
    <row r="49" spans="1:8">
      <c r="B49" s="165" t="s">
        <v>3827</v>
      </c>
      <c r="C49" s="162" t="s">
        <v>3832</v>
      </c>
      <c r="F49" s="53"/>
      <c r="G49" s="157" t="s">
        <v>3830</v>
      </c>
    </row>
    <row r="50" spans="1:8">
      <c r="A50" s="9">
        <v>18</v>
      </c>
      <c r="B50" s="166" t="s">
        <v>3828</v>
      </c>
      <c r="C50" s="161" t="s">
        <v>3739</v>
      </c>
      <c r="D50" s="9">
        <v>3</v>
      </c>
      <c r="E50" s="9">
        <v>3</v>
      </c>
      <c r="F50" s="7" t="s">
        <v>2138</v>
      </c>
      <c r="G50" s="20">
        <v>74</v>
      </c>
      <c r="H50" s="7">
        <v>3.2</v>
      </c>
    </row>
    <row r="51" spans="1:8">
      <c r="A51" s="9">
        <v>18</v>
      </c>
      <c r="B51" s="166" t="s">
        <v>3833</v>
      </c>
      <c r="C51" s="161" t="s">
        <v>3737</v>
      </c>
      <c r="D51" s="9">
        <v>3</v>
      </c>
      <c r="E51" s="9">
        <v>3</v>
      </c>
      <c r="F51" s="7" t="s">
        <v>2136</v>
      </c>
      <c r="G51" s="20">
        <v>72</v>
      </c>
      <c r="H51" s="7">
        <v>2.9</v>
      </c>
    </row>
    <row r="52" spans="1:8">
      <c r="B52" s="165" t="s">
        <v>3834</v>
      </c>
      <c r="C52" s="162" t="s">
        <v>3835</v>
      </c>
      <c r="F52" s="53"/>
      <c r="G52" s="157" t="s">
        <v>3840</v>
      </c>
    </row>
    <row r="53" spans="1:8">
      <c r="B53" s="166" t="s">
        <v>3850</v>
      </c>
      <c r="C53" s="161" t="s">
        <v>3735</v>
      </c>
      <c r="D53" s="9">
        <v>5</v>
      </c>
      <c r="E53" s="9">
        <v>5</v>
      </c>
      <c r="F53" s="7" t="s">
        <v>2134</v>
      </c>
      <c r="G53" s="20">
        <v>70</v>
      </c>
      <c r="H53" s="7">
        <v>0.33</v>
      </c>
    </row>
    <row r="54" spans="1:8">
      <c r="A54" s="9">
        <v>9.1999999999999993</v>
      </c>
      <c r="B54" s="166" t="s">
        <v>3851</v>
      </c>
      <c r="C54" s="161" t="s">
        <v>3734</v>
      </c>
      <c r="D54" s="9">
        <v>5</v>
      </c>
      <c r="E54" s="9">
        <v>5</v>
      </c>
      <c r="F54" s="7" t="s">
        <v>2133</v>
      </c>
      <c r="G54" s="20">
        <v>69</v>
      </c>
      <c r="H54" s="7">
        <v>0.45</v>
      </c>
    </row>
    <row r="55" spans="1:8">
      <c r="B55" s="165" t="s">
        <v>3852</v>
      </c>
      <c r="C55" s="162" t="s">
        <v>3839</v>
      </c>
      <c r="F55" s="53"/>
      <c r="G55" s="157" t="s">
        <v>3844</v>
      </c>
    </row>
    <row r="56" spans="1:8">
      <c r="B56" s="165" t="s">
        <v>3853</v>
      </c>
      <c r="C56" s="162" t="s">
        <v>3846</v>
      </c>
      <c r="F56" s="53"/>
      <c r="G56" s="157" t="s">
        <v>3845</v>
      </c>
    </row>
    <row r="57" spans="1:8">
      <c r="B57" s="165" t="s">
        <v>3811</v>
      </c>
      <c r="C57" s="162" t="s">
        <v>3722</v>
      </c>
      <c r="F57" s="159"/>
      <c r="G57" s="157" t="s">
        <v>3729</v>
      </c>
    </row>
    <row r="58" spans="1:8">
      <c r="A58" s="9">
        <v>15.1</v>
      </c>
      <c r="B58" s="166" t="s">
        <v>3812</v>
      </c>
      <c r="C58" s="161" t="s">
        <v>3725</v>
      </c>
      <c r="D58" s="9">
        <v>3</v>
      </c>
      <c r="E58" s="9">
        <v>3</v>
      </c>
      <c r="F58" s="7" t="s">
        <v>2123</v>
      </c>
      <c r="G58" s="20">
        <v>59</v>
      </c>
      <c r="H58" s="7">
        <v>1.6</v>
      </c>
    </row>
    <row r="59" spans="1:8">
      <c r="A59" s="9">
        <v>19.100000000000001</v>
      </c>
      <c r="B59" s="166" t="s">
        <v>3813</v>
      </c>
      <c r="C59" s="161" t="s">
        <v>3721</v>
      </c>
      <c r="D59" s="9">
        <v>5</v>
      </c>
      <c r="E59" s="9">
        <v>5</v>
      </c>
      <c r="F59" s="7" t="s">
        <v>2121</v>
      </c>
      <c r="G59" s="20">
        <v>57</v>
      </c>
      <c r="H59" s="7">
        <v>1.9</v>
      </c>
    </row>
    <row r="60" spans="1:8">
      <c r="A60" s="9">
        <v>17.600000000000001</v>
      </c>
      <c r="B60" s="166" t="s">
        <v>3814</v>
      </c>
      <c r="C60" s="161" t="s">
        <v>3724</v>
      </c>
      <c r="D60" s="9">
        <v>3</v>
      </c>
      <c r="E60" s="9">
        <v>3</v>
      </c>
      <c r="F60" s="7" t="s">
        <v>2122</v>
      </c>
      <c r="G60" s="20">
        <v>58</v>
      </c>
      <c r="H60" s="7">
        <v>2.8</v>
      </c>
    </row>
    <row r="61" spans="1:8">
      <c r="A61" s="9">
        <v>19.399999999999999</v>
      </c>
      <c r="B61" s="166" t="s">
        <v>3815</v>
      </c>
      <c r="C61" s="161" t="s">
        <v>3726</v>
      </c>
      <c r="D61" s="9">
        <v>3</v>
      </c>
      <c r="E61" s="9">
        <v>3</v>
      </c>
      <c r="F61" s="7" t="s">
        <v>2124</v>
      </c>
      <c r="G61" s="20">
        <v>60</v>
      </c>
      <c r="H61" s="7">
        <v>2.8</v>
      </c>
    </row>
    <row r="62" spans="1:8">
      <c r="A62" s="9">
        <v>15.2</v>
      </c>
      <c r="B62" s="166" t="s">
        <v>3816</v>
      </c>
      <c r="C62" s="161" t="s">
        <v>3728</v>
      </c>
      <c r="D62" s="9">
        <v>3</v>
      </c>
      <c r="E62" s="9">
        <v>3</v>
      </c>
      <c r="F62" s="7" t="s">
        <v>2132</v>
      </c>
      <c r="G62" s="20">
        <v>68</v>
      </c>
      <c r="H62" s="7">
        <v>1.19</v>
      </c>
    </row>
    <row r="63" spans="1:8">
      <c r="A63" s="9">
        <v>28.3</v>
      </c>
      <c r="B63" s="166" t="s">
        <v>3817</v>
      </c>
      <c r="C63" s="163" t="s">
        <v>3752</v>
      </c>
      <c r="D63" s="9">
        <v>3</v>
      </c>
      <c r="E63" s="9">
        <v>3</v>
      </c>
      <c r="F63" s="7" t="s">
        <v>2127</v>
      </c>
      <c r="G63" s="20">
        <v>63</v>
      </c>
      <c r="H63" s="7">
        <v>3.3</v>
      </c>
    </row>
    <row r="64" spans="1:8">
      <c r="B64" s="165"/>
      <c r="C64" s="163" t="s">
        <v>3753</v>
      </c>
      <c r="D64" s="9">
        <v>3</v>
      </c>
      <c r="E64" s="9">
        <v>3</v>
      </c>
      <c r="F64" s="7" t="s">
        <v>2126</v>
      </c>
      <c r="G64" s="20">
        <v>62</v>
      </c>
      <c r="H64" s="7">
        <v>3.3</v>
      </c>
    </row>
    <row r="65" spans="1:8">
      <c r="A65" s="9">
        <v>17</v>
      </c>
      <c r="B65" s="166" t="s">
        <v>3818</v>
      </c>
      <c r="C65" s="161" t="s">
        <v>3731</v>
      </c>
      <c r="D65" s="9">
        <v>3</v>
      </c>
      <c r="E65" s="9">
        <v>3</v>
      </c>
      <c r="F65" s="7" t="s">
        <v>2129</v>
      </c>
      <c r="G65" s="20">
        <v>65</v>
      </c>
      <c r="H65" s="7">
        <v>2.6</v>
      </c>
    </row>
    <row r="66" spans="1:8">
      <c r="A66" s="9">
        <v>24.3</v>
      </c>
      <c r="B66" s="166" t="s">
        <v>3819</v>
      </c>
      <c r="C66" s="161" t="s">
        <v>3730</v>
      </c>
      <c r="D66" s="9">
        <v>3</v>
      </c>
      <c r="E66" s="9">
        <v>3</v>
      </c>
      <c r="F66" s="7" t="s">
        <v>2128</v>
      </c>
      <c r="G66" s="20">
        <v>64</v>
      </c>
      <c r="H66" s="7">
        <v>3.9</v>
      </c>
    </row>
    <row r="67" spans="1:8">
      <c r="A67" s="9">
        <v>18.100000000000001</v>
      </c>
      <c r="B67" s="166" t="s">
        <v>3820</v>
      </c>
      <c r="C67" s="161" t="s">
        <v>3733</v>
      </c>
      <c r="D67" s="9">
        <v>3</v>
      </c>
      <c r="E67" s="9">
        <v>3</v>
      </c>
      <c r="F67" s="7" t="s">
        <v>2131</v>
      </c>
      <c r="G67" s="20">
        <v>67</v>
      </c>
      <c r="H67" s="7">
        <v>2.5</v>
      </c>
    </row>
    <row r="68" spans="1:8">
      <c r="A68" s="9">
        <v>18.8</v>
      </c>
      <c r="B68" s="166" t="s">
        <v>3821</v>
      </c>
      <c r="C68" s="161" t="s">
        <v>3732</v>
      </c>
      <c r="D68" s="9">
        <v>3</v>
      </c>
      <c r="E68" s="9">
        <v>3</v>
      </c>
      <c r="F68" s="7" t="s">
        <v>2130</v>
      </c>
      <c r="G68" s="20">
        <v>66</v>
      </c>
      <c r="H68" s="7">
        <v>2.8</v>
      </c>
    </row>
    <row r="69" spans="1:8">
      <c r="A69" s="9">
        <v>24.4</v>
      </c>
      <c r="B69" s="166" t="s">
        <v>3822</v>
      </c>
      <c r="C69" s="161" t="s">
        <v>3727</v>
      </c>
      <c r="D69" s="9">
        <v>3</v>
      </c>
      <c r="E69" s="9">
        <v>3</v>
      </c>
      <c r="F69" s="7" t="s">
        <v>2125</v>
      </c>
      <c r="G69" s="20">
        <v>61</v>
      </c>
      <c r="H69" s="7">
        <v>3.9</v>
      </c>
    </row>
    <row r="70" spans="1:8">
      <c r="A70" s="9">
        <v>55</v>
      </c>
      <c r="B70" s="166" t="s">
        <v>3854</v>
      </c>
      <c r="C70" s="161" t="s">
        <v>3720</v>
      </c>
      <c r="D70" s="9">
        <v>3</v>
      </c>
      <c r="E70" s="9">
        <v>3</v>
      </c>
      <c r="F70" s="1" t="s">
        <v>2120</v>
      </c>
      <c r="G70" s="20">
        <v>56</v>
      </c>
      <c r="H70" s="7">
        <v>2.69</v>
      </c>
    </row>
    <row r="71" spans="1:8">
      <c r="A71" s="9">
        <v>4.3</v>
      </c>
      <c r="B71" s="166" t="s">
        <v>3755</v>
      </c>
      <c r="C71" s="31" t="s">
        <v>3856</v>
      </c>
      <c r="D71" s="9">
        <v>5</v>
      </c>
      <c r="E71" s="9">
        <v>5</v>
      </c>
      <c r="F71" s="7" t="s">
        <v>2098</v>
      </c>
      <c r="G71" s="20">
        <v>34</v>
      </c>
      <c r="H71" s="7">
        <v>0.8</v>
      </c>
    </row>
    <row r="72" spans="1:8">
      <c r="A72" s="9">
        <v>3.9</v>
      </c>
      <c r="B72" s="166" t="s">
        <v>3756</v>
      </c>
      <c r="C72" s="161" t="s">
        <v>3695</v>
      </c>
      <c r="D72" s="9">
        <v>5</v>
      </c>
      <c r="E72" s="9">
        <v>5</v>
      </c>
      <c r="F72" s="7" t="s">
        <v>2093</v>
      </c>
      <c r="G72" s="20">
        <v>29</v>
      </c>
      <c r="H72" s="7">
        <v>0.32</v>
      </c>
    </row>
    <row r="73" spans="1:8">
      <c r="A73" s="9">
        <v>4.4000000000000004</v>
      </c>
      <c r="B73" s="166" t="s">
        <v>3757</v>
      </c>
      <c r="C73" s="161" t="s">
        <v>3684</v>
      </c>
      <c r="D73" s="9">
        <v>50</v>
      </c>
      <c r="E73" s="9">
        <v>50</v>
      </c>
      <c r="F73" s="7" t="s">
        <v>2082</v>
      </c>
      <c r="G73" s="20">
        <v>18</v>
      </c>
      <c r="H73" s="7">
        <v>0.28999999999999998</v>
      </c>
    </row>
    <row r="74" spans="1:8">
      <c r="A74" s="9">
        <v>2.7</v>
      </c>
      <c r="B74" s="166" t="s">
        <v>3758</v>
      </c>
      <c r="C74" s="161" t="s">
        <v>3750</v>
      </c>
      <c r="D74" s="9">
        <v>10</v>
      </c>
      <c r="E74" s="9">
        <v>10</v>
      </c>
      <c r="F74" s="7" t="s">
        <v>2099</v>
      </c>
      <c r="G74" s="20">
        <v>35</v>
      </c>
      <c r="H74" s="7">
        <v>0.5</v>
      </c>
    </row>
    <row r="75" spans="1:8">
      <c r="A75" s="9">
        <v>4.5999999999999996</v>
      </c>
      <c r="B75" s="166" t="s">
        <v>3759</v>
      </c>
      <c r="C75" s="161" t="s">
        <v>3692</v>
      </c>
      <c r="D75" s="9">
        <v>5</v>
      </c>
      <c r="E75" s="9">
        <v>5</v>
      </c>
      <c r="F75" s="7" t="s">
        <v>2090</v>
      </c>
      <c r="G75" s="20">
        <v>26</v>
      </c>
      <c r="H75" s="7">
        <v>0.7</v>
      </c>
    </row>
    <row r="76" spans="1:8">
      <c r="A76" s="9">
        <v>4.4000000000000004</v>
      </c>
      <c r="B76" s="166" t="s">
        <v>3760</v>
      </c>
      <c r="C76" s="161" t="s">
        <v>3687</v>
      </c>
      <c r="D76" s="9">
        <v>10</v>
      </c>
      <c r="E76" s="9">
        <v>10</v>
      </c>
      <c r="F76" s="7" t="s">
        <v>2085</v>
      </c>
      <c r="G76" s="20">
        <v>21</v>
      </c>
      <c r="H76" s="7">
        <v>0.22</v>
      </c>
    </row>
    <row r="77" spans="1:8">
      <c r="A77" s="9">
        <v>4</v>
      </c>
      <c r="B77" s="166" t="s">
        <v>3761</v>
      </c>
      <c r="C77" s="161" t="s">
        <v>3688</v>
      </c>
      <c r="D77" s="9">
        <v>5</v>
      </c>
      <c r="E77" s="9">
        <v>5</v>
      </c>
      <c r="F77" s="7" t="s">
        <v>2086</v>
      </c>
      <c r="G77" s="20">
        <v>22</v>
      </c>
      <c r="H77" s="7">
        <v>0.65</v>
      </c>
    </row>
    <row r="78" spans="1:8">
      <c r="A78" s="9">
        <v>6.8</v>
      </c>
      <c r="B78" s="166" t="s">
        <v>3762</v>
      </c>
      <c r="C78" s="161" t="s">
        <v>3685</v>
      </c>
      <c r="D78" s="9">
        <v>10</v>
      </c>
      <c r="E78" s="9">
        <v>10</v>
      </c>
      <c r="F78" s="7" t="s">
        <v>2083</v>
      </c>
      <c r="G78" s="20">
        <v>19</v>
      </c>
      <c r="H78" s="7">
        <v>0.94</v>
      </c>
    </row>
    <row r="79" spans="1:8">
      <c r="A79" s="9">
        <v>7.7</v>
      </c>
      <c r="B79" s="166" t="s">
        <v>3763</v>
      </c>
      <c r="C79" s="161" t="s">
        <v>3699</v>
      </c>
      <c r="D79" s="9">
        <v>3</v>
      </c>
      <c r="E79" s="9">
        <v>3</v>
      </c>
      <c r="F79" s="7" t="s">
        <v>2100</v>
      </c>
      <c r="G79" s="20">
        <v>36</v>
      </c>
      <c r="H79" s="7">
        <v>1.9</v>
      </c>
    </row>
    <row r="80" spans="1:8">
      <c r="A80" s="9">
        <v>3.3</v>
      </c>
      <c r="B80" s="166" t="s">
        <v>3764</v>
      </c>
      <c r="C80" s="161" t="s">
        <v>3749</v>
      </c>
      <c r="D80" s="9">
        <v>3</v>
      </c>
      <c r="E80" s="9">
        <v>3</v>
      </c>
      <c r="F80" s="7" t="s">
        <v>2097</v>
      </c>
      <c r="G80" s="20">
        <v>33</v>
      </c>
      <c r="H80" s="7">
        <v>1.2</v>
      </c>
    </row>
    <row r="81" spans="1:8">
      <c r="A81" s="9">
        <v>6.6</v>
      </c>
      <c r="B81" s="166" t="s">
        <v>3765</v>
      </c>
      <c r="C81" s="161" t="s">
        <v>3689</v>
      </c>
      <c r="D81" s="9">
        <v>3</v>
      </c>
      <c r="E81" s="9">
        <v>3</v>
      </c>
      <c r="F81" s="7" t="s">
        <v>2087</v>
      </c>
      <c r="G81" s="20">
        <v>23</v>
      </c>
      <c r="H81" s="7">
        <v>1</v>
      </c>
    </row>
    <row r="82" spans="1:8">
      <c r="A82" s="9">
        <v>6.2</v>
      </c>
      <c r="B82" s="166" t="s">
        <v>3766</v>
      </c>
      <c r="C82" s="161" t="s">
        <v>3691</v>
      </c>
      <c r="D82" s="9">
        <v>3</v>
      </c>
      <c r="E82" s="9">
        <v>3</v>
      </c>
      <c r="F82" s="7" t="s">
        <v>2089</v>
      </c>
      <c r="G82" s="20">
        <v>25</v>
      </c>
      <c r="H82" s="7">
        <v>0.65</v>
      </c>
    </row>
    <row r="83" spans="1:8">
      <c r="A83" s="9">
        <v>13.7</v>
      </c>
      <c r="B83" s="166" t="s">
        <v>3767</v>
      </c>
      <c r="C83" s="161" t="s">
        <v>3686</v>
      </c>
      <c r="D83" s="9">
        <v>3</v>
      </c>
      <c r="E83" s="9">
        <v>3</v>
      </c>
      <c r="F83" s="7" t="s">
        <v>2084</v>
      </c>
      <c r="G83" s="20">
        <v>20</v>
      </c>
      <c r="H83" s="7">
        <v>0.8</v>
      </c>
    </row>
    <row r="84" spans="1:8">
      <c r="A84" s="9">
        <v>5.0999999999999996</v>
      </c>
      <c r="B84" s="166" t="s">
        <v>3768</v>
      </c>
      <c r="C84" s="161" t="s">
        <v>3751</v>
      </c>
      <c r="D84" s="9">
        <v>3</v>
      </c>
      <c r="E84" s="9">
        <v>3</v>
      </c>
      <c r="F84" s="7" t="s">
        <v>2101</v>
      </c>
      <c r="G84" s="20">
        <v>37</v>
      </c>
      <c r="H84" s="7">
        <v>1.5</v>
      </c>
    </row>
    <row r="85" spans="1:8">
      <c r="A85" s="9">
        <v>7.2</v>
      </c>
      <c r="B85" s="166" t="s">
        <v>3769</v>
      </c>
      <c r="C85" s="161" t="s">
        <v>3698</v>
      </c>
      <c r="D85" s="9">
        <v>3</v>
      </c>
      <c r="E85" s="9">
        <v>3</v>
      </c>
      <c r="F85" s="7" t="s">
        <v>2096</v>
      </c>
      <c r="G85" s="20">
        <v>32</v>
      </c>
      <c r="H85" s="7">
        <v>1.5</v>
      </c>
    </row>
    <row r="86" spans="1:8">
      <c r="A86" s="9">
        <v>7.3</v>
      </c>
      <c r="B86" s="166" t="s">
        <v>3770</v>
      </c>
      <c r="C86" s="161" t="s">
        <v>3696</v>
      </c>
      <c r="D86" s="9">
        <v>3</v>
      </c>
      <c r="E86" s="9">
        <v>3</v>
      </c>
      <c r="F86" s="7" t="s">
        <v>2094</v>
      </c>
      <c r="G86" s="20">
        <v>30</v>
      </c>
      <c r="H86" s="7">
        <v>0.59</v>
      </c>
    </row>
    <row r="87" spans="1:8">
      <c r="A87" s="9">
        <v>9</v>
      </c>
      <c r="B87" s="166" t="s">
        <v>3771</v>
      </c>
      <c r="C87" s="161" t="s">
        <v>3694</v>
      </c>
      <c r="D87" s="9">
        <v>10</v>
      </c>
      <c r="E87" s="3">
        <v>10</v>
      </c>
      <c r="F87" s="7" t="s">
        <v>2092</v>
      </c>
      <c r="G87" s="20">
        <v>28</v>
      </c>
      <c r="H87" s="7">
        <v>0.89</v>
      </c>
    </row>
    <row r="88" spans="1:8">
      <c r="A88" s="9">
        <v>14.1</v>
      </c>
      <c r="B88" s="166" t="s">
        <v>3772</v>
      </c>
      <c r="C88" s="161" t="s">
        <v>3690</v>
      </c>
      <c r="D88" s="9">
        <v>3</v>
      </c>
      <c r="E88" s="9">
        <v>3</v>
      </c>
      <c r="F88" s="7" t="s">
        <v>2088</v>
      </c>
      <c r="G88" s="20">
        <v>24</v>
      </c>
      <c r="H88" s="7">
        <v>1.8</v>
      </c>
    </row>
    <row r="89" spans="1:8">
      <c r="A89" s="9">
        <v>8.9</v>
      </c>
      <c r="B89" s="166" t="s">
        <v>3773</v>
      </c>
      <c r="C89" s="161" t="s">
        <v>3697</v>
      </c>
      <c r="D89" s="9">
        <v>3</v>
      </c>
      <c r="E89" s="9">
        <v>3</v>
      </c>
      <c r="F89" s="7" t="s">
        <v>2095</v>
      </c>
      <c r="G89" s="20">
        <v>31</v>
      </c>
      <c r="H89" s="7">
        <v>1.6</v>
      </c>
    </row>
    <row r="90" spans="1:8">
      <c r="A90" s="9">
        <v>6.8</v>
      </c>
      <c r="B90" s="166" t="s">
        <v>3774</v>
      </c>
      <c r="C90" s="161" t="s">
        <v>3693</v>
      </c>
      <c r="D90" s="9">
        <v>3</v>
      </c>
      <c r="E90" s="9">
        <v>3</v>
      </c>
      <c r="F90" s="7" t="s">
        <v>2091</v>
      </c>
      <c r="G90" s="20">
        <v>27</v>
      </c>
      <c r="H90" s="7">
        <v>0.8</v>
      </c>
    </row>
    <row r="91" spans="1:8">
      <c r="B91" s="165"/>
      <c r="G91" s="156"/>
    </row>
    <row r="92" spans="1:8">
      <c r="B92" s="165"/>
    </row>
    <row r="93" spans="1:8">
      <c r="B93" s="165"/>
    </row>
    <row r="94" spans="1:8">
      <c r="B94" s="165"/>
    </row>
    <row r="95" spans="1:8">
      <c r="B95" s="165"/>
    </row>
    <row r="96" spans="1:8">
      <c r="B96" s="165"/>
    </row>
    <row r="97" spans="2:2">
      <c r="B97" s="165"/>
    </row>
    <row r="98" spans="2:2">
      <c r="B98" s="165"/>
    </row>
    <row r="99" spans="2:2">
      <c r="B99" s="165"/>
    </row>
    <row r="100" spans="2:2">
      <c r="B100" s="165"/>
    </row>
    <row r="101" spans="2:2">
      <c r="B101" s="165"/>
    </row>
    <row r="102" spans="2:2">
      <c r="B102" s="165"/>
    </row>
    <row r="103" spans="2:2">
      <c r="B103" s="165"/>
    </row>
    <row r="104" spans="2:2">
      <c r="B104" s="165"/>
    </row>
    <row r="105" spans="2:2">
      <c r="B105" s="165"/>
    </row>
    <row r="106" spans="2:2">
      <c r="B106" s="165"/>
    </row>
    <row r="107" spans="2:2">
      <c r="B107" s="165"/>
    </row>
    <row r="108" spans="2:2">
      <c r="B108" s="165"/>
    </row>
    <row r="109" spans="2:2">
      <c r="B109" s="165"/>
    </row>
    <row r="110" spans="2:2">
      <c r="B110" s="165"/>
    </row>
    <row r="111" spans="2:2">
      <c r="B111" s="165"/>
    </row>
  </sheetData>
  <phoneticPr fontId="7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ro-cat</vt:lpstr>
      <vt:lpstr>bsku</vt:lpstr>
      <vt:lpstr>Q2進</vt:lpstr>
      <vt:lpstr>bsku-0</vt:lpstr>
      <vt:lpstr>xB4</vt:lpstr>
      <vt:lpstr>pack</vt:lpstr>
      <vt:lpstr>q5-0</vt:lpstr>
      <vt:lpstr>q5</vt:lpstr>
      <vt:lpstr>RO</vt:lpstr>
      <vt:lpstr>EE</vt:lpstr>
      <vt:lpstr>sku</vt:lpstr>
      <vt:lpstr>QT2</vt:lpstr>
      <vt:lpstr>B4</vt:lpstr>
      <vt:lpstr>RO進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2020-02-10T01:01:32Z</dcterms:modified>
</cp:coreProperties>
</file>