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12"/>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H68" i="71" l="1"/>
  <c r="H69" i="71"/>
  <c r="H70" i="71"/>
  <c r="D722" i="70"/>
  <c r="H57" i="71"/>
  <c r="H52" i="71"/>
  <c r="H50" i="71"/>
  <c r="H46" i="71"/>
  <c r="E458" i="70"/>
  <c r="H43" i="71"/>
  <c r="H42" i="71"/>
  <c r="H41" i="71"/>
  <c r="H39" i="71"/>
  <c r="H34" i="71"/>
  <c r="H28" i="71"/>
  <c r="H19" i="71"/>
  <c r="H16" i="71"/>
  <c r="H13" i="71"/>
  <c r="H12" i="71"/>
  <c r="D116" i="70"/>
  <c r="D109" i="70"/>
  <c r="D107" i="70"/>
  <c r="D106" i="70"/>
  <c r="D105" i="70"/>
  <c r="D104" i="70"/>
  <c r="D103" i="70"/>
  <c r="D102" i="70"/>
  <c r="D65"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0" i="70"/>
  <c r="E1066" i="70"/>
  <c r="B1065" i="70"/>
  <c r="B1048" i="70"/>
  <c r="B1047" i="70"/>
  <c r="B1046" i="70"/>
  <c r="B1045" i="70"/>
  <c r="B1044" i="70"/>
  <c r="B1043" i="70"/>
  <c r="B1042" i="70"/>
  <c r="B1041" i="70"/>
  <c r="B1040" i="70"/>
  <c r="B1039" i="70"/>
  <c r="B943" i="70"/>
  <c r="E934" i="70"/>
  <c r="B934" i="70"/>
  <c r="B933" i="70"/>
  <c r="B932" i="70"/>
  <c r="B931" i="70"/>
  <c r="B930" i="70"/>
  <c r="B929" i="70"/>
  <c r="B928" i="70"/>
  <c r="E914" i="70"/>
  <c r="B906" i="70"/>
  <c r="B905" i="70"/>
  <c r="B904" i="70"/>
  <c r="B903" i="70"/>
  <c r="B902" i="70"/>
  <c r="B901" i="70"/>
  <c r="B900" i="70"/>
  <c r="B899" i="70"/>
  <c r="B898" i="70"/>
  <c r="B897" i="70"/>
  <c r="B896" i="70"/>
  <c r="B895" i="70"/>
  <c r="B894" i="70"/>
  <c r="B893" i="70"/>
  <c r="B891" i="70"/>
  <c r="B890" i="70"/>
  <c r="B888" i="70"/>
  <c r="B887" i="70"/>
  <c r="B886" i="70"/>
  <c r="B863" i="70"/>
  <c r="B862" i="70"/>
  <c r="B861" i="70"/>
  <c r="B860" i="70"/>
  <c r="B859" i="70"/>
  <c r="B857" i="70"/>
  <c r="B856" i="70"/>
  <c r="B854" i="70"/>
  <c r="B853" i="70"/>
  <c r="B852" i="70"/>
  <c r="B851" i="70"/>
  <c r="B850" i="70"/>
  <c r="B849" i="70"/>
  <c r="B845" i="70"/>
  <c r="B844" i="70"/>
  <c r="B843" i="70"/>
  <c r="B842" i="70"/>
  <c r="B841" i="70"/>
  <c r="B840" i="70"/>
  <c r="B839" i="70"/>
  <c r="B838" i="70"/>
  <c r="B837" i="70"/>
  <c r="B836" i="70"/>
  <c r="B835" i="70"/>
  <c r="B834" i="70"/>
  <c r="B829" i="70"/>
  <c r="B828" i="70"/>
  <c r="B827" i="70"/>
  <c r="B826" i="70"/>
  <c r="B825" i="70"/>
  <c r="B824" i="70"/>
  <c r="B823" i="70"/>
  <c r="B822" i="70"/>
  <c r="B821" i="70"/>
  <c r="B820" i="70"/>
  <c r="B819" i="70"/>
  <c r="B748" i="70"/>
  <c r="D816" i="70"/>
  <c r="B811" i="70"/>
  <c r="B810" i="70"/>
  <c r="D809" i="70"/>
  <c r="B809" i="70"/>
  <c r="D808" i="70"/>
  <c r="B808" i="70"/>
  <c r="D807" i="70"/>
  <c r="B807" i="70"/>
  <c r="D806" i="70"/>
  <c r="B806" i="70"/>
  <c r="D805" i="70"/>
  <c r="B805" i="70"/>
  <c r="B804" i="70"/>
  <c r="B803" i="70"/>
  <c r="B802" i="70"/>
  <c r="B801" i="70"/>
  <c r="B800" i="70"/>
  <c r="B799" i="70"/>
  <c r="B798" i="70"/>
  <c r="D797" i="70"/>
  <c r="B797" i="70"/>
  <c r="D796" i="70"/>
  <c r="B796" i="70"/>
  <c r="D795" i="70"/>
  <c r="B795" i="70"/>
  <c r="D794" i="70"/>
  <c r="B794" i="70"/>
  <c r="D793" i="70"/>
  <c r="B793" i="70"/>
  <c r="D792" i="70"/>
  <c r="B792" i="70"/>
  <c r="E790" i="70"/>
  <c r="B790" i="70"/>
  <c r="E789" i="70"/>
  <c r="B789" i="70"/>
  <c r="E788" i="70"/>
  <c r="B788" i="70"/>
  <c r="E787" i="70"/>
  <c r="B787" i="70"/>
  <c r="E786" i="70"/>
  <c r="B786" i="70"/>
  <c r="B785" i="70"/>
  <c r="B784" i="70"/>
  <c r="B783" i="70"/>
  <c r="B781" i="70"/>
  <c r="B780" i="70"/>
  <c r="B779" i="70"/>
  <c r="B778" i="70"/>
  <c r="B777" i="70"/>
  <c r="B775" i="70"/>
  <c r="B774" i="70"/>
  <c r="B773" i="70"/>
  <c r="B772" i="70"/>
  <c r="B759" i="70"/>
  <c r="B758" i="70"/>
  <c r="B757" i="70"/>
  <c r="B756" i="70"/>
  <c r="B755" i="70"/>
  <c r="D754" i="70"/>
  <c r="B754" i="70"/>
  <c r="D753" i="70"/>
  <c r="B753" i="70"/>
  <c r="B752" i="70"/>
  <c r="B751" i="70"/>
  <c r="B750" i="70"/>
  <c r="B749" i="70"/>
  <c r="B747" i="70"/>
  <c r="B746" i="70"/>
  <c r="B745" i="70"/>
  <c r="B744" i="70"/>
  <c r="B743" i="70"/>
  <c r="B742" i="70"/>
  <c r="B741" i="70"/>
  <c r="B740" i="70"/>
  <c r="B739" i="70"/>
  <c r="B732" i="70"/>
  <c r="E731" i="70"/>
  <c r="B731" i="70"/>
  <c r="E730" i="70"/>
  <c r="B730" i="70"/>
  <c r="B729" i="70"/>
  <c r="D728" i="70"/>
  <c r="B728" i="70"/>
  <c r="B727" i="70"/>
  <c r="B726" i="70"/>
  <c r="B725" i="70"/>
  <c r="B724" i="70"/>
  <c r="B723" i="70"/>
  <c r="B722" i="70"/>
  <c r="B721" i="70"/>
  <c r="E720" i="70"/>
  <c r="B720" i="70"/>
  <c r="E719" i="70"/>
  <c r="B719" i="70"/>
  <c r="E718" i="70"/>
  <c r="B718" i="70"/>
  <c r="E717" i="70"/>
  <c r="B717" i="70"/>
  <c r="E716" i="70"/>
  <c r="B716" i="70"/>
  <c r="E715" i="70"/>
  <c r="B715" i="70"/>
  <c r="E714" i="70"/>
  <c r="B714" i="70"/>
  <c r="E713" i="70"/>
  <c r="B713" i="70"/>
  <c r="E712" i="70"/>
  <c r="B712" i="70"/>
  <c r="E711" i="70"/>
  <c r="B711" i="70"/>
  <c r="E710" i="70"/>
  <c r="B710" i="70"/>
  <c r="E709" i="70"/>
  <c r="B709" i="70"/>
  <c r="E708" i="70"/>
  <c r="B708" i="70"/>
  <c r="E707" i="70"/>
  <c r="B707" i="70"/>
  <c r="E706" i="70"/>
  <c r="B706" i="70"/>
  <c r="E705" i="70"/>
  <c r="B705" i="70"/>
  <c r="E704" i="70"/>
  <c r="B704" i="70"/>
  <c r="E703" i="70"/>
  <c r="B703" i="70"/>
  <c r="E702" i="70"/>
  <c r="B702" i="70"/>
  <c r="B701" i="70"/>
  <c r="B700" i="70"/>
  <c r="B699" i="70"/>
  <c r="B698" i="70"/>
  <c r="B697" i="70"/>
  <c r="B696" i="70"/>
  <c r="B695" i="70"/>
  <c r="B663" i="70"/>
  <c r="B662" i="70"/>
  <c r="B661" i="70"/>
  <c r="B660" i="70"/>
  <c r="B659" i="70"/>
  <c r="B658" i="70"/>
  <c r="B657" i="70"/>
  <c r="B656" i="70"/>
  <c r="B655" i="70"/>
  <c r="B654" i="70"/>
  <c r="B653" i="70"/>
  <c r="B652" i="70"/>
  <c r="B651" i="70"/>
  <c r="B650" i="70"/>
  <c r="B649" i="70"/>
  <c r="E648" i="70"/>
  <c r="B648" i="70"/>
  <c r="E647" i="70"/>
  <c r="B647" i="70"/>
  <c r="E646" i="70"/>
  <c r="B646" i="70"/>
  <c r="B645" i="70"/>
  <c r="B644" i="70"/>
  <c r="B643" i="70"/>
  <c r="B642" i="70"/>
  <c r="B641" i="70"/>
  <c r="B640" i="70"/>
  <c r="B639" i="70"/>
  <c r="B638" i="70"/>
  <c r="E637" i="70"/>
  <c r="B637" i="70"/>
  <c r="E636" i="70"/>
  <c r="B636" i="70"/>
  <c r="E635" i="70"/>
  <c r="B635" i="70"/>
  <c r="E634" i="70"/>
  <c r="B634" i="70"/>
  <c r="E633" i="70"/>
  <c r="B633" i="70"/>
  <c r="E632" i="70"/>
  <c r="B632" i="70"/>
  <c r="B631" i="70"/>
  <c r="B630" i="70"/>
  <c r="B629" i="70"/>
  <c r="E628" i="70"/>
  <c r="B628" i="70"/>
  <c r="E627" i="70"/>
  <c r="B627" i="70"/>
  <c r="E626" i="70"/>
  <c r="B626" i="70"/>
  <c r="E616" i="70"/>
  <c r="E615" i="70"/>
  <c r="E614" i="70"/>
  <c r="B528" i="70"/>
  <c r="B527" i="70"/>
  <c r="B526" i="70"/>
  <c r="B525" i="70"/>
  <c r="E474" i="70"/>
  <c r="D474" i="70"/>
  <c r="B474" i="70"/>
  <c r="E473" i="70"/>
  <c r="D473" i="70"/>
  <c r="B473" i="70"/>
  <c r="E472" i="70"/>
  <c r="D472" i="70"/>
  <c r="B472" i="70"/>
  <c r="E471" i="70"/>
  <c r="D471" i="70"/>
  <c r="B471" i="70"/>
  <c r="E470" i="70"/>
  <c r="D470" i="70"/>
  <c r="B470" i="70"/>
  <c r="E469" i="70"/>
  <c r="D469" i="70"/>
  <c r="B469" i="70"/>
  <c r="E468" i="70"/>
  <c r="D468" i="70"/>
  <c r="B468" i="70"/>
  <c r="E467" i="70"/>
  <c r="D467" i="70"/>
  <c r="B467" i="70"/>
  <c r="E466" i="70"/>
  <c r="B466" i="70"/>
  <c r="E465" i="70"/>
  <c r="B465" i="70"/>
  <c r="E464" i="70"/>
  <c r="B464" i="70"/>
  <c r="B463" i="70"/>
  <c r="B462" i="70"/>
  <c r="B461" i="70"/>
  <c r="B460" i="70"/>
  <c r="B459" i="70"/>
  <c r="B458" i="70"/>
  <c r="E457" i="70"/>
  <c r="B457" i="70"/>
  <c r="E456" i="70"/>
  <c r="B456" i="70"/>
  <c r="E435" i="70"/>
  <c r="B435" i="70"/>
  <c r="E434" i="70"/>
  <c r="B434" i="70"/>
  <c r="E433" i="70"/>
  <c r="B433" i="70"/>
  <c r="E432" i="70"/>
  <c r="B432" i="70"/>
  <c r="E431" i="70"/>
  <c r="B431" i="70"/>
  <c r="E430" i="70"/>
  <c r="B430" i="70"/>
  <c r="E429" i="70"/>
  <c r="B429" i="70"/>
  <c r="E428" i="70"/>
  <c r="B428" i="70"/>
  <c r="E427" i="70"/>
  <c r="B427" i="70"/>
  <c r="E426" i="70"/>
  <c r="B426" i="70"/>
  <c r="E425" i="70"/>
  <c r="B425" i="70"/>
  <c r="E424" i="70"/>
  <c r="B424" i="70"/>
  <c r="E423" i="70"/>
  <c r="B423" i="70"/>
  <c r="E422" i="70"/>
  <c r="B422" i="70"/>
  <c r="B421" i="70"/>
  <c r="B420" i="70"/>
  <c r="B419" i="70"/>
  <c r="E418" i="70"/>
  <c r="B418" i="70"/>
  <c r="E417" i="70"/>
  <c r="B417" i="70"/>
  <c r="E416" i="70"/>
  <c r="B416" i="70"/>
  <c r="E415" i="70"/>
  <c r="D415" i="70"/>
  <c r="E414" i="70"/>
  <c r="D414" i="70"/>
  <c r="E413" i="70"/>
  <c r="D413" i="70"/>
  <c r="E412" i="70"/>
  <c r="D412" i="70"/>
  <c r="E411" i="70"/>
  <c r="D411" i="70"/>
  <c r="E410" i="70"/>
  <c r="D410" i="70"/>
  <c r="E409" i="70"/>
  <c r="D409" i="70"/>
  <c r="E408" i="70"/>
  <c r="D408" i="70"/>
  <c r="E407" i="70"/>
  <c r="D407" i="70"/>
  <c r="E406" i="70"/>
  <c r="D406" i="70"/>
  <c r="E405" i="70"/>
  <c r="D405" i="70"/>
  <c r="E404" i="70"/>
  <c r="D404" i="70"/>
  <c r="E403" i="70"/>
  <c r="D403" i="70"/>
  <c r="E402" i="70"/>
  <c r="D402" i="70"/>
  <c r="E401" i="70"/>
  <c r="D401" i="70"/>
  <c r="E400" i="70"/>
  <c r="D400" i="70"/>
  <c r="E399" i="70"/>
  <c r="D399" i="70"/>
  <c r="E398" i="70"/>
  <c r="D398" i="70"/>
  <c r="E397" i="70"/>
  <c r="D397" i="70"/>
  <c r="E396" i="70"/>
  <c r="D396" i="70"/>
  <c r="E395" i="70"/>
  <c r="D395" i="70"/>
  <c r="E394" i="70"/>
  <c r="D394" i="70"/>
  <c r="E393" i="70"/>
  <c r="D393" i="70"/>
  <c r="E392" i="70"/>
  <c r="D392" i="70"/>
  <c r="E391" i="70"/>
  <c r="D391" i="70"/>
  <c r="E390" i="70"/>
  <c r="E389" i="70"/>
  <c r="E388" i="70"/>
  <c r="E387" i="70"/>
  <c r="E386" i="70"/>
  <c r="E385" i="70"/>
  <c r="E384" i="70"/>
  <c r="E383" i="70"/>
  <c r="E382" i="70"/>
  <c r="E381" i="70"/>
  <c r="E380" i="70"/>
  <c r="B380" i="70"/>
  <c r="E379" i="70"/>
  <c r="B379" i="70"/>
  <c r="E378" i="70"/>
  <c r="B378" i="70"/>
  <c r="B377" i="70"/>
  <c r="B376" i="70"/>
  <c r="B375" i="70"/>
  <c r="B374" i="70"/>
  <c r="B373" i="70"/>
  <c r="B372" i="70"/>
  <c r="B371" i="70"/>
  <c r="B370" i="70"/>
  <c r="E369" i="70"/>
  <c r="B369" i="70"/>
  <c r="E368" i="70"/>
  <c r="B368" i="70"/>
  <c r="E367" i="70"/>
  <c r="B367" i="70"/>
  <c r="E366" i="70"/>
  <c r="B366" i="70"/>
  <c r="E365" i="70"/>
  <c r="B365" i="70"/>
  <c r="E364" i="70"/>
  <c r="B364" i="70"/>
  <c r="E362" i="70"/>
  <c r="D362" i="70"/>
  <c r="E361" i="70"/>
  <c r="D361" i="70"/>
  <c r="E360" i="70"/>
  <c r="D360" i="70"/>
  <c r="E359" i="70"/>
  <c r="D359" i="70"/>
  <c r="B347" i="70"/>
  <c r="B346" i="70"/>
  <c r="B345" i="70"/>
  <c r="B344" i="70"/>
  <c r="B343" i="70"/>
  <c r="B342" i="70"/>
  <c r="B341" i="70"/>
  <c r="B340" i="70"/>
  <c r="B339" i="70"/>
  <c r="B338" i="70"/>
  <c r="B337" i="70"/>
  <c r="B336" i="70"/>
  <c r="B320" i="70"/>
  <c r="B319" i="70"/>
  <c r="B318" i="70"/>
  <c r="B317" i="70"/>
  <c r="B316" i="70"/>
  <c r="B315" i="70"/>
  <c r="B314" i="70"/>
  <c r="B313" i="70"/>
  <c r="B312" i="70"/>
  <c r="B311" i="70"/>
  <c r="B310" i="70"/>
  <c r="B309" i="70"/>
  <c r="B308" i="70"/>
  <c r="B307" i="70"/>
  <c r="B306" i="70"/>
  <c r="B305" i="70"/>
  <c r="B304" i="70"/>
  <c r="B303" i="70"/>
  <c r="B302" i="70"/>
  <c r="D279" i="70"/>
  <c r="B279" i="70"/>
  <c r="D278" i="70"/>
  <c r="B278" i="70"/>
  <c r="D277" i="70"/>
  <c r="B277" i="70"/>
  <c r="D276" i="70"/>
  <c r="B276" i="70"/>
  <c r="D275" i="70"/>
  <c r="B275" i="70"/>
  <c r="D274" i="70"/>
  <c r="B274" i="70"/>
  <c r="D273" i="70"/>
  <c r="B273" i="70"/>
  <c r="D272" i="70"/>
  <c r="B272" i="70"/>
  <c r="D271" i="70"/>
  <c r="B271" i="70"/>
  <c r="D270" i="70"/>
  <c r="B270" i="70"/>
  <c r="D269" i="70"/>
  <c r="B269" i="70"/>
  <c r="D268" i="70"/>
  <c r="B268" i="70"/>
  <c r="D267" i="70"/>
  <c r="B267" i="70"/>
  <c r="D266" i="70"/>
  <c r="B266" i="70"/>
  <c r="D265" i="70"/>
  <c r="B265" i="70"/>
  <c r="D264" i="70"/>
  <c r="B264" i="70"/>
  <c r="D263" i="70"/>
  <c r="B263" i="70"/>
  <c r="D262" i="70"/>
  <c r="B262" i="70"/>
  <c r="D261" i="70"/>
  <c r="B261" i="70"/>
  <c r="D260" i="70"/>
  <c r="B260" i="70"/>
  <c r="D259" i="70"/>
  <c r="B259" i="70"/>
  <c r="D258" i="70"/>
  <c r="B258" i="70"/>
  <c r="D257" i="70"/>
  <c r="B257" i="70"/>
  <c r="D256" i="70"/>
  <c r="B256" i="70"/>
  <c r="D255" i="70"/>
  <c r="B255" i="70"/>
  <c r="D254" i="70"/>
  <c r="B254" i="70"/>
  <c r="D253" i="70"/>
  <c r="B253" i="70"/>
  <c r="D252" i="70"/>
  <c r="B252" i="70"/>
  <c r="D251" i="70"/>
  <c r="B251" i="70"/>
  <c r="D250" i="70"/>
  <c r="B250" i="70"/>
  <c r="D249" i="70"/>
  <c r="B249" i="70"/>
  <c r="D248" i="70"/>
  <c r="B248" i="70"/>
  <c r="D247" i="70"/>
  <c r="B247" i="70"/>
  <c r="D246" i="70"/>
  <c r="B246" i="70"/>
  <c r="D245" i="70"/>
  <c r="B245" i="70"/>
  <c r="D244" i="70"/>
  <c r="B244" i="70"/>
  <c r="D243" i="70"/>
  <c r="B243" i="70"/>
  <c r="D242" i="70"/>
  <c r="B242" i="70"/>
  <c r="D241" i="70"/>
  <c r="B241" i="70"/>
  <c r="D240" i="70"/>
  <c r="B240" i="70"/>
  <c r="D239" i="70"/>
  <c r="B239" i="70"/>
  <c r="D238" i="70"/>
  <c r="B238" i="70"/>
  <c r="D237" i="70"/>
  <c r="B237" i="70"/>
  <c r="D236" i="70"/>
  <c r="B236" i="70"/>
  <c r="D235" i="70"/>
  <c r="B235" i="70"/>
  <c r="D234" i="70"/>
  <c r="B234" i="70"/>
  <c r="D233" i="70"/>
  <c r="B233" i="70"/>
  <c r="D232" i="70"/>
  <c r="B232" i="70"/>
  <c r="D231" i="70"/>
  <c r="B231" i="70"/>
  <c r="D230" i="70"/>
  <c r="B230" i="70"/>
  <c r="D229" i="70"/>
  <c r="B229" i="70"/>
  <c r="D228" i="70"/>
  <c r="B228" i="70"/>
  <c r="D227" i="70"/>
  <c r="B227" i="70"/>
  <c r="D226" i="70"/>
  <c r="B226" i="70"/>
  <c r="D225" i="70"/>
  <c r="B225" i="70"/>
  <c r="D224" i="70"/>
  <c r="B224" i="70"/>
  <c r="D223" i="70"/>
  <c r="B223" i="70"/>
  <c r="D222" i="70"/>
  <c r="B222" i="70"/>
  <c r="D221" i="70"/>
  <c r="B221" i="70"/>
  <c r="D220" i="70"/>
  <c r="B220" i="70"/>
  <c r="D219" i="70"/>
  <c r="B219" i="70"/>
  <c r="D218" i="70"/>
  <c r="B218" i="70"/>
  <c r="D217" i="70"/>
  <c r="B217" i="70"/>
  <c r="D216" i="70"/>
  <c r="B216" i="70"/>
  <c r="D215" i="70"/>
  <c r="B215" i="70"/>
  <c r="D214" i="70"/>
  <c r="B214" i="70"/>
  <c r="B213" i="70"/>
  <c r="B212" i="70"/>
  <c r="B211" i="70"/>
  <c r="B210" i="70"/>
  <c r="B168" i="70"/>
  <c r="B167" i="70"/>
  <c r="B166" i="70"/>
  <c r="B165" i="70"/>
  <c r="B164" i="70"/>
  <c r="B163" i="70"/>
  <c r="B162" i="70"/>
  <c r="B161" i="70"/>
  <c r="B160" i="70"/>
  <c r="B159" i="70"/>
  <c r="B156" i="70"/>
  <c r="B155" i="70"/>
  <c r="B154" i="70"/>
  <c r="B153" i="70"/>
  <c r="B152" i="70"/>
  <c r="B151" i="70"/>
  <c r="B150" i="70"/>
  <c r="B149" i="70"/>
  <c r="B148" i="70"/>
  <c r="B147" i="70"/>
  <c r="B146" i="70"/>
  <c r="B145" i="70"/>
  <c r="B144" i="70"/>
  <c r="B143" i="70"/>
  <c r="D140" i="70"/>
  <c r="D139" i="70"/>
  <c r="B138" i="70"/>
  <c r="E137" i="70"/>
  <c r="B137" i="70"/>
  <c r="B136" i="70"/>
  <c r="B135" i="70"/>
  <c r="B134" i="70"/>
  <c r="B133" i="70"/>
  <c r="D132" i="70"/>
  <c r="B132" i="70"/>
  <c r="E131" i="70"/>
  <c r="E130" i="70"/>
  <c r="E129" i="70"/>
  <c r="E128" i="70"/>
  <c r="E127" i="70"/>
  <c r="E126" i="70"/>
  <c r="E125" i="70"/>
  <c r="E124" i="70"/>
  <c r="E123" i="70"/>
  <c r="B123" i="70"/>
  <c r="E122" i="70"/>
  <c r="B122" i="70"/>
  <c r="E121" i="70"/>
  <c r="B121" i="70"/>
  <c r="E120" i="70"/>
  <c r="B120" i="70"/>
  <c r="E119" i="70"/>
  <c r="B119" i="70"/>
  <c r="E118" i="70"/>
  <c r="B118" i="70"/>
  <c r="B117" i="70"/>
  <c r="E116" i="70"/>
  <c r="B116" i="70"/>
  <c r="E115" i="70"/>
  <c r="D115" i="70"/>
  <c r="B115" i="70"/>
  <c r="E114" i="70"/>
  <c r="D114" i="70"/>
  <c r="B114" i="70"/>
  <c r="E113" i="70"/>
  <c r="D113" i="70"/>
  <c r="B113" i="70"/>
  <c r="E112" i="70"/>
  <c r="D112" i="70"/>
  <c r="B112" i="70"/>
  <c r="E111" i="70"/>
  <c r="D111" i="70"/>
  <c r="B111" i="70"/>
  <c r="E110" i="70"/>
  <c r="D110" i="70"/>
  <c r="B110" i="70"/>
  <c r="E109" i="70"/>
  <c r="B109" i="70"/>
  <c r="E108" i="70"/>
  <c r="B108" i="70"/>
  <c r="E107" i="70"/>
  <c r="B107" i="70"/>
  <c r="E106" i="70"/>
  <c r="E105" i="70"/>
  <c r="B105" i="70"/>
  <c r="E104" i="70"/>
  <c r="B104" i="70"/>
  <c r="E103" i="70"/>
  <c r="B103" i="70"/>
  <c r="E102" i="70"/>
  <c r="B102" i="70"/>
  <c r="E101" i="70"/>
  <c r="B101" i="70"/>
  <c r="E100" i="70"/>
  <c r="B100" i="70"/>
  <c r="E99" i="70"/>
  <c r="B99" i="70"/>
  <c r="E98" i="70"/>
  <c r="D98" i="70"/>
  <c r="B98" i="70"/>
  <c r="E97" i="70"/>
  <c r="D97" i="70"/>
  <c r="B97" i="70"/>
  <c r="E96" i="70"/>
  <c r="D96" i="70"/>
  <c r="B96" i="70"/>
  <c r="E95" i="70"/>
  <c r="D95" i="70"/>
  <c r="B95" i="70"/>
  <c r="E94" i="70"/>
  <c r="D94" i="70"/>
  <c r="B94" i="70"/>
  <c r="E93" i="70"/>
  <c r="D93" i="70"/>
  <c r="B93" i="70"/>
  <c r="E92" i="70"/>
  <c r="D92" i="70"/>
  <c r="B92" i="70"/>
  <c r="E91" i="70"/>
  <c r="D91" i="70"/>
  <c r="B91" i="70"/>
  <c r="E90" i="70"/>
  <c r="D90" i="70"/>
  <c r="B90" i="70"/>
  <c r="E89" i="70"/>
  <c r="D89" i="70"/>
  <c r="B89" i="70"/>
  <c r="E88" i="70"/>
  <c r="D88" i="70"/>
  <c r="B88" i="70"/>
  <c r="E87" i="70"/>
  <c r="D87" i="70"/>
  <c r="B87" i="70"/>
  <c r="E86" i="70"/>
  <c r="D86" i="70"/>
  <c r="B86" i="70"/>
  <c r="E85" i="70"/>
  <c r="D85" i="70"/>
  <c r="B85" i="70"/>
  <c r="E84" i="70"/>
  <c r="D84" i="70"/>
  <c r="B84" i="70"/>
  <c r="E83" i="70"/>
  <c r="D83" i="70"/>
  <c r="B83" i="70"/>
  <c r="E82" i="70"/>
  <c r="D82" i="70"/>
  <c r="B82" i="70"/>
  <c r="E81" i="70"/>
  <c r="D81" i="70"/>
  <c r="B81" i="70"/>
  <c r="E80" i="70"/>
  <c r="D80" i="70"/>
  <c r="B80" i="70"/>
  <c r="E79" i="70"/>
  <c r="D79" i="70"/>
  <c r="B79" i="70"/>
  <c r="E78" i="70"/>
  <c r="D78" i="70"/>
  <c r="B78" i="70"/>
  <c r="E77" i="70"/>
  <c r="D77" i="70"/>
  <c r="B77" i="70"/>
  <c r="E76" i="70"/>
  <c r="D76" i="70"/>
  <c r="E75" i="70"/>
  <c r="D75" i="70"/>
  <c r="E74" i="70"/>
  <c r="D74" i="70"/>
  <c r="B74" i="70"/>
  <c r="E73" i="70"/>
  <c r="D73" i="70"/>
  <c r="E72" i="70"/>
  <c r="D72" i="70"/>
  <c r="E71" i="70"/>
  <c r="D71" i="70"/>
  <c r="E70" i="70"/>
  <c r="D70" i="70"/>
  <c r="E69" i="70"/>
  <c r="D69" i="70"/>
  <c r="E68" i="70"/>
  <c r="D68" i="70"/>
  <c r="E67" i="70"/>
  <c r="D67" i="70"/>
  <c r="B67" i="70"/>
  <c r="E66" i="70"/>
  <c r="D66" i="70"/>
  <c r="E65" i="70"/>
  <c r="B65" i="70"/>
  <c r="E64" i="70"/>
  <c r="D64" i="70"/>
  <c r="B64" i="70"/>
  <c r="E63" i="70"/>
  <c r="D63" i="70"/>
  <c r="B63" i="70"/>
  <c r="E62" i="70"/>
  <c r="D62" i="70"/>
  <c r="E61" i="70"/>
  <c r="D61" i="70"/>
  <c r="E60" i="70"/>
  <c r="D60" i="70"/>
  <c r="E59" i="70"/>
  <c r="D59" i="70"/>
  <c r="B59" i="70"/>
  <c r="E58" i="70"/>
  <c r="D58" i="70"/>
  <c r="B58" i="70"/>
  <c r="E57" i="70"/>
  <c r="D57" i="70"/>
  <c r="B57" i="70"/>
  <c r="E56" i="70"/>
  <c r="D56" i="70"/>
  <c r="B56" i="70"/>
  <c r="E55" i="70"/>
  <c r="D55" i="70"/>
  <c r="B55" i="70"/>
  <c r="E54" i="70"/>
  <c r="D54" i="70"/>
  <c r="B54" i="70"/>
  <c r="E53" i="70"/>
  <c r="D53" i="70"/>
  <c r="B53" i="70"/>
  <c r="B47" i="70"/>
  <c r="B31" i="70"/>
  <c r="B29" i="70"/>
  <c r="D19" i="70"/>
  <c r="E19" i="70" s="1"/>
  <c r="D18" i="70"/>
  <c r="E18" i="70" s="1"/>
  <c r="D17" i="70"/>
  <c r="E17" i="70" s="1"/>
  <c r="D16" i="70"/>
  <c r="E16" i="70" s="1"/>
  <c r="D15" i="70"/>
  <c r="E15" i="70" s="1"/>
  <c r="D14" i="70"/>
  <c r="E14" i="70" s="1"/>
  <c r="D13" i="70"/>
  <c r="E13" i="70" s="1"/>
  <c r="D12" i="70"/>
  <c r="D11" i="70"/>
  <c r="D10" i="70"/>
  <c r="D9" i="70"/>
  <c r="D8" i="70"/>
  <c r="D7" i="70"/>
  <c r="D6" i="70"/>
  <c r="D5" i="70"/>
  <c r="D4" i="70"/>
  <c r="B4" i="70"/>
  <c r="D3" i="70"/>
  <c r="D2" i="70"/>
  <c r="H2" i="71" l="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G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G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G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C27"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text>
    </comment>
    <comment ref="D65"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G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1"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G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G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G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G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G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G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G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G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G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2" authorId="0">
      <text>
        <r>
          <rPr>
            <b/>
            <sz val="9"/>
            <color indexed="81"/>
            <rFont val="宋体"/>
            <charset val="134"/>
          </rPr>
          <t>出成迷你透明已重新下單小透明1</t>
        </r>
        <r>
          <rPr>
            <b/>
            <sz val="9"/>
            <color indexed="81"/>
            <rFont val="宋体"/>
            <family val="3"/>
            <charset val="134"/>
          </rPr>
          <t>0個</t>
        </r>
      </text>
    </comment>
    <comment ref="D722" authorId="0">
      <text>
        <r>
          <rPr>
            <b/>
            <sz val="9"/>
            <color indexed="81"/>
            <rFont val="宋体"/>
            <charset val="134"/>
          </rPr>
          <t>出成迷你透明已重新下單小透明1</t>
        </r>
        <r>
          <rPr>
            <b/>
            <sz val="9"/>
            <color indexed="81"/>
            <rFont val="宋体"/>
            <family val="3"/>
            <charset val="134"/>
          </rPr>
          <t>0個</t>
        </r>
      </text>
    </comment>
    <comment ref="C724" authorId="0">
      <text>
        <r>
          <rPr>
            <b/>
            <sz val="9"/>
            <color indexed="81"/>
            <rFont val="宋体"/>
            <charset val="134"/>
          </rPr>
          <t>出成迷你透明已重新下單小透明1</t>
        </r>
        <r>
          <rPr>
            <b/>
            <sz val="9"/>
            <color indexed="81"/>
            <rFont val="宋体"/>
            <family val="3"/>
            <charset val="134"/>
          </rPr>
          <t>0個</t>
        </r>
      </text>
    </comment>
    <comment ref="D724" authorId="0">
      <text>
        <r>
          <rPr>
            <b/>
            <sz val="9"/>
            <color indexed="81"/>
            <rFont val="宋体"/>
            <charset val="134"/>
          </rPr>
          <t>出成迷你透明已重新下單小透明1</t>
        </r>
        <r>
          <rPr>
            <b/>
            <sz val="9"/>
            <color indexed="81"/>
            <rFont val="宋体"/>
            <family val="3"/>
            <charset val="134"/>
          </rPr>
          <t>0個</t>
        </r>
      </text>
    </comment>
    <comment ref="A748" authorId="0">
      <text>
        <r>
          <rPr>
            <b/>
            <sz val="9"/>
            <color indexed="81"/>
            <rFont val="宋体"/>
            <family val="3"/>
            <charset val="134"/>
          </rPr>
          <t>原錯編</t>
        </r>
        <r>
          <rPr>
            <b/>
            <sz val="9"/>
            <color indexed="81"/>
            <rFont val="Tahoma"/>
            <family val="2"/>
          </rPr>
          <t>:331.01</t>
        </r>
      </text>
    </comment>
    <comment ref="B748" authorId="0">
      <text>
        <r>
          <rPr>
            <b/>
            <sz val="9"/>
            <color indexed="81"/>
            <rFont val="宋体"/>
            <charset val="134"/>
          </rPr>
          <t>紙卡</t>
        </r>
        <r>
          <rPr>
            <b/>
            <sz val="9"/>
            <color indexed="81"/>
            <rFont val="Tahoma"/>
            <family val="2"/>
          </rPr>
          <t xml:space="preserve">4.2g
</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1" authorId="0">
      <text>
        <r>
          <rPr>
            <b/>
            <sz val="9"/>
            <color indexed="81"/>
            <rFont val="宋体"/>
            <charset val="134"/>
          </rPr>
          <t>到</t>
        </r>
        <r>
          <rPr>
            <b/>
            <sz val="9"/>
            <color indexed="81"/>
            <rFont val="Tahoma"/>
            <family val="2"/>
          </rPr>
          <t>99</t>
        </r>
        <r>
          <rPr>
            <b/>
            <sz val="9"/>
            <color indexed="81"/>
            <rFont val="宋体"/>
            <charset val="134"/>
          </rPr>
          <t>個</t>
        </r>
      </text>
    </comment>
    <comment ref="C801" authorId="0">
      <text>
        <r>
          <rPr>
            <b/>
            <sz val="9"/>
            <color indexed="81"/>
            <rFont val="宋体"/>
            <charset val="134"/>
          </rPr>
          <t>下單黑色
出成黃色</t>
        </r>
      </text>
    </comment>
    <comment ref="D802" authorId="0">
      <text>
        <r>
          <rPr>
            <b/>
            <sz val="9"/>
            <color indexed="81"/>
            <rFont val="宋体"/>
            <charset val="134"/>
          </rPr>
          <t>出</t>
        </r>
        <r>
          <rPr>
            <b/>
            <sz val="9"/>
            <color indexed="81"/>
            <rFont val="Tahoma"/>
            <family val="2"/>
          </rPr>
          <t>53</t>
        </r>
        <r>
          <rPr>
            <b/>
            <sz val="9"/>
            <color indexed="81"/>
            <rFont val="宋体"/>
            <charset val="134"/>
          </rPr>
          <t>個</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387g/1.54g</t>
        </r>
      </text>
    </comment>
    <comment ref="B811" authorId="0">
      <text>
        <r>
          <rPr>
            <b/>
            <sz val="9"/>
            <color indexed="81"/>
            <rFont val="宋体"/>
            <charset val="134"/>
          </rPr>
          <t>塑膠袋</t>
        </r>
        <r>
          <rPr>
            <b/>
            <sz val="9"/>
            <color indexed="81"/>
            <rFont val="Tahoma"/>
            <family val="2"/>
          </rPr>
          <t>:2.7g</t>
        </r>
      </text>
    </comment>
    <comment ref="D811" authorId="0">
      <text>
        <r>
          <rPr>
            <b/>
            <sz val="9"/>
            <color indexed="81"/>
            <rFont val="Tahoma"/>
            <family val="2"/>
          </rPr>
          <t>381.6g/1.52g</t>
        </r>
      </text>
    </comment>
    <comment ref="A816"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22.5*29.5</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<sst xmlns="http://schemas.openxmlformats.org/spreadsheetml/2006/main" count="12874" uniqueCount="6094">
  <si>
    <t>4040Q</t>
    <phoneticPr fontId="2" type="noConversion"/>
  </si>
  <si>
    <t>4044Q</t>
    <phoneticPr fontId="2" type="noConversion"/>
  </si>
  <si>
    <t>1044Q</t>
    <phoneticPr fontId="2" type="noConversion"/>
  </si>
  <si>
    <t>4042Q</t>
  </si>
  <si>
    <t>福怡</t>
    <phoneticPr fontId="2"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</si>
  <si>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</si>
  <si>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</si>
  <si>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</si>
  <si>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</si>
  <si>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</si>
  <si>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</si>
  <si>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</si>
  <si>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</si>
  <si>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</si>
  <si>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</si>
  <si>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</si>
  <si>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</si>
  <si>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</si>
  <si>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</si>
  <si>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</si>
  <si>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</si>
  <si>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</si>
  <si>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</si>
  <si>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</si>
  <si>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</si>
  <si>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</si>
  <si>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</si>
  <si>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</si>
  <si>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</si>
  <si>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</si>
  <si>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</si>
  <si>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</si>
  <si>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</si>
  <si>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</si>
  <si>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</si>
  <si>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</si>
  <si>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</si>
  <si>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</si>
  <si>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</si>
  <si>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</si>
  <si>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</si>
  <si>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</si>
  <si>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</si>
  <si>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</si>
  <si>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</si>
  <si>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</si>
  <si>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</si>
  <si>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</si>
  <si>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</si>
  <si>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</si>
  <si>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</si>
  <si>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</si>
  <si>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</si>
  <si>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</si>
  <si>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</si>
  <si>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</si>
  <si>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</si>
  <si>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</si>
  <si>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</si>
  <si>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</si>
  <si>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</si>
  <si>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</si>
  <si>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</si>
  <si>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</si>
  <si>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</si>
  <si>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</si>
  <si>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</si>
  <si>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</si>
  <si>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</si>
  <si>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</si>
  <si>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</si>
  <si>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</si>
  <si>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</si>
  <si>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</si>
  <si>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</si>
  <si>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</si>
  <si>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</si>
  <si>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</si>
  <si>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</si>
  <si>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</si>
  <si>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</si>
  <si>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</si>
  <si>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</si>
  <si>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</si>
  <si>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</si>
  <si>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</si>
  <si>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</si>
  <si>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</si>
  <si>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</si>
  <si>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</si>
  <si>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</si>
  <si>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</si>
  <si>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</si>
  <si>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</si>
  <si>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</si>
  <si>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</si>
  <si>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</si>
  <si>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</si>
  <si>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</si>
  <si>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</si>
  <si>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</si>
  <si>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</si>
  <si>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</si>
  <si>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</si>
  <si>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</si>
  <si>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</si>
  <si>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</si>
  <si>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</si>
  <si>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</si>
  <si>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</si>
  <si>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</si>
  <si>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</si>
  <si>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</si>
  <si>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</si>
  <si>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</si>
  <si>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</si>
  <si>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</si>
  <si>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</si>
  <si>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</si>
  <si>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</si>
  <si>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</si>
  <si>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</si>
  <si>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</si>
  <si>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</si>
  <si>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</si>
  <si>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</si>
  <si>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</si>
  <si>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</si>
  <si>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</si>
  <si>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</si>
  <si>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</si>
  <si>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</si>
  <si>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</si>
  <si>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</si>
  <si>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</si>
  <si>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</si>
  <si>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</si>
  <si>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</si>
  <si>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</si>
  <si>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</si>
  <si>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</si>
  <si>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</si>
  <si>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</si>
  <si>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</si>
  <si>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</si>
  <si>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</si>
  <si>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</si>
  <si>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</si>
  <si>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</si>
  <si>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</si>
  <si>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</si>
  <si>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</si>
  <si>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</si>
  <si>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</si>
  <si>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</si>
  <si>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</si>
  <si>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</si>
  <si>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</si>
  <si>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</si>
  <si>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</si>
  <si>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</si>
  <si>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</si>
  <si>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</si>
  <si>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</si>
  <si>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</si>
  <si>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</si>
  <si>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</si>
  <si>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</si>
  <si>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</si>
  <si>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</si>
  <si>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</si>
  <si>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</si>
  <si>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</si>
  <si>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</si>
  <si>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</si>
  <si>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</si>
  <si>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</si>
  <si>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</si>
  <si>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</si>
  <si>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</si>
  <si>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</si>
  <si>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</si>
  <si>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</si>
  <si>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</si>
  <si>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</si>
  <si>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</si>
  <si>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</si>
  <si>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</si>
  <si>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</si>
  <si>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</si>
  <si>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</si>
  <si>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</si>
  <si>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</si>
  <si>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</si>
  <si>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</si>
  <si>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</si>
  <si>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</si>
  <si>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</si>
  <si>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</si>
  <si>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</si>
  <si>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</si>
  <si>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</si>
  <si>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</si>
  <si>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</si>
  <si>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</si>
  <si>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</si>
  <si>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</si>
  <si>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</si>
  <si>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</si>
  <si>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</si>
  <si>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</si>
  <si>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</si>
  <si>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</si>
  <si>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</si>
  <si>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</si>
  <si>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</si>
  <si>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</si>
  <si>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</si>
  <si>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</si>
  <si>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</si>
  <si>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</si>
  <si>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</si>
  <si>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</si>
  <si>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</si>
  <si>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</si>
  <si>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</si>
  <si>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</si>
  <si>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</si>
  <si>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</si>
  <si>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</si>
  <si>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</si>
  <si>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</si>
  <si>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</si>
  <si>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</si>
  <si>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</si>
  <si>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</si>
  <si>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</si>
  <si>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</si>
  <si>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</si>
  <si>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</si>
  <si>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</si>
  <si>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</si>
  <si>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</si>
  <si>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</si>
  <si>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</si>
  <si>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</si>
  <si>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</si>
  <si>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</si>
  <si>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</si>
  <si>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</si>
  <si>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</si>
  <si>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</si>
  <si>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</si>
  <si>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</si>
  <si>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</si>
  <si>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</si>
  <si>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</si>
  <si>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</si>
  <si>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</si>
  <si>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</si>
  <si>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</si>
  <si>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</si>
  <si>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</si>
  <si>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</si>
  <si>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</si>
  <si>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</si>
  <si>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</si>
  <si>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</si>
  <si>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</si>
  <si>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</si>
  <si>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</si>
  <si>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</si>
  <si>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</si>
  <si>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</si>
  <si>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</si>
  <si>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</si>
  <si>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</si>
  <si>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</si>
  <si>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</si>
  <si>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</si>
  <si>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</si>
  <si>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</si>
  <si>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</si>
  <si>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</si>
  <si>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</si>
  <si>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</si>
  <si>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</si>
  <si>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</si>
  <si>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</si>
  <si>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</si>
  <si>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</si>
  <si>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</si>
  <si>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</si>
  <si>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</si>
  <si>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</si>
  <si>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</si>
  <si>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</si>
  <si>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</si>
  <si>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</si>
  <si>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</si>
  <si>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</si>
  <si>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</si>
  <si>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</si>
  <si>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</si>
  <si>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</si>
  <si>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</si>
  <si>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</si>
  <si>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</si>
  <si>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</si>
  <si>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</si>
  <si>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</si>
  <si>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</si>
  <si>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</si>
  <si>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</si>
  <si>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</si>
  <si>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</si>
  <si>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</si>
  <si>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</si>
  <si>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</si>
  <si>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</si>
  <si>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</si>
  <si>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</si>
  <si>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</si>
  <si>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</si>
  <si>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</si>
  <si>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</si>
  <si>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</si>
  <si>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</si>
  <si>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</si>
  <si>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</si>
  <si>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</si>
  <si>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</si>
  <si>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</si>
  <si>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</si>
  <si>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</si>
  <si>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</si>
  <si>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</si>
  <si>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</si>
  <si>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</si>
  <si>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</si>
  <si>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</si>
  <si>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</si>
  <si>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</si>
  <si>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</si>
  <si>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</si>
  <si>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</si>
  <si>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</si>
  <si>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</si>
  <si>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</si>
  <si>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</si>
  <si>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</si>
  <si>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</si>
  <si>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</si>
  <si>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</si>
  <si>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</si>
  <si>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</si>
  <si>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</si>
  <si>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</si>
  <si>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</si>
  <si>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</si>
  <si>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</si>
  <si>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</si>
  <si>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</si>
  <si>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</si>
  <si>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</si>
  <si>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</si>
  <si>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</si>
  <si>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</si>
  <si>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</si>
  <si>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</si>
  <si>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</si>
  <si>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</si>
  <si>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</si>
  <si>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</si>
  <si>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</si>
  <si>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</si>
  <si>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</si>
  <si>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</si>
  <si>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</si>
  <si>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</si>
  <si>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</si>
  <si>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</si>
  <si>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</si>
  <si>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</si>
  <si>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</si>
  <si>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</si>
  <si>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</si>
  <si>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</si>
  <si>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</si>
  <si>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</si>
  <si>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</si>
  <si>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</si>
  <si>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</si>
  <si>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</si>
  <si>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</si>
  <si>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</si>
  <si>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</si>
  <si>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</si>
  <si>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</si>
  <si>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</si>
  <si>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</si>
  <si>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</si>
  <si>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</si>
  <si>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</si>
  <si>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</si>
  <si>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</si>
  <si>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</si>
  <si>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</si>
  <si>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</si>
  <si>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</si>
  <si>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</si>
  <si>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</si>
  <si>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</si>
  <si>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</si>
  <si>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</si>
  <si>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</si>
  <si>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</si>
  <si>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</si>
  <si>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</si>
  <si>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</si>
  <si>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</si>
  <si>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</si>
  <si>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</si>
  <si>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</si>
  <si>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</si>
  <si>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</si>
  <si>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</si>
  <si>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</si>
  <si>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</si>
  <si>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</si>
  <si>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</si>
  <si>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</si>
  <si>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</si>
  <si>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</si>
  <si>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</si>
  <si>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</si>
  <si>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</si>
  <si>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</si>
  <si>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</si>
  <si>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</si>
  <si>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</si>
  <si>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</si>
  <si>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</si>
  <si>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</si>
  <si>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</si>
  <si>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</si>
  <si>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</si>
  <si>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</si>
  <si>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</si>
  <si>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</si>
  <si>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</si>
  <si>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</si>
  <si>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</si>
  <si>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</si>
  <si>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</si>
  <si>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</si>
  <si>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</si>
  <si>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</si>
  <si>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</si>
  <si>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</si>
  <si>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</si>
  <si>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</si>
  <si>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</si>
  <si>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</si>
  <si>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</si>
  <si>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</si>
  <si>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</si>
  <si>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</si>
  <si>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</si>
  <si>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</si>
  <si>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</si>
  <si>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</si>
  <si>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</si>
  <si>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</si>
  <si>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</si>
  <si>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</si>
  <si>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</si>
  <si>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</si>
  <si>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</si>
  <si>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</si>
  <si>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</si>
  <si>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</si>
  <si>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</si>
  <si>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</si>
  <si>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</si>
  <si>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</si>
  <si>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</si>
  <si>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</si>
  <si>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2" type="noConversion"/>
  </si>
  <si>
    <t>4分内牙(水龙头口细牙)转2分快接(配42N胶圈)</t>
    <phoneticPr fontId="2" type="noConversion"/>
  </si>
  <si>
    <t>(補貨1000个上次3000只給2000)42N胶圈配4分內牙用</t>
    <phoneticPr fontId="2" type="noConversion"/>
  </si>
  <si>
    <t>三分三通</t>
    <phoneticPr fontId="2" type="noConversion"/>
  </si>
  <si>
    <t>實付:12152.5 + 20</t>
    <phoneticPr fontId="2" type="noConversion"/>
  </si>
  <si>
    <t>寄淨寶</t>
    <phoneticPr fontId="2" type="noConversion"/>
  </si>
  <si>
    <t>內徑 12mm 外徑24.5mm 厚度3mm</t>
    <phoneticPr fontId="2" type="noConversion"/>
  </si>
  <si>
    <t>王健</t>
    <phoneticPr fontId="2" type="noConversion"/>
  </si>
  <si>
    <t>全通快運</t>
    <phoneticPr fontId="2" type="noConversion"/>
  </si>
  <si>
    <t>專車送淨寶免運費</t>
    <phoneticPr fontId="2" type="noConversion"/>
  </si>
  <si>
    <t>直接裝車出海運</t>
    <phoneticPr fontId="2" type="noConversion"/>
  </si>
  <si>
    <t>支付寶</t>
    <phoneticPr fontId="2" type="noConversion"/>
  </si>
  <si>
    <t>恆通</t>
    <phoneticPr fontId="2" type="noConversion"/>
  </si>
  <si>
    <t>實付: 4050 + 8.1</t>
    <phoneticPr fontId="2" type="noConversion"/>
  </si>
  <si>
    <t>日豐物流</t>
    <phoneticPr fontId="2" type="noConversion"/>
  </si>
  <si>
    <t>快遞寄淨寶</t>
    <phoneticPr fontId="2" type="noConversion"/>
  </si>
  <si>
    <t>80gA4雙面說明書-照片行動P1</t>
    <phoneticPr fontId="2" type="noConversion"/>
  </si>
  <si>
    <t>80gA4雙面說明書-20150405行動</t>
    <phoneticPr fontId="2" type="noConversion"/>
  </si>
  <si>
    <t>80gA4雙面說明書-20150405RO</t>
    <phoneticPr fontId="2" type="noConversion"/>
  </si>
  <si>
    <t>80gA4雙面說明書-20150405共用P1</t>
    <phoneticPr fontId="2" type="noConversion"/>
  </si>
  <si>
    <t>80gA4雙面說明書-20150405共用P2</t>
  </si>
  <si>
    <t>80gA4雙面說明書-20150405共用P3</t>
  </si>
  <si>
    <t>6分對絲用密封圈(24.5*12*3硅胶)</t>
    <phoneticPr fontId="2" type="noConversion"/>
  </si>
  <si>
    <t>實付: 4550 + 5</t>
    <phoneticPr fontId="2" type="noConversion"/>
  </si>
  <si>
    <t>卡子多寄,快遞退回</t>
    <phoneticPr fontId="2" type="noConversion"/>
  </si>
  <si>
    <t>6分八角內絲球閥</t>
    <phoneticPr fontId="2" type="noConversion"/>
  </si>
  <si>
    <t>億源</t>
    <phoneticPr fontId="2" type="noConversion"/>
  </si>
  <si>
    <t>PVC6分對絲</t>
    <phoneticPr fontId="2" type="noConversion"/>
  </si>
  <si>
    <t>捷惠</t>
    <phoneticPr fontId="2" type="noConversion"/>
  </si>
  <si>
    <t>一字型1分内牙转2分快接</t>
    <phoneticPr fontId="2" type="noConversion"/>
  </si>
  <si>
    <t>塑料水口轉換頭</t>
    <phoneticPr fontId="2" type="noConversion"/>
  </si>
  <si>
    <t>一字型2分转3分快接</t>
    <phoneticPr fontId="2" type="noConversion"/>
  </si>
  <si>
    <t>L型彎頭2分转3分快接</t>
    <phoneticPr fontId="2" type="noConversion"/>
  </si>
  <si>
    <t>實付:1660 + 3.32 + 190 + 2</t>
    <phoneticPr fontId="2" type="noConversion"/>
  </si>
  <si>
    <t>銅水口轉換頭</t>
    <phoneticPr fontId="2" type="noConversion"/>
  </si>
  <si>
    <t>韻達代收</t>
    <phoneticPr fontId="2" type="noConversion"/>
  </si>
  <si>
    <t>塑料水口轉換頭(M24/M22)</t>
    <phoneticPr fontId="2" type="noConversion"/>
  </si>
  <si>
    <t>淨寶</t>
    <phoneticPr fontId="2" type="noConversion"/>
  </si>
  <si>
    <t>泓沁</t>
    <phoneticPr fontId="2" type="noConversion"/>
  </si>
  <si>
    <t>實付:30000 + 5 + 35410 + 5</t>
    <phoneticPr fontId="2" type="noConversion"/>
  </si>
  <si>
    <t>實付: 1590 + 3.18</t>
    <phoneticPr fontId="2" type="noConversion"/>
  </si>
  <si>
    <t>四面閥</t>
    <phoneticPr fontId="2" type="noConversion"/>
  </si>
  <si>
    <t>龍邦快遞代收</t>
    <phoneticPr fontId="2" type="noConversion"/>
  </si>
  <si>
    <t>自己至常平蘆屋自取</t>
    <phoneticPr fontId="2" type="noConversion"/>
  </si>
  <si>
    <t>8W塑料蓋子</t>
  </si>
  <si>
    <t>80gA4單面說明書-WH</t>
    <phoneticPr fontId="2" type="noConversion"/>
  </si>
  <si>
    <t>支付寶: 114.96</t>
    <phoneticPr fontId="2" type="noConversion"/>
  </si>
  <si>
    <t>實付:6306 + 2</t>
    <phoneticPr fontId="2" type="noConversion"/>
  </si>
  <si>
    <t>直接寄王健代收</t>
    <phoneticPr fontId="2" type="noConversion"/>
  </si>
  <si>
    <t>優速??</t>
    <phoneticPr fontId="2" type="noConversion"/>
  </si>
  <si>
    <t>20寸PP芯</t>
    <phoneticPr fontId="2" type="noConversion"/>
  </si>
  <si>
    <t>3*8磁吸(0.3MM厚)</t>
    <phoneticPr fontId="2" type="noConversion"/>
  </si>
  <si>
    <t>20寸CTO滤芯</t>
    <phoneticPr fontId="2" type="noConversion"/>
  </si>
  <si>
    <t>支付寶: 80 + 8</t>
    <phoneticPr fontId="2" type="noConversion"/>
  </si>
  <si>
    <t>實付:5000 + 983</t>
    <phoneticPr fontId="2" type="noConversion"/>
  </si>
  <si>
    <t>直接送王健</t>
    <phoneticPr fontId="2" type="noConversion"/>
  </si>
  <si>
    <t>萬江美源達</t>
    <phoneticPr fontId="2" type="noConversion"/>
  </si>
  <si>
    <t>實付:23160 + 5</t>
    <phoneticPr fontId="2" type="noConversion"/>
  </si>
  <si>
    <t>韻達</t>
    <phoneticPr fontId="2" type="noConversion"/>
  </si>
  <si>
    <t>TDS</t>
    <phoneticPr fontId="2" type="noConversion"/>
  </si>
  <si>
    <t>快遞寄王健</t>
    <phoneticPr fontId="2" type="noConversion"/>
  </si>
  <si>
    <t>支付寶: 160 +20</t>
    <phoneticPr fontId="2" type="noConversion"/>
  </si>
  <si>
    <t>小T33</t>
    <phoneticPr fontId="2" type="noConversion"/>
  </si>
  <si>
    <t>一分内牙L接头</t>
    <phoneticPr fontId="2" type="noConversion"/>
  </si>
  <si>
    <t>實付:70000 + 5 + 11616</t>
    <phoneticPr fontId="2" type="noConversion"/>
  </si>
  <si>
    <t>白色2分PE管</t>
    <phoneticPr fontId="2" type="noConversion"/>
  </si>
  <si>
    <t>快遞寄八方</t>
    <phoneticPr fontId="2" type="noConversion"/>
  </si>
  <si>
    <t>未付下次結算</t>
    <phoneticPr fontId="2" type="noConversion"/>
  </si>
  <si>
    <t>實付:5000 + 2242</t>
    <phoneticPr fontId="2" type="noConversion"/>
  </si>
  <si>
    <t>萬江美源達(PT載)</t>
    <phoneticPr fontId="2" type="noConversion"/>
  </si>
  <si>
    <t>立卓</t>
    <phoneticPr fontId="2" type="noConversion"/>
  </si>
  <si>
    <t>實付: 2730</t>
    <phoneticPr fontId="2" type="noConversion"/>
  </si>
  <si>
    <t>五级RO（配个透明）</t>
    <phoneticPr fontId="2" type="noConversion"/>
  </si>
  <si>
    <t>美标6分八角內絲球閥</t>
    <phoneticPr fontId="2" type="noConversion"/>
  </si>
  <si>
    <t>快接小T-CTO</t>
    <phoneticPr fontId="2" type="noConversion"/>
  </si>
  <si>
    <t>快接小T-黃金椰殼</t>
    <phoneticPr fontId="2" type="noConversion"/>
  </si>
  <si>
    <t>塑料变径补芯4分转6分</t>
    <phoneticPr fontId="2" type="noConversion"/>
  </si>
  <si>
    <t>快遞送王健</t>
    <phoneticPr fontId="2" type="noConversion"/>
  </si>
  <si>
    <t>支付寶: 78</t>
    <phoneticPr fontId="2" type="noConversion"/>
  </si>
  <si>
    <t>恩泰家居</t>
    <phoneticPr fontId="2" type="noConversion"/>
  </si>
  <si>
    <t>美标6分碟柄八角內絲球阀</t>
    <phoneticPr fontId="2" type="noConversion"/>
  </si>
  <si>
    <t>快接小T-負電位</t>
    <phoneticPr fontId="2" type="noConversion"/>
  </si>
  <si>
    <t>8W扁二插110V(SJY-UV 005G)</t>
    <phoneticPr fontId="2" type="noConversion"/>
  </si>
  <si>
    <t>1.5米三色PE管</t>
    <phoneticPr fontId="2" type="noConversion"/>
  </si>
  <si>
    <t>實付: 3900</t>
    <phoneticPr fontId="2" type="noConversion"/>
  </si>
  <si>
    <t>直接寄王健</t>
    <phoneticPr fontId="2" type="noConversion"/>
  </si>
  <si>
    <t>直接寄淨寶</t>
    <phoneticPr fontId="2" type="noConversion"/>
  </si>
  <si>
    <t>專線王健代領</t>
    <phoneticPr fontId="2" type="noConversion"/>
  </si>
  <si>
    <t>實付: 3480</t>
    <phoneticPr fontId="2" type="noConversion"/>
  </si>
  <si>
    <t>支付寶: 696+104.01</t>
    <phoneticPr fontId="2" type="noConversion"/>
  </si>
  <si>
    <t>快接小T-PP</t>
    <phoneticPr fontId="2" type="noConversion"/>
  </si>
  <si>
    <t>實付: 5000 + 5000 + 37700 + 5</t>
    <phoneticPr fontId="2" type="noConversion"/>
  </si>
  <si>
    <r>
      <t>404</t>
    </r>
    <r>
      <rPr>
        <sz val="10"/>
        <rFont val="宋体"/>
        <charset val="134"/>
      </rPr>
      <t>4</t>
    </r>
    <r>
      <rPr>
        <sz val="10"/>
        <rFont val="宋体"/>
        <charset val="134"/>
      </rPr>
      <t>Q</t>
    </r>
    <phoneticPr fontId="2" type="noConversion"/>
  </si>
  <si>
    <t>六分接头</t>
    <phoneticPr fontId="2" type="noConversion"/>
  </si>
  <si>
    <t>六分垫</t>
    <phoneticPr fontId="2" type="noConversion"/>
  </si>
  <si>
    <t>10寸三级（加工费）</t>
    <phoneticPr fontId="2" type="noConversion"/>
  </si>
  <si>
    <t>5寸透瓶4分蓋</t>
    <phoneticPr fontId="2" type="noConversion"/>
  </si>
  <si>
    <t>5寸透瓶無蓋</t>
    <phoneticPr fontId="2"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</si>
  <si>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</si>
  <si>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</si>
  <si>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</si>
  <si>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</si>
  <si>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</si>
  <si>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</si>
  <si>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</si>
  <si>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</si>
  <si>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</si>
  <si>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</si>
  <si>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</si>
  <si>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</si>
  <si>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</si>
  <si>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</si>
  <si>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</si>
  <si>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</si>
  <si>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</si>
  <si>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</si>
  <si>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</si>
  <si>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</si>
  <si>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</si>
  <si>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</si>
  <si>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</si>
  <si>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</si>
  <si>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</si>
  <si>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</si>
  <si>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</si>
  <si>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</si>
  <si>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</si>
  <si>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</si>
  <si>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</si>
  <si>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</si>
  <si>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</si>
  <si>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</si>
  <si>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</si>
  <si>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</si>
  <si>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</si>
  <si>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0" type="noConversion"/>
  </si>
  <si>
    <t>10寸PP棉滤芯</t>
    <phoneticPr fontId="30" type="noConversion"/>
  </si>
  <si>
    <t>10寸CTO滤芯</t>
    <phoneticPr fontId="30" type="noConversion"/>
  </si>
  <si>
    <t>六分垫</t>
    <phoneticPr fontId="14" type="noConversion"/>
  </si>
  <si>
    <t>六分接头</t>
    <phoneticPr fontId="30" type="noConversion"/>
  </si>
  <si>
    <t>六分小密封圈</t>
    <phoneticPr fontId="28" type="noConversion"/>
  </si>
  <si>
    <t>20寸板手</t>
    <phoneticPr fontId="28" type="noConversion"/>
  </si>
  <si>
    <t>10寸扳手</t>
    <phoneticPr fontId="30"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</si>
  <si>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</si>
  <si>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</si>
  <si>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</si>
  <si>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</si>
  <si>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</si>
  <si>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</si>
  <si>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</si>
  <si>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</si>
  <si>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</si>
  <si>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</si>
  <si>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</si>
  <si>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</si>
  <si>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</si>
  <si>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</si>
  <si>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</si>
  <si>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</si>
  <si>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</si>
  <si>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</si>
  <si>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</si>
  <si>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</si>
  <si>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</si>
  <si>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</si>
  <si>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</si>
  <si>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</si>
  <si>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</si>
  <si>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</si>
  <si>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</si>
  <si>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</si>
  <si>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</si>
  <si>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</si>
  <si>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</si>
  <si>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</si>
  <si>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</si>
  <si>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</si>
  <si>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</si>
  <si>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</si>
  <si>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</si>
  <si>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</si>
  <si>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</si>
  <si>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</si>
  <si>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</si>
  <si>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</si>
  <si>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</si>
  <si>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</si>
  <si>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</si>
  <si>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</si>
  <si>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</si>
  <si>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</si>
  <si>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</si>
  <si>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</si>
  <si>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</si>
  <si>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</si>
  <si>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</si>
  <si>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</si>
  <si>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</si>
  <si>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</si>
  <si>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</si>
  <si>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</si>
  <si>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</si>
  <si>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</si>
  <si>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</si>
  <si>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</si>
  <si>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</si>
  <si>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</si>
  <si>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</si>
  <si>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</si>
  <si>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</si>
  <si>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</si>
  <si>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</si>
  <si>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</si>
  <si>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</si>
  <si>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</si>
  <si>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</si>
  <si>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</si>
  <si>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</si>
  <si>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</si>
  <si>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</si>
  <si>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</si>
  <si>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</si>
  <si>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</si>
  <si>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</si>
  <si>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</si>
  <si>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</si>
  <si>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</si>
  <si>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</si>
  <si>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</si>
  <si>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</si>
  <si>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</si>
  <si>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</si>
  <si>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</si>
  <si>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</si>
  <si>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</si>
  <si>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</si>
  <si>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</si>
  <si>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</si>
  <si>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</si>
  <si>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</si>
  <si>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</si>
  <si>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</si>
  <si>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</si>
  <si>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</si>
  <si>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</si>
  <si>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</si>
  <si>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</si>
  <si>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</si>
  <si>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</si>
  <si>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</si>
  <si>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</si>
  <si>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</si>
  <si>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</si>
  <si>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</si>
  <si>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</si>
  <si>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</si>
  <si>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</si>
  <si>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</si>
  <si>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</si>
  <si>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</si>
  <si>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</si>
  <si>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</si>
  <si>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</si>
  <si>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</si>
  <si>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</si>
  <si>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</si>
  <si>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</si>
  <si>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</si>
  <si>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</si>
  <si>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</si>
  <si>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</si>
  <si>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</si>
  <si>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</si>
  <si>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</si>
  <si>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</si>
  <si>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</si>
  <si>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</si>
  <si>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</si>
  <si>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</si>
  <si>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</si>
  <si>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</si>
  <si>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</si>
  <si>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</si>
  <si>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</si>
  <si>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</si>
  <si>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</si>
  <si>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</si>
  <si>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</si>
  <si>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</si>
  <si>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</si>
  <si>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</si>
  <si>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</si>
  <si>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</si>
  <si>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</si>
  <si>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</si>
  <si>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</si>
  <si>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</si>
  <si>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</si>
  <si>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</si>
  <si>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</si>
  <si>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</si>
  <si>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</si>
  <si>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</si>
  <si>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</si>
  <si>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</si>
  <si>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</si>
  <si>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</si>
  <si>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</si>
  <si>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</si>
  <si>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</si>
  <si>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</si>
  <si>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</si>
  <si>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</si>
  <si>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</si>
  <si>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</si>
  <si>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</si>
  <si>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</si>
  <si>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</si>
  <si>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</si>
  <si>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</si>
  <si>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</si>
  <si>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</si>
  <si>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</si>
  <si>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</si>
  <si>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</si>
  <si>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</si>
  <si>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</si>
  <si>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</si>
  <si>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</si>
  <si>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</si>
  <si>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</si>
  <si>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</si>
  <si>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</si>
  <si>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</si>
  <si>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</si>
  <si>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</si>
  <si>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</si>
  <si>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</si>
  <si>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</si>
  <si>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</si>
  <si>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</si>
  <si>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</si>
  <si>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</si>
  <si>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</si>
  <si>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</si>
  <si>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</si>
  <si>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</si>
  <si>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</si>
  <si>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</si>
  <si>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</si>
  <si>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</si>
  <si>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</si>
  <si>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</si>
  <si>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</si>
  <si>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</si>
  <si>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</si>
  <si>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</si>
  <si>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</si>
  <si>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</si>
  <si>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</si>
  <si>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</si>
  <si>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</si>
  <si>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</si>
  <si>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</si>
  <si>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</si>
  <si>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</si>
  <si>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</si>
  <si>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</si>
  <si>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</si>
  <si>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</si>
  <si>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</si>
  <si>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</si>
  <si>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</si>
  <si>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</si>
  <si>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</si>
  <si>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</si>
  <si>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</si>
  <si>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</si>
  <si>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</si>
  <si>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</si>
  <si>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</si>
  <si>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</si>
  <si>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</si>
  <si>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</si>
  <si>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</si>
  <si>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</si>
  <si>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</si>
  <si>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</si>
  <si>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</si>
  <si>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</si>
  <si>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</si>
  <si>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</si>
  <si>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</si>
  <si>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</si>
  <si>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</si>
  <si>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</si>
  <si>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</si>
  <si>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</si>
  <si>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</si>
  <si>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</si>
  <si>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</si>
  <si>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</si>
  <si>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</si>
  <si>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</si>
  <si>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</si>
  <si>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</si>
  <si>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</si>
  <si>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</si>
  <si>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</si>
  <si>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</si>
  <si>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</si>
  <si>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2" type="noConversion"/>
  </si>
  <si>
    <t>山克斯</t>
    <phoneticPr fontId="2" type="noConversion"/>
  </si>
  <si>
    <t>淘寶中國直飲水</t>
    <phoneticPr fontId="2" type="noConversion"/>
  </si>
  <si>
    <t>支付寶: 200</t>
    <phoneticPr fontId="2" type="noConversion"/>
  </si>
  <si>
    <t>80gA4雙面說明書-20150405行動</t>
    <phoneticPr fontId="2" type="noConversion"/>
  </si>
  <si>
    <t>快接头K154(二分直通)(配件-A-2)</t>
    <phoneticPr fontId="2"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</si>
  <si>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</si>
  <si>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</si>
  <si>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</si>
  <si>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</si>
  <si>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</si>
  <si>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</si>
  <si>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</si>
  <si>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2"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</si>
  <si>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</si>
  <si>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</si>
  <si>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</si>
  <si>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</si>
  <si>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</si>
  <si>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</si>
  <si>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</si>
  <si>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</si>
  <si>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</si>
  <si>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</si>
  <si>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</si>
  <si>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</si>
  <si>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</si>
  <si>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</si>
  <si>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</si>
  <si>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</si>
  <si>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</si>
  <si>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</si>
  <si>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</si>
  <si>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</si>
  <si>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</si>
  <si>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</si>
  <si>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</si>
  <si>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</si>
  <si>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</si>
  <si>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</si>
  <si>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</si>
  <si>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</si>
  <si>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</si>
  <si>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</si>
  <si>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2" type="noConversion"/>
  </si>
  <si>
    <t>福怡</t>
    <phoneticPr fontId="2" type="noConversion"/>
  </si>
  <si>
    <t>小雙夾</t>
    <phoneticPr fontId="2" type="noConversion"/>
  </si>
  <si>
    <t>萬輝1688</t>
    <phoneticPr fontId="2" type="noConversion"/>
  </si>
  <si>
    <t>支付寶: 189</t>
    <phoneticPr fontId="2" type="noConversion"/>
  </si>
  <si>
    <t>翻耕1688</t>
    <phoneticPr fontId="2" type="noConversion"/>
  </si>
  <si>
    <t>40mm1分塑料壓力表</t>
    <phoneticPr fontId="2" type="noConversion"/>
  </si>
  <si>
    <t>支付寶: 758</t>
    <phoneticPr fontId="2" type="noConversion"/>
  </si>
  <si>
    <t>40mm塑料外殼壓力表</t>
    <phoneticPr fontId="2" type="noConversion"/>
  </si>
  <si>
    <t>壓力表接头(2转1分内牙)</t>
    <phoneticPr fontId="2" type="noConversion"/>
  </si>
  <si>
    <t>壓力表接头(2转2分内牙)</t>
    <phoneticPr fontId="2" type="noConversion"/>
  </si>
  <si>
    <t>壓力表接头(2转2内牙)</t>
    <phoneticPr fontId="2" type="noConversion"/>
  </si>
  <si>
    <t>拨管工具</t>
    <phoneticPr fontId="2" type="noConversion"/>
  </si>
  <si>
    <t>2分轉1分內牙壓力表快接頭</t>
    <phoneticPr fontId="2" type="noConversion"/>
  </si>
  <si>
    <t>淘寶綠源</t>
    <phoneticPr fontId="2" type="noConversion"/>
  </si>
  <si>
    <t>支付寶: 205</t>
    <phoneticPr fontId="2" type="noConversion"/>
  </si>
  <si>
    <t>大T超濾膜</t>
    <phoneticPr fontId="2" type="noConversion"/>
  </si>
  <si>
    <t>1812膜殼超濾膜</t>
    <phoneticPr fontId="2" type="noConversion"/>
  </si>
  <si>
    <t>京廣</t>
    <phoneticPr fontId="2" type="noConversion"/>
  </si>
  <si>
    <t>順丰發王健</t>
    <phoneticPr fontId="2" type="noConversion"/>
  </si>
  <si>
    <t>偉泓1688</t>
    <phoneticPr fontId="2" type="noConversion"/>
  </si>
  <si>
    <t>10寸平口濾瓶超濾膜</t>
    <phoneticPr fontId="2" type="noConversion"/>
  </si>
  <si>
    <t>熠之辰1688</t>
    <phoneticPr fontId="2" type="noConversion"/>
  </si>
  <si>
    <t>TDS-2</t>
    <phoneticPr fontId="2" type="noConversion"/>
  </si>
  <si>
    <t>支付寶: 559 - 8(紅包) = 551</t>
    <phoneticPr fontId="2" type="noConversion"/>
  </si>
  <si>
    <t>微信:416</t>
    <phoneticPr fontId="2" type="noConversion"/>
  </si>
  <si>
    <t>潮源1688</t>
    <phoneticPr fontId="2" type="noConversion"/>
  </si>
  <si>
    <t>支付寶: 205</t>
    <phoneticPr fontId="2" type="noConversion"/>
  </si>
  <si>
    <t>支付寶: 2860</t>
    <phoneticPr fontId="2" type="noConversion"/>
  </si>
  <si>
    <t>源安達發王健</t>
    <phoneticPr fontId="2" type="noConversion"/>
  </si>
  <si>
    <t>5寸CTO</t>
    <phoneticPr fontId="2" type="noConversion"/>
  </si>
  <si>
    <t>實付: 5000 + 1980</t>
    <phoneticPr fontId="2" type="noConversion"/>
  </si>
  <si>
    <t>淘寶姚毓嬌</t>
    <phoneticPr fontId="2" type="noConversion"/>
  </si>
  <si>
    <t>支付寶: 210</t>
    <phoneticPr fontId="2" type="noConversion"/>
  </si>
  <si>
    <t>王健(QT1)</t>
    <phoneticPr fontId="2"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</si>
  <si>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</si>
  <si>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</si>
  <si>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</si>
  <si>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</si>
  <si>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</si>
  <si>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</si>
  <si>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</si>
  <si>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</si>
  <si>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</si>
  <si>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</si>
  <si>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</si>
  <si>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</si>
  <si>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</si>
  <si>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</si>
  <si>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</si>
  <si>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</si>
  <si>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2" type="noConversion"/>
  </si>
  <si>
    <t>少發3000多墊片20190615補寄</t>
    <phoneticPr fontId="2" type="noConversion"/>
  </si>
  <si>
    <t>包郵</t>
    <phoneticPr fontId="2" type="noConversion"/>
  </si>
  <si>
    <t>3*8磁吸(0.3MM厚)</t>
    <phoneticPr fontId="2" type="noConversion"/>
  </si>
  <si>
    <t>珠光膜氣泡袋</t>
    <phoneticPr fontId="2" type="noConversion"/>
  </si>
  <si>
    <t>牛皮紙氣泡袋</t>
    <phoneticPr fontId="2" type="noConversion"/>
  </si>
  <si>
    <t>透明氣泡袋</t>
    <phoneticPr fontId="2" type="noConversion"/>
  </si>
  <si>
    <t>全白快遞袋</t>
    <phoneticPr fontId="2" type="noConversion"/>
  </si>
  <si>
    <t>拉鍊袋</t>
    <phoneticPr fontId="2" type="noConversion"/>
  </si>
  <si>
    <t>透明自封袋</t>
    <phoneticPr fontId="2" type="noConversion"/>
  </si>
  <si>
    <t>鋁自封袋</t>
    <phoneticPr fontId="2" type="noConversion"/>
  </si>
  <si>
    <t>twist ties</t>
    <phoneticPr fontId="2" type="noConversion"/>
  </si>
  <si>
    <t>扎帶</t>
    <phoneticPr fontId="2" type="noConversion"/>
  </si>
  <si>
    <t>扎絲</t>
    <phoneticPr fontId="2" type="noConversion"/>
  </si>
  <si>
    <t>不鏽鋼扎帶</t>
    <phoneticPr fontId="2" type="noConversion"/>
  </si>
  <si>
    <t>hook and loop</t>
    <phoneticPr fontId="2" type="noConversion"/>
  </si>
  <si>
    <t>cable ties</t>
    <phoneticPr fontId="2" type="noConversion"/>
  </si>
  <si>
    <t>stainless cable ties</t>
    <phoneticPr fontId="2" type="noConversion"/>
  </si>
  <si>
    <t>aluminum ziplock bag</t>
    <phoneticPr fontId="2" type="noConversion"/>
  </si>
  <si>
    <t>self-seal bubble bag</t>
    <phoneticPr fontId="2" type="noConversion"/>
  </si>
  <si>
    <t>paper bubble mailer</t>
    <phoneticPr fontId="2" type="noConversion"/>
  </si>
  <si>
    <t>DIY和風膠帶</t>
    <phoneticPr fontId="2" type="noConversion"/>
  </si>
  <si>
    <t>thread sealing</t>
    <phoneticPr fontId="2" type="noConversion"/>
  </si>
  <si>
    <t>防滑膠帶</t>
    <phoneticPr fontId="2" type="noConversion"/>
  </si>
  <si>
    <t>electronic tape</t>
    <phoneticPr fontId="2" type="noConversion"/>
  </si>
  <si>
    <t>floral tape</t>
    <phoneticPr fontId="2" type="noConversion"/>
  </si>
  <si>
    <t>花藝膠帶</t>
    <phoneticPr fontId="2" type="noConversion"/>
  </si>
  <si>
    <t>把手膠帶</t>
    <phoneticPr fontId="2" type="noConversion"/>
  </si>
  <si>
    <t>high temperature tape</t>
    <phoneticPr fontId="2" type="noConversion"/>
  </si>
  <si>
    <t>copper foil tape</t>
    <phoneticPr fontId="2" type="noConversion"/>
  </si>
  <si>
    <t>銅箔膠帶</t>
    <phoneticPr fontId="2" type="noConversion"/>
  </si>
  <si>
    <t>aluminum foil tape</t>
    <phoneticPr fontId="2" type="noConversion"/>
  </si>
  <si>
    <t>鋁箔膠帶</t>
    <phoneticPr fontId="2" type="noConversion"/>
  </si>
  <si>
    <t>grafting tape</t>
    <phoneticPr fontId="2" type="noConversion"/>
  </si>
  <si>
    <t>熱縮管</t>
    <phoneticPr fontId="2" type="noConversion"/>
  </si>
  <si>
    <t>眼鏡</t>
    <phoneticPr fontId="2" type="noConversion"/>
  </si>
  <si>
    <t>鐵氟龍膠帶</t>
    <phoneticPr fontId="56" type="noConversion"/>
  </si>
  <si>
    <t>PTHE tape</t>
    <phoneticPr fontId="56" type="noConversion"/>
  </si>
  <si>
    <t>待找</t>
    <phoneticPr fontId="56" type="noConversion"/>
  </si>
  <si>
    <t>下次可進</t>
    <phoneticPr fontId="56" type="noConversion"/>
  </si>
  <si>
    <t>放棄</t>
    <phoneticPr fontId="56" type="noConversion"/>
  </si>
  <si>
    <t>龍頭濾芯</t>
    <phoneticPr fontId="2" type="noConversion"/>
  </si>
  <si>
    <t>fraicet filter</t>
    <phoneticPr fontId="2" type="noConversion"/>
  </si>
  <si>
    <t>nail</t>
    <phoneticPr fontId="56" type="noConversion"/>
  </si>
  <si>
    <t>美甲</t>
    <phoneticPr fontId="56" type="noConversion"/>
  </si>
  <si>
    <t>poly bubble mailer</t>
    <phoneticPr fontId="2" type="noConversion"/>
  </si>
  <si>
    <t>poly mailer</t>
    <phoneticPr fontId="2" type="noConversion"/>
  </si>
  <si>
    <t>resealable opp bag</t>
    <phoneticPr fontId="2" type="noConversion"/>
  </si>
  <si>
    <t>reading glasses</t>
    <phoneticPr fontId="2" type="noConversion"/>
  </si>
  <si>
    <t>heat shrink</t>
    <phoneticPr fontId="2" type="noConversion"/>
  </si>
  <si>
    <t>carburetor rubber cap plus</t>
    <phoneticPr fontId="2" type="noConversion"/>
  </si>
  <si>
    <t>不鏽鋼螺絲</t>
    <phoneticPr fontId="56" type="noConversion"/>
  </si>
  <si>
    <t>stainless screws</t>
    <phoneticPr fontId="56" type="noConversion"/>
  </si>
  <si>
    <t>USB assort</t>
    <phoneticPr fontId="56" type="noConversion"/>
  </si>
  <si>
    <t>USB</t>
    <phoneticPr fontId="56" type="noConversion"/>
  </si>
  <si>
    <t>螢光棒</t>
    <phoneticPr fontId="56" type="noConversion"/>
  </si>
  <si>
    <t>glow</t>
    <phoneticPr fontId="56" type="noConversion"/>
  </si>
  <si>
    <t>garden</t>
    <phoneticPr fontId="56" type="noConversion"/>
  </si>
  <si>
    <t>3D打印機</t>
    <phoneticPr fontId="56" type="noConversion"/>
  </si>
  <si>
    <t>園林</t>
    <phoneticPr fontId="56" type="noConversion"/>
  </si>
  <si>
    <t>3D printer</t>
    <phoneticPr fontId="56" type="noConversion"/>
  </si>
  <si>
    <t>紙膠帶</t>
    <phoneticPr fontId="56" type="noConversion"/>
  </si>
  <si>
    <t>paper tape</t>
    <phoneticPr fontId="56" type="noConversion"/>
  </si>
  <si>
    <t>收納箱盒</t>
    <phoneticPr fontId="2" type="noConversion"/>
  </si>
  <si>
    <t>plastic box</t>
    <phoneticPr fontId="2" type="noConversion"/>
  </si>
  <si>
    <t>防霉膠帶</t>
    <phoneticPr fontId="2" type="noConversion"/>
  </si>
  <si>
    <t>sealing tap strapping</t>
    <phoneticPr fontId="2" type="noConversion"/>
  </si>
  <si>
    <t>air compressor fittings</t>
    <phoneticPr fontId="56" type="noConversion"/>
  </si>
  <si>
    <t>氣動接頭</t>
    <phoneticPr fontId="56" type="noConversion"/>
  </si>
  <si>
    <t>O-ring</t>
    <phoneticPr fontId="56" type="noConversion"/>
  </si>
  <si>
    <t>密封圈墊片</t>
    <phoneticPr fontId="56" type="noConversion"/>
  </si>
  <si>
    <t>toy</t>
    <phoneticPr fontId="56" type="noConversion"/>
  </si>
  <si>
    <t>stationary</t>
    <phoneticPr fontId="56" type="noConversion"/>
  </si>
  <si>
    <t>玩具</t>
    <phoneticPr fontId="56" type="noConversion"/>
  </si>
  <si>
    <t>文具</t>
    <phoneticPr fontId="56" type="noConversion"/>
  </si>
  <si>
    <t>萬聖節</t>
    <phoneticPr fontId="56" type="noConversion"/>
  </si>
  <si>
    <t>funny hallowin</t>
    <phoneticPr fontId="56" type="noConversion"/>
  </si>
  <si>
    <t>IQ toy</t>
    <phoneticPr fontId="56" type="noConversion"/>
  </si>
  <si>
    <t>益智</t>
    <phoneticPr fontId="56" type="noConversion"/>
  </si>
  <si>
    <t>magic</t>
    <phoneticPr fontId="56" type="noConversion"/>
  </si>
  <si>
    <t>魔術</t>
    <phoneticPr fontId="56" type="noConversion"/>
  </si>
  <si>
    <t>grooming</t>
    <phoneticPr fontId="56" type="noConversion"/>
  </si>
  <si>
    <t>剪狗</t>
    <phoneticPr fontId="56" type="noConversion"/>
  </si>
  <si>
    <t>LED</t>
    <phoneticPr fontId="56" type="noConversion"/>
  </si>
  <si>
    <t>太陽能</t>
    <phoneticPr fontId="56" type="noConversion"/>
  </si>
  <si>
    <t>solary</t>
    <phoneticPr fontId="56" type="noConversion"/>
  </si>
  <si>
    <t>水族</t>
    <phoneticPr fontId="56" type="noConversion"/>
  </si>
  <si>
    <t>aquarium</t>
    <phoneticPr fontId="56" type="noConversion"/>
  </si>
  <si>
    <t>faicet plumbing</t>
    <phoneticPr fontId="56" type="noConversion"/>
  </si>
  <si>
    <t>水工</t>
    <phoneticPr fontId="56" type="noConversion"/>
  </si>
  <si>
    <t>travel adapter</t>
    <phoneticPr fontId="2" type="noConversion"/>
  </si>
  <si>
    <t>mouse</t>
    <phoneticPr fontId="2" type="noConversion"/>
  </si>
  <si>
    <t>CCTV-BNC adapter</t>
    <phoneticPr fontId="2" type="noConversion"/>
  </si>
  <si>
    <t>尺寸</t>
    <phoneticPr fontId="2" type="noConversion"/>
  </si>
  <si>
    <t>花色</t>
    <phoneticPr fontId="2" type="noConversion"/>
  </si>
  <si>
    <t>款式</t>
    <phoneticPr fontId="2" type="noConversion"/>
  </si>
  <si>
    <t>單品量</t>
    <phoneticPr fontId="2" type="noConversion"/>
  </si>
  <si>
    <t>單價</t>
    <phoneticPr fontId="2" type="noConversion"/>
  </si>
  <si>
    <t xml:space="preserve">LED </t>
    <phoneticPr fontId="56" type="noConversion"/>
  </si>
  <si>
    <t>箱數</t>
    <phoneticPr fontId="2" type="noConversion"/>
  </si>
  <si>
    <t>欣磊1688</t>
    <phoneticPr fontId="2" type="noConversion"/>
  </si>
  <si>
    <r>
      <t>3*8磁吸(0.</t>
    </r>
    <r>
      <rPr>
        <sz val="10"/>
        <rFont val="宋体"/>
        <charset val="134"/>
      </rPr>
      <t>4</t>
    </r>
    <r>
      <rPr>
        <sz val="10"/>
        <rFont val="宋体"/>
        <charset val="134"/>
      </rPr>
      <t>MM厚)</t>
    </r>
    <phoneticPr fontId="2" type="noConversion"/>
  </si>
  <si>
    <r>
      <t>實付:1</t>
    </r>
    <r>
      <rPr>
        <sz val="10"/>
        <rFont val="宋体"/>
        <charset val="134"/>
      </rPr>
      <t>950</t>
    </r>
    <phoneticPr fontId="2" type="noConversion"/>
  </si>
  <si>
    <t>金額</t>
    <phoneticPr fontId="2" type="noConversion"/>
  </si>
  <si>
    <t>鼠標墊</t>
    <phoneticPr fontId="56" type="noConversion"/>
  </si>
  <si>
    <t>mouse pad</t>
    <phoneticPr fontId="56" type="noConversion"/>
  </si>
  <si>
    <t>bubble bag</t>
    <phoneticPr fontId="2" type="noConversion"/>
  </si>
  <si>
    <t>ziplock bag</t>
    <phoneticPr fontId="2" type="noConversion"/>
  </si>
  <si>
    <t>嫁接膜</t>
    <phoneticPr fontId="2" type="noConversion"/>
  </si>
  <si>
    <t>anti-slip tape</t>
    <phoneticPr fontId="2" type="noConversion"/>
  </si>
  <si>
    <t>reflective tape</t>
    <phoneticPr fontId="2" type="noConversion"/>
  </si>
  <si>
    <t>安全膠帶</t>
    <phoneticPr fontId="2" type="noConversion"/>
  </si>
  <si>
    <t>safty tape</t>
    <phoneticPr fontId="2" type="noConversion"/>
  </si>
  <si>
    <t>glow tape</t>
    <phoneticPr fontId="2" type="noConversion"/>
  </si>
  <si>
    <t>masking tape</t>
    <phoneticPr fontId="2" type="noConversion"/>
  </si>
  <si>
    <t>double side tape</t>
    <phoneticPr fontId="2" type="noConversion"/>
  </si>
  <si>
    <t>sports tape muscle care</t>
    <phoneticPr fontId="2" type="noConversion"/>
  </si>
  <si>
    <t>sports tape elastic bandage</t>
    <phoneticPr fontId="2" type="noConversion"/>
  </si>
  <si>
    <t>washi tape</t>
    <phoneticPr fontId="2" type="noConversion"/>
  </si>
  <si>
    <t>門磁簧</t>
    <phoneticPr fontId="2" type="noConversion"/>
  </si>
  <si>
    <t>Network RJ45-RJ11-Tel-POE</t>
    <phoneticPr fontId="2" type="noConversion"/>
  </si>
  <si>
    <t>TV HDMI-RCA-DVI-VGA-DP adapter</t>
    <phoneticPr fontId="2" type="noConversion"/>
  </si>
  <si>
    <t>item</t>
    <phoneticPr fontId="2" type="noConversion"/>
  </si>
  <si>
    <t>訂單日期</t>
    <phoneticPr fontId="58" type="noConversion"/>
  </si>
  <si>
    <t>廠家</t>
    <phoneticPr fontId="58" type="noConversion"/>
  </si>
  <si>
    <t>名稱</t>
    <phoneticPr fontId="58" type="noConversion"/>
  </si>
  <si>
    <t>數量</t>
    <phoneticPr fontId="58" type="noConversion"/>
  </si>
  <si>
    <t>單價</t>
    <phoneticPr fontId="58" type="noConversion"/>
  </si>
  <si>
    <t>小計</t>
    <phoneticPr fontId="58" type="noConversion"/>
  </si>
  <si>
    <t>運費</t>
    <phoneticPr fontId="58" type="noConversion"/>
  </si>
  <si>
    <t>1688武義藝諾</t>
    <phoneticPr fontId="58" type="noConversion"/>
  </si>
  <si>
    <t>1688東莞靜尚</t>
    <phoneticPr fontId="58" type="noConversion"/>
  </si>
  <si>
    <t>支付寶: 480元</t>
    <phoneticPr fontId="58" type="noConversion"/>
  </si>
  <si>
    <t>1688深圳珍靈</t>
    <phoneticPr fontId="58" type="noConversion"/>
  </si>
  <si>
    <t>仿萍果白鼠標(裸機)</t>
    <phoneticPr fontId="58" type="noConversion"/>
  </si>
  <si>
    <t>支付寶: 138元</t>
    <phoneticPr fontId="58" type="noConversion"/>
  </si>
  <si>
    <t>IBM紅線鼠標(裸機)</t>
    <phoneticPr fontId="58" type="noConversion"/>
  </si>
  <si>
    <t>拼多多一品驕</t>
    <phoneticPr fontId="58" type="noConversion"/>
  </si>
  <si>
    <t>1688義烏吉倫</t>
    <phoneticPr fontId="58" type="noConversion"/>
  </si>
  <si>
    <t>大號帶燈假監控半球</t>
    <phoneticPr fontId="58" type="noConversion"/>
  </si>
  <si>
    <t>1688深圳晨輝</t>
    <phoneticPr fontId="58" type="noConversion"/>
  </si>
  <si>
    <t>1688寧波伊林</t>
    <phoneticPr fontId="58" type="noConversion"/>
  </si>
  <si>
    <t>1688臨海朱拉</t>
    <phoneticPr fontId="58" type="noConversion"/>
  </si>
  <si>
    <t>老花</t>
    <phoneticPr fontId="2" type="noConversion"/>
  </si>
  <si>
    <t>太陽眼鏡</t>
    <phoneticPr fontId="2" type="noConversion"/>
  </si>
  <si>
    <t>1688義烏潤景</t>
    <phoneticPr fontId="58" type="noConversion"/>
  </si>
  <si>
    <t>復古圓形玻璃太陽眼鏡-金紅水銀</t>
    <phoneticPr fontId="58" type="noConversion"/>
  </si>
  <si>
    <t>復古圓形玻璃太陽眼鏡-銀灰</t>
    <phoneticPr fontId="58" type="noConversion"/>
  </si>
  <si>
    <t>復古圓形玻璃太陽眼鏡-金金水銀</t>
    <phoneticPr fontId="58" type="noConversion"/>
  </si>
  <si>
    <t>復古圓形玻璃太陽眼鏡-金灰</t>
    <phoneticPr fontId="58" type="noConversion"/>
  </si>
  <si>
    <t>復古圓形玻璃太陽眼鏡-金藍水銀</t>
    <phoneticPr fontId="58" type="noConversion"/>
  </si>
  <si>
    <t>3026蛤蟆玻璃太陽眼鏡-銀紅水銀</t>
    <phoneticPr fontId="58" type="noConversion"/>
  </si>
  <si>
    <t>3026蛤蟆玻璃太陽眼鏡-金五彩水銀</t>
    <phoneticPr fontId="58" type="noConversion"/>
  </si>
  <si>
    <t>3026蛤蟆玻璃太陽眼鏡-金金水銀</t>
    <phoneticPr fontId="58" type="noConversion"/>
  </si>
  <si>
    <t>3026蛤蟆玻璃太陽眼鏡-金灰</t>
    <phoneticPr fontId="58" type="noConversion"/>
  </si>
  <si>
    <t>3026蛤蟆玻璃太陽眼鏡-金芭比粉</t>
    <phoneticPr fontId="58" type="noConversion"/>
  </si>
  <si>
    <t>3026蛤蟆玻璃太陽眼鏡-金藍水銀</t>
    <phoneticPr fontId="58" type="noConversion"/>
  </si>
  <si>
    <t>3026蛤蟆玻璃太陽眼鏡-銀灰</t>
    <phoneticPr fontId="58" type="noConversion"/>
  </si>
  <si>
    <t>3026蛤蟆玻璃太陽眼鏡-銀藍水銀</t>
    <phoneticPr fontId="58" type="noConversion"/>
  </si>
  <si>
    <t>3026蛤蟆玻璃太陽眼鏡-銀五彩水銀</t>
    <phoneticPr fontId="58" type="noConversion"/>
  </si>
  <si>
    <t>3026蛤蟆玻璃太陽眼鏡-銀芭比粉</t>
    <phoneticPr fontId="58" type="noConversion"/>
  </si>
  <si>
    <t>希爾頓大框太陽眼鏡-亮黑五彩</t>
    <phoneticPr fontId="58" type="noConversion"/>
  </si>
  <si>
    <t>希爾頓大框太陽眼鏡-亮黑綠</t>
    <phoneticPr fontId="58" type="noConversion"/>
  </si>
  <si>
    <t>希爾頓大框太陽眼鏡-亮黑灰</t>
    <phoneticPr fontId="58" type="noConversion"/>
  </si>
  <si>
    <t>希爾頓大框太陽眼鏡-亮黑金水銀</t>
    <phoneticPr fontId="58" type="noConversion"/>
  </si>
  <si>
    <t>戀愛先生太陽眼鏡-亮黑五彩</t>
    <phoneticPr fontId="58" type="noConversion"/>
  </si>
  <si>
    <t>戀愛先生太陽眼鏡-亮黑紅水銀</t>
    <phoneticPr fontId="58" type="noConversion"/>
  </si>
  <si>
    <t>戀愛先生太陽眼鏡-亮黑灰</t>
    <phoneticPr fontId="58" type="noConversion"/>
  </si>
  <si>
    <t>HD防護太陽眼鏡-亮黑灰</t>
    <phoneticPr fontId="58" type="noConversion"/>
  </si>
  <si>
    <t>HD防護太陽眼鏡-亮黑黃</t>
    <phoneticPr fontId="58" type="noConversion"/>
  </si>
  <si>
    <t>心型框太陽眼鏡-紫灰</t>
    <phoneticPr fontId="58" type="noConversion"/>
  </si>
  <si>
    <t>3150防護太陽眼鏡-砂黑白</t>
    <phoneticPr fontId="58" type="noConversion"/>
  </si>
  <si>
    <t>3150防護太陽眼鏡-藍灰</t>
    <phoneticPr fontId="58" type="noConversion"/>
  </si>
  <si>
    <t>3150防護太陽眼鏡-砂黑黃</t>
    <phoneticPr fontId="58" type="noConversion"/>
  </si>
  <si>
    <t>3150防護太陽眼鏡-砂黑灰</t>
    <phoneticPr fontId="58" type="noConversion"/>
  </si>
  <si>
    <t>三角型框太陽眼鏡-無框黑</t>
    <phoneticPr fontId="58" type="noConversion"/>
  </si>
  <si>
    <t>三角型框太陽眼鏡-無框茶</t>
    <phoneticPr fontId="58" type="noConversion"/>
  </si>
  <si>
    <t>三角型框太陽眼鏡-無框姚粉</t>
    <phoneticPr fontId="58" type="noConversion"/>
  </si>
  <si>
    <t>復古圓形玻璃太陽眼鏡-黑灰</t>
    <phoneticPr fontId="58" type="noConversion"/>
  </si>
  <si>
    <t>復古圓形玻璃太陽眼鏡-金五彩</t>
    <phoneticPr fontId="58" type="noConversion"/>
  </si>
  <si>
    <t>支付寶: 267.5 + 13.27元</t>
    <phoneticPr fontId="58" type="noConversion"/>
  </si>
  <si>
    <t>心型無框太陽眼鏡-黑</t>
    <phoneticPr fontId="58" type="noConversion"/>
  </si>
  <si>
    <t>心型無框太陽眼鏡-紅</t>
    <phoneticPr fontId="58" type="noConversion"/>
  </si>
  <si>
    <t>心型無框太陽眼鏡-紫</t>
    <phoneticPr fontId="58" type="noConversion"/>
  </si>
  <si>
    <t>LED眼鏡老花+100度</t>
  </si>
  <si>
    <t>LED眼鏡老花+150度</t>
  </si>
  <si>
    <t>LED眼鏡老花+200度</t>
  </si>
  <si>
    <t>LED眼鏡老花+250度</t>
  </si>
  <si>
    <t>LED眼鏡老花+300度</t>
  </si>
  <si>
    <t>LED眼鏡老花+350度</t>
  </si>
  <si>
    <t>LED眼鏡老花+400度</t>
  </si>
  <si>
    <t>LED眼鏡平光白片</t>
    <phoneticPr fontId="58" type="noConversion"/>
  </si>
  <si>
    <t>1688台州名鵬</t>
    <phoneticPr fontId="58"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</si>
  <si>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</si>
  <si>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</si>
  <si>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</si>
  <si>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</si>
  <si>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</si>
  <si>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</si>
  <si>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8" type="noConversion"/>
  </si>
  <si>
    <t>金框眼鏡老花+150度</t>
    <phoneticPr fontId="58" type="noConversion"/>
  </si>
  <si>
    <t>金框眼鏡老花+200度</t>
    <phoneticPr fontId="58" type="noConversion"/>
  </si>
  <si>
    <t>金框眼鏡老花+250度</t>
    <phoneticPr fontId="58" type="noConversion"/>
  </si>
  <si>
    <t>金框眼鏡老花+300度</t>
    <phoneticPr fontId="58" type="noConversion"/>
  </si>
  <si>
    <t>金框眼鏡老花+350度</t>
    <phoneticPr fontId="58" type="noConversion"/>
  </si>
  <si>
    <t>金框眼鏡老花+400度</t>
    <phoneticPr fontId="58"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</si>
  <si>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</si>
  <si>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</si>
  <si>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</si>
  <si>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</si>
  <si>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</si>
  <si>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</si>
  <si>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</si>
  <si>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8" type="noConversion"/>
  </si>
  <si>
    <t>1.5V*2無電池門磁簧YL-333</t>
    <phoneticPr fontId="58" type="noConversion"/>
  </si>
  <si>
    <t>1688義烏超仁</t>
    <phoneticPr fontId="58" type="noConversion"/>
  </si>
  <si>
    <r>
      <t>L</t>
    </r>
    <r>
      <rPr>
        <sz val="10"/>
        <rFont val="宋体"/>
        <charset val="134"/>
      </rPr>
      <t>ED眼鏡</t>
    </r>
    <phoneticPr fontId="2" type="noConversion"/>
  </si>
  <si>
    <t>1688臨海炫旭</t>
    <phoneticPr fontId="58" type="noConversion"/>
  </si>
  <si>
    <t>美紋紙手撕膠帶</t>
    <phoneticPr fontId="2" type="noConversion"/>
  </si>
  <si>
    <t>貓眼大框太陽眼鏡-彩框灰片</t>
    <phoneticPr fontId="58" type="noConversion"/>
  </si>
  <si>
    <t>貓眼大框太陽眼鏡-酒紅灰片</t>
    <phoneticPr fontId="58" type="noConversion"/>
  </si>
  <si>
    <t>貓眼大框太陽眼鏡-白框灰片</t>
    <phoneticPr fontId="58" type="noConversion"/>
  </si>
  <si>
    <t>貓眼大框太陽眼鏡-白豹紋灰片</t>
    <phoneticPr fontId="58" type="noConversion"/>
  </si>
  <si>
    <t>貓眼大框太陽眼鏡-黃豹紋茶片</t>
    <phoneticPr fontId="58" type="noConversion"/>
  </si>
  <si>
    <t>1688台州金卡</t>
    <phoneticPr fontId="58"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</si>
  <si>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</si>
  <si>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</si>
  <si>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</si>
  <si>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</si>
  <si>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</si>
  <si>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</si>
  <si>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8" type="noConversion"/>
  </si>
  <si>
    <t>貓眼薄片無框太陽眼鏡-茶</t>
    <phoneticPr fontId="58" type="noConversion"/>
  </si>
  <si>
    <t>貓眼薄片無框太陽眼鏡-漸變茶</t>
    <phoneticPr fontId="58" type="noConversion"/>
  </si>
  <si>
    <t>貓眼薄片無框太陽眼鏡-灰</t>
    <phoneticPr fontId="58" type="noConversion"/>
  </si>
  <si>
    <t>貓眼薄片無框太陽眼鏡-檸檬</t>
    <phoneticPr fontId="58" type="noConversion"/>
  </si>
  <si>
    <t>1688義烏粱飛</t>
    <phoneticPr fontId="58" type="noConversion"/>
  </si>
  <si>
    <t>防護眼鏡</t>
    <phoneticPr fontId="2" type="noConversion"/>
  </si>
  <si>
    <t>心型框太陽眼鏡-大紅灰</t>
    <phoneticPr fontId="58" type="noConversion"/>
  </si>
  <si>
    <t>馬賽克太陽眼鏡-亮黑黑</t>
    <phoneticPr fontId="58" type="noConversion"/>
  </si>
  <si>
    <t>馬賽克太陽眼鏡-無框黑</t>
    <phoneticPr fontId="58" type="noConversion"/>
  </si>
  <si>
    <t>馬賽克太陽眼鏡-無框藍</t>
    <phoneticPr fontId="58" type="noConversion"/>
  </si>
  <si>
    <t>1688佛山榮隆</t>
    <phoneticPr fontId="58" type="noConversion"/>
  </si>
  <si>
    <t>生料帶</t>
    <phoneticPr fontId="2" type="noConversion"/>
  </si>
  <si>
    <t>花藝膠帶12mm*27m-301深綠</t>
    <phoneticPr fontId="58" type="noConversion"/>
  </si>
  <si>
    <t>花藝膠帶12mm*27m-319深草綠</t>
    <phoneticPr fontId="58" type="noConversion"/>
  </si>
  <si>
    <t>花藝膠帶12mm*27m-317紫</t>
    <phoneticPr fontId="58" type="noConversion"/>
  </si>
  <si>
    <t>花藝膠帶12mm*27m-322紅咖</t>
    <phoneticPr fontId="58" type="noConversion"/>
  </si>
  <si>
    <t>花藝膠帶12mm*27m-316橙</t>
    <phoneticPr fontId="58" type="noConversion"/>
  </si>
  <si>
    <t>花藝膠帶12mm*27m-101墨綠</t>
    <phoneticPr fontId="58" type="noConversion"/>
  </si>
  <si>
    <t>花藝膠帶12mm*27m-325青果綠</t>
    <phoneticPr fontId="58" type="noConversion"/>
  </si>
  <si>
    <t>花藝膠帶12mm*27m-306中綠</t>
    <phoneticPr fontId="58" type="noConversion"/>
  </si>
  <si>
    <t>花藝膠帶12mm*27m-308草綠</t>
    <phoneticPr fontId="58" type="noConversion"/>
  </si>
  <si>
    <t>花藝膠帶12mm*27m-303咖啡</t>
    <phoneticPr fontId="58" type="noConversion"/>
  </si>
  <si>
    <t>花藝膠帶12mm*27m-323橄欖綠</t>
    <phoneticPr fontId="58" type="noConversion"/>
  </si>
  <si>
    <t>花藝膠帶12mm*27m-318藍</t>
    <phoneticPr fontId="58" type="noConversion"/>
  </si>
  <si>
    <t>花藝膠帶12mm*27m-321淺綠</t>
    <phoneticPr fontId="58" type="noConversion"/>
  </si>
  <si>
    <t>花藝膠帶12mm*27m-315紅</t>
    <phoneticPr fontId="58" type="noConversion"/>
  </si>
  <si>
    <t>花藝膠帶12mm*27m-305深咖</t>
    <phoneticPr fontId="58" type="noConversion"/>
  </si>
  <si>
    <t>花藝膠帶12mm*27m-312黃</t>
    <phoneticPr fontId="58" type="noConversion"/>
  </si>
  <si>
    <t>花藝膠帶12mm*27m-302白</t>
    <phoneticPr fontId="58" type="noConversion"/>
  </si>
  <si>
    <t>1688南安安沙</t>
    <phoneticPr fontId="58" type="noConversion"/>
  </si>
  <si>
    <t>生料帶17mm*20m*0.1mm</t>
    <phoneticPr fontId="58" type="noConversion"/>
  </si>
  <si>
    <t>生料帶14mm*7m*0.075mm</t>
    <phoneticPr fontId="58" type="noConversion"/>
  </si>
  <si>
    <t>1688洛陽陳旋</t>
    <phoneticPr fontId="58" type="noConversion"/>
  </si>
  <si>
    <t>嫁接膜20mm*100m-綠</t>
    <phoneticPr fontId="58" type="noConversion"/>
  </si>
  <si>
    <t>嫁接膜20mm*100m-透明</t>
    <phoneticPr fontId="58" type="noConversion"/>
  </si>
  <si>
    <t>嫁接膜30mm*100m-綠</t>
    <phoneticPr fontId="58" type="noConversion"/>
  </si>
  <si>
    <t>嫁接膜30mm*100m-透明</t>
    <phoneticPr fontId="58" type="noConversion"/>
  </si>
  <si>
    <t>1688杭州烨磊</t>
    <phoneticPr fontId="58" type="noConversion"/>
  </si>
  <si>
    <t>1688惠州永成</t>
    <phoneticPr fontId="58" type="noConversion"/>
  </si>
  <si>
    <t>1688上海益鵬</t>
    <phoneticPr fontId="58" type="noConversion"/>
  </si>
  <si>
    <t>1688泗陽康嘉</t>
    <phoneticPr fontId="58"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</si>
  <si>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</si>
  <si>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</si>
  <si>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</si>
  <si>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</si>
  <si>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</si>
  <si>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</si>
  <si>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</si>
  <si>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</si>
  <si>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</si>
  <si>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</si>
  <si>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</si>
  <si>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8" type="noConversion"/>
  </si>
  <si>
    <t>彈性繃帶25mm*4.5m-草綠色</t>
    <phoneticPr fontId="58" type="noConversion"/>
  </si>
  <si>
    <t>彈性繃帶25mm*4.5m-新膚色</t>
    <phoneticPr fontId="58" type="noConversion"/>
  </si>
  <si>
    <t>彈性繃帶25mm*4.5m-螢光橙色</t>
    <phoneticPr fontId="58"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</si>
  <si>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</si>
  <si>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</si>
  <si>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</si>
  <si>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</si>
  <si>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</si>
  <si>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</si>
  <si>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</si>
  <si>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</si>
  <si>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</si>
  <si>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</si>
  <si>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</si>
  <si>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</si>
  <si>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</si>
  <si>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8" type="noConversion"/>
  </si>
  <si>
    <t>彈性繃帶50mm*4.5m-膚色</t>
    <phoneticPr fontId="58" type="noConversion"/>
  </si>
  <si>
    <t>彈性繃帶50mm*4.5m-藍色</t>
    <phoneticPr fontId="58" type="noConversion"/>
  </si>
  <si>
    <t>夜光膠帶</t>
    <phoneticPr fontId="2" type="noConversion"/>
  </si>
  <si>
    <t>1688固安鑫創</t>
    <phoneticPr fontId="58" type="noConversion"/>
  </si>
  <si>
    <t>球拍把手膠帶25mm*110cm-黑</t>
    <phoneticPr fontId="58" type="noConversion"/>
  </si>
  <si>
    <t>球拍把手膠帶25mm*110cm-藍</t>
    <phoneticPr fontId="58" type="noConversion"/>
  </si>
  <si>
    <t>球拍把手膠帶25mm*110cm-紅</t>
    <phoneticPr fontId="58" type="noConversion"/>
  </si>
  <si>
    <t>球拍把手膠帶25mm*110cm-紫</t>
    <phoneticPr fontId="58" type="noConversion"/>
  </si>
  <si>
    <t>球拍把手膠帶25mm*110cm-黃</t>
    <phoneticPr fontId="58" type="noConversion"/>
  </si>
  <si>
    <t>高溫膠帶</t>
    <phoneticPr fontId="2" type="noConversion"/>
  </si>
  <si>
    <t>1688揭陽陽美</t>
    <phoneticPr fontId="58" type="noConversion"/>
  </si>
  <si>
    <t>夜光膠帶10mm*1m-綠</t>
    <phoneticPr fontId="58" type="noConversion"/>
  </si>
  <si>
    <t>夜光膠帶10mm*1m-N橙黄</t>
    <phoneticPr fontId="58" type="noConversion"/>
  </si>
  <si>
    <t>夜光膠帶10mm*1m-橙</t>
    <phoneticPr fontId="58" type="noConversion"/>
  </si>
  <si>
    <t>夜光膠帶10mm*1m-N藍</t>
    <phoneticPr fontId="58" type="noConversion"/>
  </si>
  <si>
    <t>夜光膠帶10mm*1m-藍綠</t>
    <phoneticPr fontId="58" type="noConversion"/>
  </si>
  <si>
    <t>夜光膠帶20mm*1m-綠</t>
  </si>
  <si>
    <t>夜光膠帶20mm*1m-藍綠</t>
  </si>
  <si>
    <t>夜光膠帶20mm*1m-橙</t>
  </si>
  <si>
    <t>夜光膠帶20mm*1m-N橙黄</t>
  </si>
  <si>
    <t>1/8</t>
    <phoneticPr fontId="58" type="noConversion"/>
  </si>
  <si>
    <t>1/4</t>
    <phoneticPr fontId="58" type="noConversion"/>
  </si>
  <si>
    <t>3/8</t>
    <phoneticPr fontId="58" type="noConversion"/>
  </si>
  <si>
    <t>1/2</t>
    <phoneticPr fontId="58" type="noConversion"/>
  </si>
  <si>
    <t>5/8</t>
    <phoneticPr fontId="58" type="noConversion"/>
  </si>
  <si>
    <t>3/4</t>
    <phoneticPr fontId="58" type="noConversion"/>
  </si>
  <si>
    <t>7/8</t>
    <phoneticPr fontId="58" type="noConversion"/>
  </si>
  <si>
    <t>反光膠帶</t>
    <phoneticPr fontId="2" type="noConversion"/>
  </si>
  <si>
    <t>1688東莞登峰</t>
    <phoneticPr fontId="58" type="noConversion"/>
  </si>
  <si>
    <t>首單免運</t>
    <phoneticPr fontId="58" type="noConversion"/>
  </si>
  <si>
    <t>1688深圳日寶</t>
    <phoneticPr fontId="58" type="noConversion"/>
  </si>
  <si>
    <t>1688廣州一休</t>
    <phoneticPr fontId="58"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</si>
  <si>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</si>
  <si>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</si>
  <si>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</si>
  <si>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</si>
  <si>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</si>
  <si>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</si>
  <si>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</si>
  <si>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</si>
  <si>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</si>
  <si>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</si>
  <si>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8" type="noConversion"/>
  </si>
  <si>
    <t>1688東莞正賢</t>
    <phoneticPr fontId="58"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</si>
  <si>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</si>
  <si>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</si>
  <si>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</si>
  <si>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</si>
  <si>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</si>
  <si>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8" type="noConversion"/>
  </si>
  <si>
    <t>單重g</t>
    <phoneticPr fontId="58" type="noConversion"/>
  </si>
  <si>
    <t>1688上海快勤</t>
    <phoneticPr fontId="58" type="noConversion"/>
  </si>
  <si>
    <t>水龍頭掛袋-咖啡#C062K</t>
    <phoneticPr fontId="58" type="noConversion"/>
  </si>
  <si>
    <t>水龍頭掛袋-北欧绿#C072K</t>
    <phoneticPr fontId="58" type="noConversion"/>
  </si>
  <si>
    <t>水龍頭掛袋-蓝色#C05BJ</t>
    <phoneticPr fontId="58" type="noConversion"/>
  </si>
  <si>
    <t>水龍頭掛袋-北欧蓝#C072J</t>
    <phoneticPr fontId="58" type="noConversion"/>
  </si>
  <si>
    <t>水龍頭掛袋-绿色#C05BK</t>
    <phoneticPr fontId="58" type="noConversion"/>
  </si>
  <si>
    <t>水龍頭掛袋-北欧黄#C072H</t>
    <phoneticPr fontId="58" type="noConversion"/>
  </si>
  <si>
    <t>水龍頭置物架掛桿套-粉色#C09K6</t>
    <phoneticPr fontId="58" type="noConversion"/>
  </si>
  <si>
    <t>水龍頭置物架掛桿套-蓝色#C09K7</t>
    <phoneticPr fontId="58" type="noConversion"/>
  </si>
  <si>
    <t>水龍頭濾芯-藍蓋活性炭滤水器#C06SC</t>
    <phoneticPr fontId="58" type="noConversion"/>
  </si>
  <si>
    <t>水龍頭濾芯-麦饭石款粉色#YPHI-462-89-139</t>
    <phoneticPr fontId="58" type="noConversion"/>
  </si>
  <si>
    <t>水龍頭水口-小風扇绿色#C07NR</t>
    <phoneticPr fontId="58" type="noConversion"/>
  </si>
  <si>
    <t>水龍頭水口-小風扇蓝色#C07NQ</t>
    <phoneticPr fontId="58" type="noConversion"/>
  </si>
  <si>
    <t>水龍頭水口-短喇叭粉色#C08S2</t>
    <phoneticPr fontId="58" type="noConversion"/>
  </si>
  <si>
    <t>馬賽克太陽眼鏡-無框粉色</t>
  </si>
  <si>
    <t>心型框太陽眼鏡-粉色灰</t>
  </si>
  <si>
    <t>LED閃光百葉窗眼鏡-粉色</t>
  </si>
  <si>
    <t>貓眼薄片無框太陽眼鏡-粉色</t>
  </si>
  <si>
    <t>花藝膠帶12mm*27m-302粉色</t>
  </si>
  <si>
    <t>肌肉貼25mm*5m-粉色</t>
    <phoneticPr fontId="58" type="noConversion"/>
  </si>
  <si>
    <t>彈性繃帶25mm*4.5m-粉色</t>
    <phoneticPr fontId="58" type="noConversion"/>
  </si>
  <si>
    <t>彈性繃帶25mm*4.5m-螢光粉色</t>
    <phoneticPr fontId="58" type="noConversion"/>
  </si>
  <si>
    <t>彈性繃帶50mm*4.5m-粉色</t>
    <phoneticPr fontId="58" type="noConversion"/>
  </si>
  <si>
    <t>彈性繃帶50mm*4.5m-螢光粉色</t>
    <phoneticPr fontId="58" type="noConversion"/>
  </si>
  <si>
    <t>水龍頭掛袋-粉色#C05BH</t>
  </si>
  <si>
    <t>水龍頭水口-長喇叭粉色#C08RY</t>
    <phoneticPr fontId="58" type="noConversion"/>
  </si>
  <si>
    <t>水龍頭水口-長喇叭蓝色#C08S0</t>
    <phoneticPr fontId="58" type="noConversion"/>
  </si>
  <si>
    <t>水龍頭濾芯-圆活性炭滤水器#C06SE</t>
    <phoneticPr fontId="58" type="noConversion"/>
  </si>
  <si>
    <t>水龍頭水口-長喇叭紫色#C08RX</t>
    <phoneticPr fontId="58" type="noConversion"/>
  </si>
  <si>
    <t>水龍頭水口-短喇叭蓝色#C08S3</t>
    <phoneticPr fontId="58" type="noConversion"/>
  </si>
  <si>
    <t>水龍頭濾芯-麦饭石款蓝色#YPHI-462-1-139</t>
    <phoneticPr fontId="58" type="noConversion"/>
  </si>
  <si>
    <t>水龍頭濾芯-麦饭石款白色#YPHI-462-3-139</t>
    <phoneticPr fontId="58" type="noConversion"/>
  </si>
  <si>
    <t>水龍頭水口-小風扇粉色#C07NP</t>
    <phoneticPr fontId="58" type="noConversion"/>
  </si>
  <si>
    <t>水龍頭水口-短喇叭紫色#C08S1</t>
    <phoneticPr fontId="58" type="noConversion"/>
  </si>
  <si>
    <t>自熔止漏水膠帶10cm*10cm-黑</t>
  </si>
  <si>
    <t>自熔止漏水膠帶10cm*10cm-白</t>
  </si>
  <si>
    <t>自熔止漏水膠帶10cm*10cm-透明</t>
  </si>
  <si>
    <t>1688瑞安恆成</t>
    <phoneticPr fontId="58" type="noConversion"/>
  </si>
  <si>
    <t>氣球圓點膠</t>
    <phoneticPr fontId="2" type="noConversion"/>
  </si>
  <si>
    <r>
      <t>b</t>
    </r>
    <r>
      <rPr>
        <sz val="10"/>
        <rFont val="宋体"/>
        <charset val="134"/>
      </rPr>
      <t>alloon tape</t>
    </r>
    <phoneticPr fontId="2" type="noConversion"/>
  </si>
  <si>
    <t>氣球鏈</t>
    <phoneticPr fontId="2" type="noConversion"/>
  </si>
  <si>
    <t>氣球彩帶</t>
    <phoneticPr fontId="2"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</si>
  <si>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</si>
  <si>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</si>
  <si>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</si>
  <si>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</si>
  <si>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</si>
  <si>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</si>
  <si>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</si>
  <si>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8" type="noConversion"/>
  </si>
  <si>
    <t>氣球金邊彩帶16mm*12m-淺藍</t>
    <phoneticPr fontId="58" type="noConversion"/>
  </si>
  <si>
    <t>氣球金邊彩帶16mm*12m-淺紫</t>
    <phoneticPr fontId="58" type="noConversion"/>
  </si>
  <si>
    <t>1688義烏虎熠</t>
    <phoneticPr fontId="58" type="noConversion"/>
  </si>
  <si>
    <t>拼多多膠太郎</t>
    <phoneticPr fontId="58" type="noConversion"/>
  </si>
  <si>
    <t>微信: 153元 + 2元店紅包 + 15元D紅包</t>
    <phoneticPr fontId="58" type="noConversion"/>
  </si>
  <si>
    <t>送切割器+2大水筆</t>
    <phoneticPr fontId="58" type="noConversion"/>
  </si>
  <si>
    <t>4.2cm*50m透明封箱膠</t>
    <phoneticPr fontId="58" type="noConversion"/>
  </si>
  <si>
    <t>1688義烏依宇</t>
    <phoneticPr fontId="58" type="noConversion"/>
  </si>
  <si>
    <t>金屬扎絲4mm*10cm*400pcs-金</t>
    <phoneticPr fontId="58" type="noConversion"/>
  </si>
  <si>
    <t>金屬扎絲4mm*10cm*400pcs-銀</t>
    <phoneticPr fontId="58" type="noConversion"/>
  </si>
  <si>
    <t>金屬扎絲4mm*10cm*400pcs-綠</t>
    <phoneticPr fontId="58" type="noConversion"/>
  </si>
  <si>
    <t>金屬扎絲4mm*10cm*400pcs-黑</t>
    <phoneticPr fontId="58" type="noConversion"/>
  </si>
  <si>
    <t>金屬扎絲4mm*10cm*400pcs-紫</t>
    <phoneticPr fontId="58" type="noConversion"/>
  </si>
  <si>
    <t>金屬扎絲4mm*10cm*400pcs-紅</t>
    <phoneticPr fontId="58" type="noConversion"/>
  </si>
  <si>
    <t>金屬扎絲4mm*10cm*400pcs-藍</t>
    <phoneticPr fontId="58" type="noConversion"/>
  </si>
  <si>
    <t>金屬扎絲4mm*10cm*400pcs-玫紅</t>
    <phoneticPr fontId="58" type="noConversion"/>
  </si>
  <si>
    <t>紙扎絲4mm*9cm*100pcs-白英文愛心</t>
    <phoneticPr fontId="58" type="noConversion"/>
  </si>
  <si>
    <t>紙扎絲4mm*9cm*100pcs-白愛心</t>
    <phoneticPr fontId="58" type="noConversion"/>
  </si>
  <si>
    <t>紙扎絲4mm*9cm*100pcs-綠英文愛心</t>
    <phoneticPr fontId="58" type="noConversion"/>
  </si>
  <si>
    <t>紙扎絲4mm*9cm*100pcs-紅英文愛心</t>
    <phoneticPr fontId="58" type="noConversion"/>
  </si>
  <si>
    <t>紙扎絲4mm*9cm*100pcs-藍英文愛心</t>
    <phoneticPr fontId="58" type="noConversion"/>
  </si>
  <si>
    <t>紙扎絲4mm*9cm*100pcs-紫英文愛心</t>
    <phoneticPr fontId="58" type="noConversion"/>
  </si>
  <si>
    <t>紙扎絲4mm*9cm*100pcs-卡其英文愛心</t>
    <phoneticPr fontId="58" type="noConversion"/>
  </si>
  <si>
    <t>包塑扎絲4mm*9cm*100pcs-淺綠</t>
    <phoneticPr fontId="58" type="noConversion"/>
  </si>
  <si>
    <t>包塑扎絲4mm*9cm*100pcs-紅</t>
    <phoneticPr fontId="58" type="noConversion"/>
  </si>
  <si>
    <t>包塑扎絲4mm*9cm*100pcs-藍</t>
    <phoneticPr fontId="58" type="noConversion"/>
  </si>
  <si>
    <t>包塑扎絲4mm*9cm*100pcs-紫</t>
    <phoneticPr fontId="58" type="noConversion"/>
  </si>
  <si>
    <t>包塑扎絲4mm*9cm*100pcs-黃</t>
    <phoneticPr fontId="58" type="noConversion"/>
  </si>
  <si>
    <t>包塑扎絲4mm*9cm*100pcs-粉</t>
    <phoneticPr fontId="58" type="noConversion"/>
  </si>
  <si>
    <t>蝴蝶結扎絲4mm*8cm*20pcs-藍</t>
    <phoneticPr fontId="58" type="noConversion"/>
  </si>
  <si>
    <t>蝴蝶結扎絲4mm*8cm*20pcs-紅</t>
    <phoneticPr fontId="58" type="noConversion"/>
  </si>
  <si>
    <t>蝴蝶結扎絲4mm*8cm*20pcs-粉</t>
    <phoneticPr fontId="58" type="noConversion"/>
  </si>
  <si>
    <t>蝴蝶結扎絲4mm*8cm*20pcs-咖啡</t>
    <phoneticPr fontId="58" type="noConversion"/>
  </si>
  <si>
    <t>蝴蝶結扎絲4mm*8cm*20pcs-紫</t>
    <phoneticPr fontId="58" type="noConversion"/>
  </si>
  <si>
    <t>1688溫州萬度</t>
    <phoneticPr fontId="58"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</si>
  <si>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</si>
  <si>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</si>
  <si>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</si>
  <si>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</si>
  <si>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</si>
  <si>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</si>
  <si>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</si>
  <si>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</si>
  <si>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</si>
  <si>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</si>
  <si>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</si>
  <si>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</si>
  <si>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</si>
  <si>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</si>
  <si>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</si>
  <si>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</si>
  <si>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</si>
  <si>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</si>
  <si>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</si>
  <si>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</si>
  <si>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</si>
  <si>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</si>
  <si>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8" type="noConversion"/>
  </si>
  <si>
    <t>不鏽鋼扎帶4.6mm*200mm</t>
    <phoneticPr fontId="58" type="noConversion"/>
  </si>
  <si>
    <t>不鏽鋼扎帶4.6mm*300mm</t>
    <phoneticPr fontId="58" type="noConversion"/>
  </si>
  <si>
    <t>不鏽鋼扎帶4.6mm*400mm</t>
    <phoneticPr fontId="58" type="noConversion"/>
  </si>
  <si>
    <t>不鏽鋼扎帶4.6mm*450mm</t>
    <phoneticPr fontId="58" type="noConversion"/>
  </si>
  <si>
    <t>不鏽鋼扎帶4.6mm*500mm</t>
    <phoneticPr fontId="58" type="noConversion"/>
  </si>
  <si>
    <t>不鏽鋼扎帶4.6mm*700mm</t>
    <phoneticPr fontId="58" type="noConversion"/>
  </si>
  <si>
    <t>1688惠州耀明</t>
    <phoneticPr fontId="58"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</si>
  <si>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</si>
  <si>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</si>
  <si>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</si>
  <si>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</si>
  <si>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</si>
  <si>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</si>
  <si>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8" type="noConversion"/>
  </si>
  <si>
    <t>縫布無膠魔術貼20mm*1m*1pair-黑</t>
    <phoneticPr fontId="58" type="noConversion"/>
  </si>
  <si>
    <t>縫布無膠魔術貼25mm*1m*1pair-黑</t>
    <phoneticPr fontId="58" type="noConversion"/>
  </si>
  <si>
    <t>LED閃光百葉窗眼鏡-藍</t>
    <phoneticPr fontId="58" type="noConversion"/>
  </si>
  <si>
    <t>LED閃光百葉窗眼鏡-綠</t>
    <phoneticPr fontId="58" type="noConversion"/>
  </si>
  <si>
    <t>LED閃光百葉窗眼鏡-紅</t>
    <phoneticPr fontId="58" type="noConversion"/>
  </si>
  <si>
    <t>九頭鳥電器膠帶18mm*10m-黑</t>
    <phoneticPr fontId="58" type="noConversion"/>
  </si>
  <si>
    <t>九頭鳥電器膠帶18mm*10m-白</t>
    <phoneticPr fontId="58" type="noConversion"/>
  </si>
  <si>
    <t>九頭鳥電器膠帶18mm*10m-紅</t>
    <phoneticPr fontId="58" type="noConversion"/>
  </si>
  <si>
    <t>九頭鳥電器膠帶18mm*10m-黃</t>
    <phoneticPr fontId="58" type="noConversion"/>
  </si>
  <si>
    <t>九頭鳥電器膠帶18mm*10m-藍</t>
    <phoneticPr fontId="58" type="noConversion"/>
  </si>
  <si>
    <t>九頭鳥電器膠帶18mm*10m-綠</t>
    <phoneticPr fontId="58" type="noConversion"/>
  </si>
  <si>
    <t>九頭鳥電器膠帶18mm*10m-黃綠</t>
    <phoneticPr fontId="58" type="noConversion"/>
  </si>
  <si>
    <t>九頭鳥電器膠帶18mm*10m-透明</t>
    <phoneticPr fontId="58" type="noConversion"/>
  </si>
  <si>
    <t>九頭鳥電器膠帶18mm*20m-黑</t>
    <phoneticPr fontId="58" type="noConversion"/>
  </si>
  <si>
    <t>九頭鳥電器膠帶18mm*20m-白</t>
    <phoneticPr fontId="58" type="noConversion"/>
  </si>
  <si>
    <t>九頭鳥電器膠帶18mm*20m-紅</t>
    <phoneticPr fontId="58" type="noConversion"/>
  </si>
  <si>
    <t>九頭鳥電器膠帶18mm*20m-黃</t>
    <phoneticPr fontId="58" type="noConversion"/>
  </si>
  <si>
    <t>九頭鳥電器膠帶18mm*20m-藍</t>
    <phoneticPr fontId="58" type="noConversion"/>
  </si>
  <si>
    <t>九頭鳥電器膠帶18mm*20m-綠</t>
    <phoneticPr fontId="58" type="noConversion"/>
  </si>
  <si>
    <t>九頭鳥電器膠帶18mm*20m-黃綠</t>
    <phoneticPr fontId="58" type="noConversion"/>
  </si>
  <si>
    <t>絨布膠帶9mm*15m</t>
    <phoneticPr fontId="58" type="noConversion"/>
  </si>
  <si>
    <t>絨布膠帶19mm*15m</t>
    <phoneticPr fontId="58" type="noConversion"/>
  </si>
  <si>
    <t>邦特鋁箔膠帶50mm*17m</t>
    <phoneticPr fontId="58" type="noConversion"/>
  </si>
  <si>
    <t>邦特鋁箔膠帶50mm*25m</t>
    <phoneticPr fontId="58" type="noConversion"/>
  </si>
  <si>
    <t>肌肉貼25mm*5m-膚色</t>
    <phoneticPr fontId="58" type="noConversion"/>
  </si>
  <si>
    <t>肌肉貼25mm*5m-黑色</t>
    <phoneticPr fontId="58" type="noConversion"/>
  </si>
  <si>
    <t>肌肉貼25mm*5m-白色</t>
    <phoneticPr fontId="58" type="noConversion"/>
  </si>
  <si>
    <t>肌肉貼25mm*5m-紅色</t>
    <phoneticPr fontId="58" type="noConversion"/>
  </si>
  <si>
    <t>肌肉貼25mm*5m-橙色</t>
    <phoneticPr fontId="58" type="noConversion"/>
  </si>
  <si>
    <t>肌肉貼25mm*5m-紫色</t>
    <phoneticPr fontId="58" type="noConversion"/>
  </si>
  <si>
    <t>肌肉貼25mm*5m-深藍色</t>
    <phoneticPr fontId="58" type="noConversion"/>
  </si>
  <si>
    <t>肌肉貼25mm*5m-淺藍色</t>
    <phoneticPr fontId="58" type="noConversion"/>
  </si>
  <si>
    <t>肌肉貼25mm*5m-黃色</t>
    <phoneticPr fontId="58" type="noConversion"/>
  </si>
  <si>
    <t>肌肉貼25mm*5m-深綠色</t>
    <phoneticPr fontId="58" type="noConversion"/>
  </si>
  <si>
    <t>肌肉貼25mm*5m-淺綠色</t>
    <phoneticPr fontId="58" type="noConversion"/>
  </si>
  <si>
    <t>PET高溫膠帶3mm*33m</t>
    <phoneticPr fontId="58" type="noConversion"/>
  </si>
  <si>
    <t>PET高溫膠帶6mm*33m</t>
    <phoneticPr fontId="58" type="noConversion"/>
  </si>
  <si>
    <t>PET高溫膠帶10mm*33m</t>
    <phoneticPr fontId="58" type="noConversion"/>
  </si>
  <si>
    <t>PET高溫膠帶12mm*33m</t>
    <phoneticPr fontId="58" type="noConversion"/>
  </si>
  <si>
    <t>單導銅箔膠帶3mm*50m</t>
    <phoneticPr fontId="58" type="noConversion"/>
  </si>
  <si>
    <t>單導銅箔膠帶6mm*20m</t>
    <phoneticPr fontId="58" type="noConversion"/>
  </si>
  <si>
    <t>單導銅箔膠帶20mm*4m</t>
    <phoneticPr fontId="58" type="noConversion"/>
  </si>
  <si>
    <t>單導銅箔膠帶50mm*2m</t>
    <phoneticPr fontId="58" type="noConversion"/>
  </si>
  <si>
    <t>雙導銅箔膠帶3mm*20m</t>
    <phoneticPr fontId="58" type="noConversion"/>
  </si>
  <si>
    <t>雙導銅箔膠帶6mm*20m</t>
    <phoneticPr fontId="58" type="noConversion"/>
  </si>
  <si>
    <t>反光晶格膠帶50mm*1m-白</t>
    <phoneticPr fontId="58" type="noConversion"/>
  </si>
  <si>
    <t>反光晶格膠帶50mm*1m-紅</t>
    <phoneticPr fontId="58" type="noConversion"/>
  </si>
  <si>
    <t>反光晶格膠帶50mm*1m-橙</t>
    <phoneticPr fontId="58" type="noConversion"/>
  </si>
  <si>
    <t>反光晶格膠帶50mm*1m-黃</t>
    <phoneticPr fontId="58" type="noConversion"/>
  </si>
  <si>
    <t>反光晶格膠帶50mm*1m-螢光綠</t>
    <phoneticPr fontId="58" type="noConversion"/>
  </si>
  <si>
    <t>反光晶格膠帶50mm*1m-白底紅箭頭</t>
    <phoneticPr fontId="58" type="noConversion"/>
  </si>
  <si>
    <t>反光晶格膠帶50mm*1m-白底藍箭頭</t>
    <phoneticPr fontId="58" type="noConversion"/>
  </si>
  <si>
    <t>反光晶格膠帶50mm*1m-黃底紅箭頭</t>
    <phoneticPr fontId="58" type="noConversion"/>
  </si>
  <si>
    <t>反光晶格膠帶50mm*1m-螢光綠底黑箭頭</t>
    <phoneticPr fontId="58" type="noConversion"/>
  </si>
  <si>
    <t>反光晶格膠帶50mm*1m-螢光綠底紅箭頭</t>
    <phoneticPr fontId="58" type="noConversion"/>
  </si>
  <si>
    <t>警告安全膠帶48mm*18m-黃黑</t>
    <phoneticPr fontId="58" type="noConversion"/>
  </si>
  <si>
    <t>警告安全膠帶48mm*18m-白綠</t>
    <phoneticPr fontId="58" type="noConversion"/>
  </si>
  <si>
    <t>警告安全膠帶48mm*18m-白紅</t>
    <phoneticPr fontId="58" type="noConversion"/>
  </si>
  <si>
    <t>警告安全膠帶48mm*18m-黃</t>
    <phoneticPr fontId="58" type="noConversion"/>
  </si>
  <si>
    <t>警告安全膠帶48mm*18m-藍</t>
    <phoneticPr fontId="58" type="noConversion"/>
  </si>
  <si>
    <t>警告安全膠帶48mm*18m-綠</t>
    <phoneticPr fontId="58" type="noConversion"/>
  </si>
  <si>
    <t>警告安全膠帶48mm*18m-紅</t>
    <phoneticPr fontId="58" type="noConversion"/>
  </si>
  <si>
    <t>警告安全膠帶48mm*18m-黑</t>
    <phoneticPr fontId="58" type="noConversion"/>
  </si>
  <si>
    <t>警告安全膠帶48mm*18m-白</t>
    <phoneticPr fontId="58" type="noConversion"/>
  </si>
  <si>
    <t>車用強力泡棉雙面膠帶2mm*3m</t>
    <phoneticPr fontId="58" type="noConversion"/>
  </si>
  <si>
    <t>車用強力泡棉雙面膠帶6mm*3m</t>
    <phoneticPr fontId="58" type="noConversion"/>
  </si>
  <si>
    <t>車用強力泡棉雙面膠帶12mm*3m</t>
    <phoneticPr fontId="58" type="noConversion"/>
  </si>
  <si>
    <t>車用強力泡棉雙面膠帶20mm*3m</t>
    <phoneticPr fontId="58" type="noConversion"/>
  </si>
  <si>
    <t>車用強力泡棉雙面膠帶25mm*3m</t>
    <phoneticPr fontId="58" type="noConversion"/>
  </si>
  <si>
    <t>車用強力泡棉雙面膠帶40mm*3m</t>
    <phoneticPr fontId="58" type="noConversion"/>
  </si>
  <si>
    <t>車用強力泡棉雙面膠帶50mm*3m</t>
    <phoneticPr fontId="58" type="noConversion"/>
  </si>
  <si>
    <t>納米魔術膠帶1mm*3cm*1m</t>
    <phoneticPr fontId="58" type="noConversion"/>
  </si>
  <si>
    <t>納米魔術膠帶1mm*3cm*3m</t>
    <phoneticPr fontId="58" type="noConversion"/>
  </si>
  <si>
    <t>納米魔術膠帶2mm*3cm*1m</t>
    <phoneticPr fontId="58" type="noConversion"/>
  </si>
  <si>
    <t>納米魔術膠帶1mm*2cm*5m</t>
    <phoneticPr fontId="58" type="noConversion"/>
  </si>
  <si>
    <t>自熔止漏水膠帶10cm*1.5m-黑</t>
    <phoneticPr fontId="58" type="noConversion"/>
  </si>
  <si>
    <t>自熔止漏水膠帶10cm*1.5m-白</t>
    <phoneticPr fontId="58" type="noConversion"/>
  </si>
  <si>
    <t>自熔止漏水膠帶10cm*1.5m-透明</t>
    <phoneticPr fontId="58" type="noConversion"/>
  </si>
  <si>
    <t>氣球圓點膠-100點</t>
    <phoneticPr fontId="58" type="noConversion"/>
  </si>
  <si>
    <t>氣球鏈5m-透明單孔</t>
    <phoneticPr fontId="58" type="noConversion"/>
  </si>
  <si>
    <t>氣球鏈5m-透明雙孔</t>
    <phoneticPr fontId="58" type="noConversion"/>
  </si>
  <si>
    <t>氣球鏈5m-馬卡龍粉</t>
    <phoneticPr fontId="58" type="noConversion"/>
  </si>
  <si>
    <t>氣球鏈5m-馬卡龍黃</t>
    <phoneticPr fontId="58" type="noConversion"/>
  </si>
  <si>
    <t>氣球鏈5m-馬卡龍橘</t>
    <phoneticPr fontId="58" type="noConversion"/>
  </si>
  <si>
    <t>氣球鏈15m-單孔</t>
    <phoneticPr fontId="58" type="noConversion"/>
  </si>
  <si>
    <t>氣球鏈15m-雙孔</t>
    <phoneticPr fontId="58" type="noConversion"/>
  </si>
  <si>
    <t>氣球鏈5m-六花式</t>
    <phoneticPr fontId="58" type="noConversion"/>
  </si>
  <si>
    <t>氣球彩帶15mm*30m-藍</t>
    <phoneticPr fontId="58" type="noConversion"/>
  </si>
  <si>
    <t>氣球彩帶15mm*30m-粉</t>
    <phoneticPr fontId="58" type="noConversion"/>
  </si>
  <si>
    <t>氣球彩帶15mm*30m-白</t>
    <phoneticPr fontId="58" type="noConversion"/>
  </si>
  <si>
    <t>氣球彩帶15mm*30m-黃</t>
    <phoneticPr fontId="58" type="noConversion"/>
  </si>
  <si>
    <t>氣球彩帶15mm*30m-紅</t>
    <phoneticPr fontId="58" type="noConversion"/>
  </si>
  <si>
    <t>氣球彩帶15mm*30m-綠</t>
    <phoneticPr fontId="58" type="noConversion"/>
  </si>
  <si>
    <t>氣球彩帶15mm*30m-紫</t>
    <phoneticPr fontId="58" type="noConversion"/>
  </si>
  <si>
    <t>氣球彩帶15mm*30m-玫紅</t>
    <phoneticPr fontId="58" type="noConversion"/>
  </si>
  <si>
    <t>4.5cm*70m-透明黃封箱膠</t>
    <phoneticPr fontId="58" type="noConversion"/>
  </si>
  <si>
    <t>背膠圓點魔術貼15mm*30pair-黑</t>
    <phoneticPr fontId="58" type="noConversion"/>
  </si>
  <si>
    <t>背膠圓點魔術貼15mm*30pair-白</t>
    <phoneticPr fontId="58" type="noConversion"/>
  </si>
  <si>
    <t>背膠圓點魔術貼20mm*20pair-黑</t>
    <phoneticPr fontId="58" type="noConversion"/>
  </si>
  <si>
    <t>背膠圓點魔術貼20mm*20pair-白</t>
    <phoneticPr fontId="58" type="noConversion"/>
  </si>
  <si>
    <t>背膠圓點魔術貼30mm*9pair-黑</t>
    <phoneticPr fontId="58" type="noConversion"/>
  </si>
  <si>
    <t>背膠圓點魔術貼30mm*9pair-白</t>
    <phoneticPr fontId="58" type="noConversion"/>
  </si>
  <si>
    <t>背膠圓點魔術貼50mm*4pair-黑</t>
    <phoneticPr fontId="58" type="noConversion"/>
  </si>
  <si>
    <t>背膠圓點魔術貼50mm*4pair-白</t>
    <phoneticPr fontId="58"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</si>
  <si>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</si>
  <si>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</si>
  <si>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</si>
  <si>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</si>
  <si>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</si>
  <si>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</si>
  <si>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</si>
  <si>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</si>
  <si>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</si>
  <si>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8"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</si>
  <si>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</si>
  <si>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</si>
  <si>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</si>
  <si>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</si>
  <si>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</si>
  <si>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</si>
  <si>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</si>
  <si>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</si>
  <si>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</si>
  <si>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</si>
  <si>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8" type="noConversion"/>
  </si>
  <si>
    <t>3/16</t>
    <phoneticPr fontId="58" type="noConversion"/>
  </si>
  <si>
    <t>快速分线夾</t>
    <phoneticPr fontId="2" type="noConversion"/>
  </si>
  <si>
    <t>wire splice</t>
    <phoneticPr fontId="2" type="noConversion"/>
  </si>
  <si>
    <t>terminals</t>
    <phoneticPr fontId="2" type="noConversion"/>
  </si>
  <si>
    <t>PVC中間對接頭-BV</t>
    <phoneticPr fontId="2" type="noConversion"/>
  </si>
  <si>
    <t>熱縮中間對接頭-BHT</t>
    <phoneticPr fontId="2" type="noConversion"/>
  </si>
  <si>
    <t>焊錫中間對接頭-SST-S</t>
    <phoneticPr fontId="2" type="noConversion"/>
  </si>
  <si>
    <t>T型接线夾t-tap</t>
    <phoneticPr fontId="2" type="noConversion"/>
  </si>
  <si>
    <t>PVC子彈頭端子</t>
    <phoneticPr fontId="2" type="noConversion"/>
  </si>
  <si>
    <t>熱縮子彈頭端子</t>
    <phoneticPr fontId="2" type="noConversion"/>
  </si>
  <si>
    <t>熱縮插簧端子</t>
    <phoneticPr fontId="2" type="noConversion"/>
  </si>
  <si>
    <t>冷壓銅鼻子lug ring</t>
    <phoneticPr fontId="2" type="noConversion"/>
  </si>
  <si>
    <r>
      <t>P</t>
    </r>
    <r>
      <rPr>
        <sz val="10"/>
        <rFont val="宋体"/>
        <charset val="134"/>
      </rPr>
      <t>VC-Y型</t>
    </r>
    <phoneticPr fontId="2" type="noConversion"/>
  </si>
  <si>
    <r>
      <t>P</t>
    </r>
    <r>
      <rPr>
        <sz val="10"/>
        <rFont val="宋体"/>
        <charset val="134"/>
      </rPr>
      <t>VC-環型</t>
    </r>
    <phoneticPr fontId="2" type="noConversion"/>
  </si>
  <si>
    <t>1688溫州欣朗</t>
    <phoneticPr fontId="58" type="noConversion"/>
  </si>
  <si>
    <t>熱縮管3mm-黑</t>
    <phoneticPr fontId="58" type="noConversion"/>
  </si>
  <si>
    <t>熱縮管14mm-黑</t>
    <phoneticPr fontId="58" type="noConversion"/>
  </si>
  <si>
    <t>熱縮管1mm-黑</t>
    <phoneticPr fontId="58" type="noConversion"/>
  </si>
  <si>
    <t>熱縮管2.5mm-黑</t>
    <phoneticPr fontId="58" type="noConversion"/>
  </si>
  <si>
    <t>熱縮管2mm-黑</t>
    <phoneticPr fontId="58" type="noConversion"/>
  </si>
  <si>
    <t>熱縮管3mm-紅</t>
    <phoneticPr fontId="58" type="noConversion"/>
  </si>
  <si>
    <t>熱縮管14mm-紅</t>
    <phoneticPr fontId="58" type="noConversion"/>
  </si>
  <si>
    <t>熱縮管7mm-紅</t>
    <phoneticPr fontId="58" type="noConversion"/>
  </si>
  <si>
    <t>熱縮管10mm-紅</t>
    <phoneticPr fontId="58" type="noConversion"/>
  </si>
  <si>
    <t>熱縮管5mm-紅</t>
    <phoneticPr fontId="58" type="noConversion"/>
  </si>
  <si>
    <t>熱縮管7mm-黑</t>
    <phoneticPr fontId="58" type="noConversion"/>
  </si>
  <si>
    <t>熱縮管5mm-黑</t>
    <phoneticPr fontId="58" type="noConversion"/>
  </si>
  <si>
    <t>熱縮管1.5mm-黑</t>
    <phoneticPr fontId="58" type="noConversion"/>
  </si>
  <si>
    <t>熱縮管10mm-黑</t>
    <phoneticPr fontId="58" type="noConversion"/>
  </si>
  <si>
    <t>801P3快速接線夾-紅</t>
    <phoneticPr fontId="58" type="noConversion"/>
  </si>
  <si>
    <t>802P3快速接線夾-藍</t>
    <phoneticPr fontId="58" type="noConversion"/>
  </si>
  <si>
    <t>805P3快速接線夾-黃</t>
    <phoneticPr fontId="58" type="noConversion"/>
  </si>
  <si>
    <t>T2T型接線夾1對-藍</t>
    <phoneticPr fontId="58" type="noConversion"/>
  </si>
  <si>
    <t>T1T型接線夾1對-紅</t>
    <phoneticPr fontId="58" type="noConversion"/>
  </si>
  <si>
    <t>T5T型接線夾1對-黃</t>
    <phoneticPr fontId="58" type="noConversion"/>
  </si>
  <si>
    <t>SC6-6銅鼻子端子</t>
    <phoneticPr fontId="58" type="noConversion"/>
  </si>
  <si>
    <t>SC6-8銅鼻子端子</t>
    <phoneticPr fontId="58" type="noConversion"/>
  </si>
  <si>
    <t>SC10-6銅鼻子端子</t>
    <phoneticPr fontId="58" type="noConversion"/>
  </si>
  <si>
    <t>SC10-8銅鼻子端子</t>
    <phoneticPr fontId="58" type="noConversion"/>
  </si>
  <si>
    <t>SC16-6銅鼻子端子</t>
    <phoneticPr fontId="58" type="noConversion"/>
  </si>
  <si>
    <t>SC16-8銅鼻子端子</t>
    <phoneticPr fontId="58" type="noConversion"/>
  </si>
  <si>
    <t>SC25-6銅鼻子端子</t>
    <phoneticPr fontId="58" type="noConversion"/>
  </si>
  <si>
    <t>SC25-8銅鼻子端子</t>
    <phoneticPr fontId="58" type="noConversion"/>
  </si>
  <si>
    <t>1688樂清歐寧</t>
    <phoneticPr fontId="58" type="noConversion"/>
  </si>
  <si>
    <t>BV1.25PVC中間接頭-紅</t>
    <phoneticPr fontId="58" type="noConversion"/>
  </si>
  <si>
    <t>BV2PVC中間接頭-藍</t>
    <phoneticPr fontId="58" type="noConversion"/>
  </si>
  <si>
    <t>BV5PVC中間接頭-黃</t>
    <phoneticPr fontId="58" type="noConversion"/>
  </si>
  <si>
    <t>BHT1.25熱縮中間接頭-紅</t>
    <phoneticPr fontId="58" type="noConversion"/>
  </si>
  <si>
    <t>BHT0.5熱縮中間接頭-淺黃</t>
    <phoneticPr fontId="58" type="noConversion"/>
  </si>
  <si>
    <t>BHT2熱縮中間接頭-藍</t>
    <phoneticPr fontId="58" type="noConversion"/>
  </si>
  <si>
    <t>BHT5.5熱縮中間接頭-黃</t>
    <phoneticPr fontId="58" type="noConversion"/>
  </si>
  <si>
    <t>SST-S11焊錫中間接頭-白</t>
    <phoneticPr fontId="58" type="noConversion"/>
  </si>
  <si>
    <t>SST-S21焊錫中間接頭-紅</t>
    <phoneticPr fontId="58" type="noConversion"/>
  </si>
  <si>
    <t>SST-S31焊錫中間接頭-藍</t>
    <phoneticPr fontId="58" type="noConversion"/>
  </si>
  <si>
    <t>SST-S41焊錫中間接頭-黃</t>
    <phoneticPr fontId="58" type="noConversion"/>
  </si>
  <si>
    <t>MPD+FRD1.25-156PVC子彈型端子1對-紅</t>
    <phoneticPr fontId="58" type="noConversion"/>
  </si>
  <si>
    <t>MPD+FRD2-156PVC子彈型端子1對-藍</t>
    <phoneticPr fontId="58" type="noConversion"/>
  </si>
  <si>
    <t>MPD+FRD5.5-195PVC子彈型端子1對-黃</t>
    <phoneticPr fontId="58" type="noConversion"/>
  </si>
  <si>
    <t>1688樂清高朋</t>
    <phoneticPr fontId="58" type="noConversion"/>
  </si>
  <si>
    <t>CE-1尼龍壓線帽</t>
    <phoneticPr fontId="58" type="noConversion"/>
  </si>
  <si>
    <t>CE-2尼龍壓線帽</t>
    <phoneticPr fontId="58" type="noConversion"/>
  </si>
  <si>
    <t>CE-5尼龍壓線帽</t>
    <phoneticPr fontId="58" type="noConversion"/>
  </si>
  <si>
    <t>HMDD+FDFD1.25-250扁型熱縮端子1對-紅</t>
    <phoneticPr fontId="58" type="noConversion"/>
  </si>
  <si>
    <t>HMDD+FDFD2-250扁型熱縮端子1對-藍</t>
    <phoneticPr fontId="58" type="noConversion"/>
  </si>
  <si>
    <t>HMDD+FDFD5.5-250扁型熱縮端子1對-黃</t>
    <phoneticPr fontId="58" type="noConversion"/>
  </si>
  <si>
    <t>HMPD+HFRD1.25-156子彈型熱縮端子1對-紅</t>
    <phoneticPr fontId="58" type="noConversion"/>
  </si>
  <si>
    <t>HMPD+HFRD2-156子彈型熱縮端子1對-藍</t>
    <phoneticPr fontId="58" type="noConversion"/>
  </si>
  <si>
    <t>HMPD+HFRD5.5-195子彈型熱縮端子1對-黃</t>
    <phoneticPr fontId="58" type="noConversion"/>
  </si>
  <si>
    <t>平口OPP袋</t>
    <phoneticPr fontId="2" type="noConversion"/>
  </si>
  <si>
    <t>自粘OPP袋</t>
    <phoneticPr fontId="2" type="noConversion"/>
  </si>
  <si>
    <r>
      <t>f</t>
    </r>
    <r>
      <rPr>
        <sz val="10"/>
        <rFont val="宋体"/>
        <charset val="134"/>
      </rPr>
      <t>lat</t>
    </r>
    <r>
      <rPr>
        <sz val="10"/>
        <rFont val="宋体"/>
        <charset val="134"/>
      </rPr>
      <t xml:space="preserve"> opp bag</t>
    </r>
    <phoneticPr fontId="2" type="noConversion"/>
  </si>
  <si>
    <t>PVC插簧端子FDFD2-250/MDD2-250</t>
    <phoneticPr fontId="2" type="noConversion"/>
  </si>
  <si>
    <r>
      <t>h</t>
    </r>
    <r>
      <rPr>
        <sz val="10"/>
        <rFont val="宋体"/>
        <charset val="134"/>
      </rPr>
      <t>old item</t>
    </r>
    <phoneticPr fontId="2" type="noConversion"/>
  </si>
  <si>
    <t>旋轉式壓線帽</t>
    <phoneticPr fontId="2" type="noConversion"/>
  </si>
  <si>
    <t>809遠近無框眼鏡老花+100度</t>
    <phoneticPr fontId="58" type="noConversion"/>
  </si>
  <si>
    <t>貓眼小框太陽眼鏡-白灰片</t>
    <phoneticPr fontId="58" type="noConversion"/>
  </si>
  <si>
    <t>貓眼小框太陽眼鏡-黑灰片</t>
  </si>
  <si>
    <t>貓眼小框太陽眼鏡-紅灰片</t>
  </si>
  <si>
    <t>貓眼小框太陽眼鏡-茶灰片</t>
  </si>
  <si>
    <t>貓眼小框太陽眼鏡-白白片</t>
  </si>
  <si>
    <t>貓眼小框太陽眼鏡-黑白片</t>
  </si>
  <si>
    <t>支付寶</t>
    <phoneticPr fontId="58" type="noConversion"/>
  </si>
  <si>
    <t>微信</t>
    <phoneticPr fontId="58" type="noConversion"/>
  </si>
  <si>
    <t>支付寶: 93.6元 + 5元店紅包</t>
    <phoneticPr fontId="58" type="noConversion"/>
  </si>
  <si>
    <t>紅包</t>
    <phoneticPr fontId="58" type="noConversion"/>
  </si>
  <si>
    <t>微信: 159.4元 + 2元店紅包 + 15元D紅包</t>
    <phoneticPr fontId="58" type="noConversion"/>
  </si>
  <si>
    <t>支付寶: 317元 + 5元店紅包</t>
    <phoneticPr fontId="58" type="noConversion"/>
  </si>
  <si>
    <t>1688深圳揚誠</t>
    <phoneticPr fontId="58" type="noConversion"/>
  </si>
  <si>
    <t>1688澄海麗峰</t>
    <phoneticPr fontId="58" type="noConversion"/>
  </si>
  <si>
    <t>8絲自粘OPP袋23cm*32cm+4cm</t>
    <phoneticPr fontId="58" type="noConversion"/>
  </si>
  <si>
    <t>8絲自粘OPP袋5cm*5cm+3cm</t>
    <phoneticPr fontId="58" type="noConversion"/>
  </si>
  <si>
    <t>8絲自粘OPP袋13cm*20cm+3cm</t>
    <phoneticPr fontId="58" type="noConversion"/>
  </si>
  <si>
    <t>8絲自粘OPP袋8cm*10cm+3cm</t>
    <phoneticPr fontId="58" type="noConversion"/>
  </si>
  <si>
    <t>8絲自粘OPP袋30cm*38cm+4cm</t>
    <phoneticPr fontId="58" type="noConversion"/>
  </si>
  <si>
    <t>8絲自粘OPP袋40cm*60cm+4cm</t>
    <phoneticPr fontId="58" type="noConversion"/>
  </si>
  <si>
    <t>8絲自粘OPP袋9cm*9cm+3cm</t>
    <phoneticPr fontId="58" type="noConversion"/>
  </si>
  <si>
    <t>8絲自粘OPP袋20cm*26cm+4cm</t>
    <phoneticPr fontId="58" type="noConversion"/>
  </si>
  <si>
    <t>8絲自粘OPP袋6cm*9cm+3cm</t>
    <phoneticPr fontId="58" type="noConversion"/>
  </si>
  <si>
    <t>8絲自粘OPP袋12cm*18cm+3cm</t>
    <phoneticPr fontId="58" type="noConversion"/>
  </si>
  <si>
    <t>8絲自粘OPP袋14cm*25cm+3cm</t>
    <phoneticPr fontId="58" type="noConversion"/>
  </si>
  <si>
    <t>8絲自粘OPP袋26cm*30cm+4cm</t>
    <phoneticPr fontId="58" type="noConversion"/>
  </si>
  <si>
    <t>8絲自粘OPP袋10cm*16cm+3cm</t>
    <phoneticPr fontId="58" type="noConversion"/>
  </si>
  <si>
    <t>8絲自粘OPP袋20cm*30cm+4cm</t>
    <phoneticPr fontId="58" type="noConversion"/>
  </si>
  <si>
    <t>8絲自粘OPP袋18cm*30cm+3cm</t>
    <phoneticPr fontId="58" type="noConversion"/>
  </si>
  <si>
    <t>8絲自粘OPP袋15cm*21cm+3cm</t>
    <phoneticPr fontId="58" type="noConversion"/>
  </si>
  <si>
    <t>8絲自粘OPP袋11cm*15cm+3cm</t>
    <phoneticPr fontId="58" type="noConversion"/>
  </si>
  <si>
    <t>1688義烏帕客</t>
    <phoneticPr fontId="58" type="noConversion"/>
  </si>
  <si>
    <t>7絲自粘OPP袋4cm*4cm+2cm</t>
    <phoneticPr fontId="58" type="noConversion"/>
  </si>
  <si>
    <t>7絲自粘OPP袋3cm*4cm+2cm</t>
    <phoneticPr fontId="58" type="noConversion"/>
  </si>
  <si>
    <t>5絲自粘OPP袋5cm*27cm+3cm</t>
    <phoneticPr fontId="58" type="noConversion"/>
  </si>
  <si>
    <t>7絲自粘OPP袋6cm*10cm+2cm</t>
    <phoneticPr fontId="58" type="noConversion"/>
  </si>
  <si>
    <t>5絲自粘OPP袋5cm*21cm+3cm</t>
    <phoneticPr fontId="58" type="noConversion"/>
  </si>
  <si>
    <t>5絲自粘OPP袋4cm*7cm+2cm</t>
    <phoneticPr fontId="58" type="noConversion"/>
  </si>
  <si>
    <t>1688義烏澤林</t>
    <phoneticPr fontId="58" type="noConversion"/>
  </si>
  <si>
    <t>7絲平口OPP袋10cm*15cm</t>
    <phoneticPr fontId="58" type="noConversion"/>
  </si>
  <si>
    <t>7絲平口OPP袋8cm*12cm</t>
    <phoneticPr fontId="58" type="noConversion"/>
  </si>
  <si>
    <t>7絲平口OPP袋18cm*25cm</t>
    <phoneticPr fontId="58" type="noConversion"/>
  </si>
  <si>
    <t>7絲平口OPP袋30cm*40cm</t>
    <phoneticPr fontId="58" type="noConversion"/>
  </si>
  <si>
    <t>7絲平口OPP袋25cm*35cm</t>
    <phoneticPr fontId="58" type="noConversion"/>
  </si>
  <si>
    <t>7絲平口OPP袋7cm*10cm</t>
    <phoneticPr fontId="58" type="noConversion"/>
  </si>
  <si>
    <t>7絲平口OPP袋13cm*18cm</t>
    <phoneticPr fontId="58" type="noConversion"/>
  </si>
  <si>
    <t>7絲平口OPP袋14cm*20cm</t>
    <phoneticPr fontId="58" type="noConversion"/>
  </si>
  <si>
    <t>7絲平口OPP袋23cm*33cm</t>
    <phoneticPr fontId="58" type="noConversion"/>
  </si>
  <si>
    <t>7絲平口OPP袋6cm*9cm</t>
    <phoneticPr fontId="58" type="noConversion"/>
  </si>
  <si>
    <t>7絲平口OPP袋9cm*13cm</t>
    <phoneticPr fontId="58" type="noConversion"/>
  </si>
  <si>
    <t>7絲平口OPP袋15cm*20cm</t>
    <phoneticPr fontId="58" type="noConversion"/>
  </si>
  <si>
    <t>7絲平口OPP袋15cm*23cm</t>
    <phoneticPr fontId="58" type="noConversion"/>
  </si>
  <si>
    <t>7絲平口OPP袋40cm*50cm</t>
    <phoneticPr fontId="58" type="noConversion"/>
  </si>
  <si>
    <t>7絲平口OPP袋20cm*30cm</t>
    <phoneticPr fontId="58" type="noConversion"/>
  </si>
  <si>
    <t>1688義烏博通</t>
    <phoneticPr fontId="58" type="noConversion"/>
  </si>
  <si>
    <t>7絲自粘OPP袋8cm*13cm+3cm</t>
    <phoneticPr fontId="58" type="noConversion"/>
  </si>
  <si>
    <t>7絲平口OPP袋6cm*20cm</t>
    <phoneticPr fontId="58" type="noConversion"/>
  </si>
  <si>
    <t>7絲平口OPP袋6cm*10cm</t>
    <phoneticPr fontId="58" type="noConversion"/>
  </si>
  <si>
    <t>7絲平口OPP袋6cm*15cm</t>
    <phoneticPr fontId="58" type="noConversion"/>
  </si>
  <si>
    <t>7絲平口OPP袋8cm*20cm</t>
    <phoneticPr fontId="58" type="noConversion"/>
  </si>
  <si>
    <r>
      <t>外箱</t>
    </r>
    <r>
      <rPr>
        <sz val="10"/>
        <rFont val="宋体"/>
        <charset val="134"/>
      </rPr>
      <t>50*39*40</t>
    </r>
    <phoneticPr fontId="2" type="noConversion"/>
  </si>
  <si>
    <t>1688廣州華聖源</t>
    <phoneticPr fontId="58" type="noConversion"/>
  </si>
  <si>
    <t>6絲平口OPP袋5cm*7cm</t>
    <phoneticPr fontId="58" type="noConversion"/>
  </si>
  <si>
    <t>4絲平口OPP袋5cm*12.7cm</t>
    <phoneticPr fontId="58" type="noConversion"/>
  </si>
  <si>
    <t>6絲平口OPP袋5.5cm*24cm</t>
    <phoneticPr fontId="58" type="noConversion"/>
  </si>
  <si>
    <t>6絲平口OPP袋18cm*26cm</t>
    <phoneticPr fontId="58" type="noConversion"/>
  </si>
  <si>
    <t>6絲平口OPP袋20cm*30cm</t>
    <phoneticPr fontId="58" type="noConversion"/>
  </si>
  <si>
    <t>6絲平口OPP袋23cm*33cm</t>
    <phoneticPr fontId="58"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</si>
  <si>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</si>
  <si>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</si>
  <si>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</si>
  <si>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</si>
  <si>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</si>
  <si>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</si>
  <si>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</si>
  <si>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</si>
  <si>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</si>
  <si>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</si>
  <si>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</si>
  <si>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</si>
  <si>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</si>
  <si>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</si>
  <si>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</si>
  <si>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8" type="noConversion"/>
  </si>
  <si>
    <t>8絲平口泡沫袋加厚6.5*8cm-2.5*3"</t>
    <phoneticPr fontId="58" type="noConversion"/>
  </si>
  <si>
    <t>8絲平口泡沫袋加厚8*9cm-3*3.5"</t>
    <phoneticPr fontId="58" type="noConversion"/>
  </si>
  <si>
    <t>8絲平口泡沫袋加厚8*13cm-3*5"</t>
    <phoneticPr fontId="58" type="noConversion"/>
  </si>
  <si>
    <t>us</t>
    <phoneticPr fontId="58" type="noConversion"/>
  </si>
  <si>
    <t>1688常平鴻運</t>
    <phoneticPr fontId="58"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</si>
  <si>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</si>
  <si>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</si>
  <si>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</si>
  <si>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</si>
  <si>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</si>
  <si>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</si>
  <si>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</si>
  <si>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</si>
  <si>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8" type="noConversion"/>
  </si>
  <si>
    <t>12絲白邊PE自封袋15cm*22cm</t>
    <phoneticPr fontId="58" type="noConversion"/>
  </si>
  <si>
    <t>派人送貨到聯冠</t>
    <phoneticPr fontId="58" type="noConversion"/>
  </si>
  <si>
    <t>1688佛山雙富</t>
    <phoneticPr fontId="58" type="noConversion"/>
  </si>
  <si>
    <t>11絲白邊PE自封袋4cm*6cm</t>
    <phoneticPr fontId="58" type="noConversion"/>
  </si>
  <si>
    <t>10絲白邊PE自封袋13cm*19cm</t>
    <phoneticPr fontId="58" type="noConversion"/>
  </si>
  <si>
    <t>11絲白邊PE自封袋4cm*5cm</t>
    <phoneticPr fontId="58" type="noConversion"/>
  </si>
  <si>
    <t>1688義烏佳帥</t>
    <phoneticPr fontId="58" type="noConversion"/>
  </si>
  <si>
    <t>8絲平口透明氣泡袋25cm*35cm</t>
    <phoneticPr fontId="58" type="noConversion"/>
  </si>
  <si>
    <t>8絲平口透明氣泡袋13cm*15cm</t>
    <phoneticPr fontId="58" type="noConversion"/>
  </si>
  <si>
    <t>8絲平口透明氣泡袋10cm*20cm</t>
    <phoneticPr fontId="58" type="noConversion"/>
  </si>
  <si>
    <t>8絲平口透明氣泡袋20cm*30cm</t>
    <phoneticPr fontId="58" type="noConversion"/>
  </si>
  <si>
    <t>8絲平口透明氣泡袋20cm*25cm</t>
    <phoneticPr fontId="58" type="noConversion"/>
  </si>
  <si>
    <t>8絲平口透明氣泡袋25cm*30cm</t>
    <phoneticPr fontId="58" type="noConversion"/>
  </si>
  <si>
    <t>8絲平口透明氣泡袋30cm*35cm</t>
    <phoneticPr fontId="58" type="noConversion"/>
  </si>
  <si>
    <t>8絲平口透明氣泡袋25cm*25cm</t>
    <phoneticPr fontId="58" type="noConversion"/>
  </si>
  <si>
    <t>8絲平口透明氣泡袋13cm*20cm</t>
    <phoneticPr fontId="58" type="noConversion"/>
  </si>
  <si>
    <t>8絲平口透明氣泡袋8cm*15cm</t>
    <phoneticPr fontId="58" type="noConversion"/>
  </si>
  <si>
    <t>8絲平口透明氣泡袋15cm*25cm</t>
    <phoneticPr fontId="58" type="noConversion"/>
  </si>
  <si>
    <t>8絲平口透明氣泡袋13cm*25cm</t>
    <phoneticPr fontId="58" type="noConversion"/>
  </si>
  <si>
    <t>8絲平口透明氣泡袋8cm*10cm</t>
    <phoneticPr fontId="58" type="noConversion"/>
  </si>
  <si>
    <t>8絲平口透明氣泡袋15cm*20cm</t>
    <phoneticPr fontId="58" type="noConversion"/>
  </si>
  <si>
    <t>8絲平口透明氣泡袋10cm*15cm</t>
    <phoneticPr fontId="58" type="noConversion"/>
  </si>
  <si>
    <t>8絲平口透明氣泡袋15cm*15cm</t>
    <phoneticPr fontId="58" type="noConversion"/>
  </si>
  <si>
    <t>微信: 230元 + 5元店紅包 + 20元D紅包</t>
    <phoneticPr fontId="58" type="noConversion"/>
  </si>
  <si>
    <t>16絲鋁箔自封袋9cm*13cm-黑</t>
    <phoneticPr fontId="58" type="noConversion"/>
  </si>
  <si>
    <t>16絲鋁箔自封袋9cm*13cm-白</t>
    <phoneticPr fontId="58" type="noConversion"/>
  </si>
  <si>
    <t>16絲鋁箔自封袋9cm*13cm-綠</t>
    <phoneticPr fontId="58" type="noConversion"/>
  </si>
  <si>
    <t>16絲鋁箔自封袋9cm*13cm-紫</t>
    <phoneticPr fontId="58" type="noConversion"/>
  </si>
  <si>
    <t>16絲鋁箔自封袋9cm*13cm-紅</t>
    <phoneticPr fontId="58"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</si>
  <si>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</si>
  <si>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</si>
  <si>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</si>
  <si>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</si>
  <si>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</si>
  <si>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</si>
  <si>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8" type="noConversion"/>
  </si>
  <si>
    <t>11/16</t>
    <phoneticPr fontId="58" type="noConversion"/>
  </si>
  <si>
    <t>1688義烏蓮玉</t>
    <phoneticPr fontId="58" type="noConversion"/>
  </si>
  <si>
    <t>扁形彈力線0.6mm*10m-咖啡</t>
    <phoneticPr fontId="58" type="noConversion"/>
  </si>
  <si>
    <t>扁形彈力線0.6mm*10m-金黃</t>
    <phoneticPr fontId="58" type="noConversion"/>
  </si>
  <si>
    <t>扁形彈力線0.6mm*10m-大紅</t>
    <phoneticPr fontId="58" type="noConversion"/>
  </si>
  <si>
    <t>扁形彈力線0.6mm*10m-粉色</t>
    <phoneticPr fontId="58" type="noConversion"/>
  </si>
  <si>
    <t>扁形彈力線0.6mm*10m-檸檬黃</t>
    <phoneticPr fontId="58" type="noConversion"/>
  </si>
  <si>
    <t>扁形彈力線0.6mm*10m-淺紫</t>
    <phoneticPr fontId="58" type="noConversion"/>
  </si>
  <si>
    <t>扁形彈力線0.6mm*10m-玫紅</t>
    <phoneticPr fontId="58" type="noConversion"/>
  </si>
  <si>
    <t>扁形彈力線0.6mm*10m-黑</t>
    <phoneticPr fontId="58" type="noConversion"/>
  </si>
  <si>
    <t>扁形彈力線0.6mm*10m-深紫</t>
    <phoneticPr fontId="58" type="noConversion"/>
  </si>
  <si>
    <t>扁形彈力線0.6mm*10m-天藍</t>
    <phoneticPr fontId="58" type="noConversion"/>
  </si>
  <si>
    <t>扁形彈力線0.6mm*10m-白</t>
    <phoneticPr fontId="58" type="noConversion"/>
  </si>
  <si>
    <t>扁形彈力線0.6mm*10m-綠</t>
    <phoneticPr fontId="58" type="noConversion"/>
  </si>
  <si>
    <t>扁形彈力線0.6mm*10m-寶藍</t>
    <phoneticPr fontId="58" type="noConversion"/>
  </si>
  <si>
    <t>扁形彈力線0.6mm*10m-果綠</t>
    <phoneticPr fontId="58" type="noConversion"/>
  </si>
  <si>
    <t>透明水晶彈力線0.4mm*24m</t>
    <phoneticPr fontId="58" type="noConversion"/>
  </si>
  <si>
    <t>透明水晶彈力線0.8mm*8m</t>
    <phoneticPr fontId="58" type="noConversion"/>
  </si>
  <si>
    <t>透明水晶彈力線1mm*5m</t>
    <phoneticPr fontId="58" type="noConversion"/>
  </si>
  <si>
    <t>透明水晶彈力線0.6mm*15m</t>
    <phoneticPr fontId="58"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</si>
  <si>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</si>
  <si>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</si>
  <si>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</si>
  <si>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</si>
  <si>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</si>
  <si>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</si>
  <si>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</si>
  <si>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</si>
  <si>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</si>
  <si>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</si>
  <si>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8" type="noConversion"/>
  </si>
  <si>
    <t>扁形彈力線0.6mm*60m-螢光綠</t>
    <phoneticPr fontId="58" type="noConversion"/>
  </si>
  <si>
    <t>扁形彈力線0.6mm*60m-橘紅</t>
    <phoneticPr fontId="58" type="noConversion"/>
  </si>
  <si>
    <t>扁形彈力線0.6mm*60m-橘黃</t>
    <phoneticPr fontId="58" type="noConversion"/>
  </si>
  <si>
    <t>扁形彈力線0.6mm*60m-黃</t>
    <phoneticPr fontId="58" type="noConversion"/>
  </si>
  <si>
    <t>扁形彈力線0.6mm*60m-湖藍</t>
    <phoneticPr fontId="58" type="noConversion"/>
  </si>
  <si>
    <t>扁形彈力線0.6mm*60m-淺紫</t>
    <phoneticPr fontId="58" type="noConversion"/>
  </si>
  <si>
    <t>扁形彈力線0.6mm*60m-紅紫</t>
    <phoneticPr fontId="58" type="noConversion"/>
  </si>
  <si>
    <t>16絲鋁箔自封袋6尺寸樣品</t>
    <phoneticPr fontId="58" type="noConversion"/>
  </si>
  <si>
    <t>16絲鋁箔自立袋6尺寸樣品</t>
    <phoneticPr fontId="58" type="noConversion"/>
  </si>
  <si>
    <t>1688義烏國嵐</t>
    <phoneticPr fontId="58" type="noConversion"/>
  </si>
  <si>
    <t>反光織帶2.5cm:1cm-橘紅</t>
  </si>
  <si>
    <t>反光織帶2.5cm:1cm-黑</t>
  </si>
  <si>
    <t>反光織帶2.5cm:1cm-螢光綠</t>
  </si>
  <si>
    <t>反光織帶5cm:1.5cm-橘紅</t>
  </si>
  <si>
    <t>反光織帶5cm:1.5cm-黑</t>
  </si>
  <si>
    <t>反光織帶5cm:1.5cm-螢光綠</t>
  </si>
  <si>
    <t>1688義烏瑩寶</t>
    <phoneticPr fontId="58" type="noConversion"/>
  </si>
  <si>
    <t>圓7格收納盒-透明</t>
    <phoneticPr fontId="58" type="noConversion"/>
  </si>
  <si>
    <t>圓7格收納盒-黃</t>
    <phoneticPr fontId="58" type="noConversion"/>
  </si>
  <si>
    <t>圓7格收納盒-藍</t>
    <phoneticPr fontId="58" type="noConversion"/>
  </si>
  <si>
    <t>圓7格收納盒-綠</t>
    <phoneticPr fontId="58" type="noConversion"/>
  </si>
  <si>
    <t>圓7格收納盒-粉紅</t>
    <phoneticPr fontId="58" type="noConversion"/>
  </si>
  <si>
    <t>立方雙扣收納盒-黃</t>
  </si>
  <si>
    <t>立方雙扣收納盒-藍</t>
  </si>
  <si>
    <t>立方雙扣收納盒-綠</t>
  </si>
  <si>
    <t>立方雙扣收納盒-粉紅</t>
  </si>
  <si>
    <t>10格可拆收納盒-透明</t>
    <phoneticPr fontId="58" type="noConversion"/>
  </si>
  <si>
    <t>粉餅收納盒-透明</t>
    <phoneticPr fontId="58" type="noConversion"/>
  </si>
  <si>
    <t>10格可拆收納盒-粉紅</t>
    <phoneticPr fontId="58" type="noConversion"/>
  </si>
  <si>
    <t>10格可拆收納盒-橙</t>
    <phoneticPr fontId="58" type="noConversion"/>
  </si>
  <si>
    <t>10格可拆收納盒-藍</t>
    <phoneticPr fontId="58" type="noConversion"/>
  </si>
  <si>
    <t>10格10蓋收納盒-透明</t>
    <phoneticPr fontId="58" type="noConversion"/>
  </si>
  <si>
    <t>10格10蓋收納盒-粉紅</t>
    <phoneticPr fontId="58" type="noConversion"/>
  </si>
  <si>
    <t>15格固定收納盒-透明</t>
    <phoneticPr fontId="58" type="noConversion"/>
  </si>
  <si>
    <t>1688義烏悅朗</t>
    <phoneticPr fontId="58" type="noConversion"/>
  </si>
  <si>
    <t>1688東莞永誠</t>
    <phoneticPr fontId="58" type="noConversion"/>
  </si>
  <si>
    <t>地毯膠帶50mm*10m-綠</t>
    <phoneticPr fontId="58"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</si>
  <si>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</si>
  <si>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</si>
  <si>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</si>
  <si>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</si>
  <si>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</si>
  <si>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</si>
  <si>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</si>
  <si>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</si>
  <si>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</si>
  <si>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8" type="noConversion"/>
  </si>
  <si>
    <t>乳膠拉力圈600mm*50mm*1mm-黑</t>
    <phoneticPr fontId="58" type="noConversion"/>
  </si>
  <si>
    <t>地毯膠帶50mm*10m-黑</t>
    <phoneticPr fontId="58" type="noConversion"/>
  </si>
  <si>
    <t>地毯膠帶50mm*10m-白</t>
    <phoneticPr fontId="58" type="noConversion"/>
  </si>
  <si>
    <t>地毯膠帶50mm*10m-銀</t>
    <phoneticPr fontId="58" type="noConversion"/>
  </si>
  <si>
    <t>地毯膠帶50mm*10m-紅</t>
    <phoneticPr fontId="58" type="noConversion"/>
  </si>
  <si>
    <t>地毯膠帶50mm*10m-黃</t>
    <phoneticPr fontId="58" type="noConversion"/>
  </si>
  <si>
    <t>地毯膠帶50mm*10m-藍</t>
    <phoneticPr fontId="58" type="noConversion"/>
  </si>
  <si>
    <t>地毯膠帶50mm*10m-紫</t>
    <phoneticPr fontId="58" type="noConversion"/>
  </si>
  <si>
    <t>地毯膠帶50mm*10m-棕</t>
    <phoneticPr fontId="58" type="noConversion"/>
  </si>
  <si>
    <t>地毯膠帶50mm*10m-粉紅</t>
    <phoneticPr fontId="58" type="noConversion"/>
  </si>
  <si>
    <t>1688深圳恆鑫</t>
    <phoneticPr fontId="58" type="noConversion"/>
  </si>
  <si>
    <t>地毯固定貼片130mm*25mm*2mm-黑</t>
    <phoneticPr fontId="58" type="noConversion"/>
  </si>
  <si>
    <t>地毯固定貼片130mm*25mm*2mm-白</t>
    <phoneticPr fontId="58" type="noConversion"/>
  </si>
  <si>
    <t>地毯固定貼片180mm*30mm*2mm-黑</t>
  </si>
  <si>
    <t>地毯固定貼片180mm*30mm*2mm-白</t>
  </si>
  <si>
    <t>1688義烏遠新</t>
    <phoneticPr fontId="58" type="noConversion"/>
  </si>
  <si>
    <t>磨砂防滑膠帶25mm*15m-透明</t>
    <phoneticPr fontId="58" type="noConversion"/>
  </si>
  <si>
    <t>磨砂防滑膠帶25mm*15m-黑</t>
    <phoneticPr fontId="58" type="noConversion"/>
  </si>
  <si>
    <t>磨砂防滑膠帶25mm*15m-灰</t>
    <phoneticPr fontId="58" type="noConversion"/>
  </si>
  <si>
    <t>磨砂防滑膠帶25mm*15m-黑黃</t>
    <phoneticPr fontId="58" type="noConversion"/>
  </si>
  <si>
    <t>1688義烏走馬</t>
    <phoneticPr fontId="58" type="noConversion"/>
  </si>
  <si>
    <t>微信上追加定貨</t>
    <phoneticPr fontId="58" type="noConversion"/>
  </si>
  <si>
    <t>袋類</t>
    <phoneticPr fontId="2" type="noConversion"/>
  </si>
  <si>
    <t>透明氣泡袋-定制</t>
    <phoneticPr fontId="2" type="noConversion"/>
  </si>
  <si>
    <t>封口透明氣泡袋-定制</t>
    <phoneticPr fontId="2" type="noConversion"/>
  </si>
  <si>
    <t>透明自封袋-定制</t>
    <phoneticPr fontId="2" type="noConversion"/>
  </si>
  <si>
    <t>透明自封袋-圖案</t>
    <phoneticPr fontId="2" type="noConversion"/>
  </si>
  <si>
    <t>帶類</t>
    <phoneticPr fontId="2" type="noConversion"/>
  </si>
  <si>
    <t>魔術貼-背膠條</t>
    <phoneticPr fontId="2" type="noConversion"/>
  </si>
  <si>
    <t>魔術貼-圓點</t>
    <phoneticPr fontId="2" type="noConversion"/>
  </si>
  <si>
    <t>魔術貼-縫布無膠</t>
    <phoneticPr fontId="2" type="noConversion"/>
  </si>
  <si>
    <t>魔術貼-雙面(子母)</t>
    <phoneticPr fontId="2" type="noConversion"/>
  </si>
  <si>
    <t>魔術貼-雙面綁帶</t>
    <phoneticPr fontId="2" type="noConversion"/>
  </si>
  <si>
    <t>封箱膠帶-膠台</t>
    <phoneticPr fontId="2" type="noConversion"/>
  </si>
  <si>
    <t>封箱膠帶</t>
    <phoneticPr fontId="2" type="noConversion"/>
  </si>
  <si>
    <t>電氣膠帶</t>
    <phoneticPr fontId="2" type="noConversion"/>
  </si>
  <si>
    <t>絨布膠帶</t>
    <phoneticPr fontId="2" type="noConversion"/>
  </si>
  <si>
    <t>反光縫布織帶</t>
    <phoneticPr fontId="2" type="noConversion"/>
  </si>
  <si>
    <t>雙面膠帶-車用強力泡棉</t>
    <phoneticPr fontId="2" type="noConversion"/>
  </si>
  <si>
    <t>雙面膠帶-透明壓克力</t>
    <phoneticPr fontId="2" type="noConversion"/>
  </si>
  <si>
    <t>雙面膠帶-納米魔術</t>
    <phoneticPr fontId="2" type="noConversion"/>
  </si>
  <si>
    <t>雙面膠帶-自熔止漏水</t>
    <phoneticPr fontId="2" type="noConversion"/>
  </si>
  <si>
    <t>端子</t>
    <phoneticPr fontId="2" type="noConversion"/>
  </si>
  <si>
    <t>汽車扎帶</t>
    <phoneticPr fontId="2" type="noConversion"/>
  </si>
  <si>
    <t>假球監控</t>
    <phoneticPr fontId="2" type="noConversion"/>
  </si>
  <si>
    <t>地毯膠帶</t>
    <phoneticPr fontId="2" type="noConversion"/>
  </si>
  <si>
    <t>防滑膠帶</t>
    <phoneticPr fontId="2" type="noConversion"/>
  </si>
  <si>
    <t>地毯膠帶-固定貼片</t>
    <phoneticPr fontId="2" type="noConversion"/>
  </si>
  <si>
    <t>運動-肌肉貼</t>
    <phoneticPr fontId="2" type="noConversion"/>
  </si>
  <si>
    <t>運動-彈性繃帶</t>
    <phoneticPr fontId="2" type="noConversion"/>
  </si>
  <si>
    <t>運動-拉力圈</t>
    <phoneticPr fontId="2" type="noConversion"/>
  </si>
  <si>
    <t>運動-拉力帶</t>
    <phoneticPr fontId="2" type="noConversion"/>
  </si>
  <si>
    <t>彈力線</t>
    <phoneticPr fontId="2" type="noConversion"/>
  </si>
  <si>
    <t>轉接頭</t>
    <phoneticPr fontId="2" type="noConversion"/>
  </si>
  <si>
    <t>USB</t>
    <phoneticPr fontId="2" type="noConversion"/>
  </si>
  <si>
    <t>設備</t>
    <phoneticPr fontId="2" type="noConversion"/>
  </si>
  <si>
    <r>
      <t>USB</t>
    </r>
    <r>
      <rPr>
        <sz val="10"/>
        <rFont val="宋体"/>
        <charset val="134"/>
      </rPr>
      <t>-</t>
    </r>
    <r>
      <rPr>
        <sz val="10"/>
        <rFont val="宋体"/>
        <charset val="134"/>
      </rPr>
      <t>滑鼠</t>
    </r>
    <phoneticPr fontId="2" type="noConversion"/>
  </si>
  <si>
    <t>容器</t>
    <phoneticPr fontId="2" type="noConversion"/>
  </si>
  <si>
    <t>網路-水晶頭</t>
    <phoneticPr fontId="2" type="noConversion"/>
  </si>
  <si>
    <t>網路-水晶頭套</t>
    <phoneticPr fontId="2" type="noConversion"/>
  </si>
  <si>
    <t>網路-接頭</t>
    <phoneticPr fontId="2" type="noConversion"/>
  </si>
  <si>
    <t>電話-接頭</t>
    <phoneticPr fontId="2" type="noConversion"/>
  </si>
  <si>
    <t>網路-PoE分離</t>
    <phoneticPr fontId="2" type="noConversion"/>
  </si>
  <si>
    <t>管繩線類</t>
    <phoneticPr fontId="2" type="noConversion"/>
  </si>
  <si>
    <t>端子接頭類</t>
    <phoneticPr fontId="2" type="noConversion"/>
  </si>
  <si>
    <t>轉接頭類</t>
    <phoneticPr fontId="2" type="noConversion"/>
  </si>
  <si>
    <r>
      <t>TV</t>
    </r>
    <r>
      <rPr>
        <sz val="10"/>
        <rFont val="宋体"/>
        <charset val="134"/>
      </rPr>
      <t>-</t>
    </r>
    <r>
      <rPr>
        <sz val="10"/>
        <rFont val="宋体"/>
        <charset val="134"/>
      </rPr>
      <t>HDMI接頭</t>
    </r>
    <phoneticPr fontId="2" type="noConversion"/>
  </si>
  <si>
    <t>TV-RCA分配</t>
    <phoneticPr fontId="2" type="noConversion"/>
  </si>
  <si>
    <t>TV-HDMI分配</t>
    <phoneticPr fontId="2" type="noConversion"/>
  </si>
  <si>
    <t>TV-BNC接頭</t>
    <phoneticPr fontId="2" type="noConversion"/>
  </si>
  <si>
    <r>
      <t>D</t>
    </r>
    <r>
      <rPr>
        <sz val="10"/>
        <rFont val="宋体"/>
        <charset val="134"/>
      </rPr>
      <t>C-</t>
    </r>
    <r>
      <rPr>
        <sz val="10"/>
        <rFont val="宋体"/>
        <charset val="134"/>
      </rPr>
      <t>9V電池扣</t>
    </r>
    <phoneticPr fontId="2" type="noConversion"/>
  </si>
  <si>
    <r>
      <t>DC</t>
    </r>
    <r>
      <rPr>
        <sz val="10"/>
        <rFont val="宋体"/>
        <charset val="134"/>
      </rPr>
      <t>-</t>
    </r>
    <r>
      <rPr>
        <sz val="10"/>
        <rFont val="宋体"/>
        <charset val="134"/>
      </rPr>
      <t>電源6V2A</t>
    </r>
    <phoneticPr fontId="2" type="noConversion"/>
  </si>
  <si>
    <r>
      <t>DC</t>
    </r>
    <r>
      <rPr>
        <sz val="10"/>
        <rFont val="宋体"/>
        <charset val="134"/>
      </rPr>
      <t>-</t>
    </r>
    <r>
      <rPr>
        <sz val="10"/>
        <rFont val="宋体"/>
        <charset val="134"/>
      </rPr>
      <t>對接頭</t>
    </r>
    <phoneticPr fontId="2" type="noConversion"/>
  </si>
  <si>
    <r>
      <t>DC</t>
    </r>
    <r>
      <rPr>
        <sz val="10"/>
        <rFont val="宋体"/>
        <charset val="134"/>
      </rPr>
      <t>-</t>
    </r>
    <r>
      <rPr>
        <sz val="10"/>
        <rFont val="宋体"/>
        <charset val="134"/>
      </rPr>
      <t>轉接頭</t>
    </r>
    <phoneticPr fontId="2" type="noConversion"/>
  </si>
  <si>
    <r>
      <t>DC</t>
    </r>
    <r>
      <rPr>
        <sz val="10"/>
        <rFont val="宋体"/>
        <charset val="134"/>
      </rPr>
      <t>-</t>
    </r>
    <r>
      <rPr>
        <sz val="10"/>
        <rFont val="宋体"/>
        <charset val="134"/>
      </rPr>
      <t>1拖N接頭</t>
    </r>
    <phoneticPr fontId="2" type="noConversion"/>
  </si>
  <si>
    <r>
      <t>D</t>
    </r>
    <r>
      <rPr>
        <sz val="10"/>
        <rFont val="宋体"/>
        <charset val="134"/>
      </rPr>
      <t>C-</t>
    </r>
    <r>
      <rPr>
        <sz val="10"/>
        <rFont val="宋体"/>
        <charset val="134"/>
      </rPr>
      <t>LED控制線</t>
    </r>
    <phoneticPr fontId="2" type="noConversion"/>
  </si>
  <si>
    <r>
      <t>A</t>
    </r>
    <r>
      <rPr>
        <sz val="10"/>
        <rFont val="宋体"/>
        <charset val="134"/>
      </rPr>
      <t>C-</t>
    </r>
    <r>
      <rPr>
        <sz val="10"/>
        <rFont val="宋体"/>
        <charset val="134"/>
      </rPr>
      <t>旅行插座</t>
    </r>
    <phoneticPr fontId="2" type="noConversion"/>
  </si>
  <si>
    <t>玻璃纖維帶</t>
    <phoneticPr fontId="2" type="noConversion"/>
  </si>
  <si>
    <t>玻璃纖維膠帶</t>
    <phoneticPr fontId="2" type="noConversion"/>
  </si>
  <si>
    <t>TPFE膠帶</t>
    <phoneticPr fontId="2" type="noConversion"/>
  </si>
  <si>
    <t>織帶</t>
    <phoneticPr fontId="2" type="noConversion"/>
  </si>
  <si>
    <t>瓶罐</t>
    <phoneticPr fontId="2" type="noConversion"/>
  </si>
  <si>
    <t>美紋紙手撕膠帶6mm*12m-黑</t>
    <phoneticPr fontId="58" type="noConversion"/>
  </si>
  <si>
    <t>美紋紙手撕膠帶6mm*12m-白</t>
    <phoneticPr fontId="58" type="noConversion"/>
  </si>
  <si>
    <t>美紋紙手撕膠帶6mm*12m-红</t>
    <phoneticPr fontId="58" type="noConversion"/>
  </si>
  <si>
    <t>美紋紙手撕膠帶6mm*12m-粉紅</t>
    <phoneticPr fontId="58" type="noConversion"/>
  </si>
  <si>
    <t>美紋紙手撕膠帶6mm*12m-绿</t>
    <phoneticPr fontId="58" type="noConversion"/>
  </si>
  <si>
    <t>美紋紙手撕膠帶6mm*12m-蓝</t>
    <phoneticPr fontId="58" type="noConversion"/>
  </si>
  <si>
    <t>美紋紙手撕膠帶6mm*12m-浅蓝</t>
    <phoneticPr fontId="58" type="noConversion"/>
  </si>
  <si>
    <t>美紋紙手撕膠帶6mm*12m-深绿</t>
    <phoneticPr fontId="58" type="noConversion"/>
  </si>
  <si>
    <t>美紋紙手撕膠帶6mm*12m-紫</t>
    <phoneticPr fontId="58"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</si>
  <si>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</si>
  <si>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</si>
  <si>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</si>
  <si>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</si>
  <si>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</si>
  <si>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</si>
  <si>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</si>
  <si>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</si>
  <si>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</si>
  <si>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</si>
  <si>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</si>
  <si>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</si>
  <si>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</si>
  <si>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</si>
  <si>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</si>
  <si>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</si>
  <si>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</si>
  <si>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</si>
  <si>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</si>
  <si>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</si>
  <si>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</si>
  <si>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</si>
  <si>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</si>
  <si>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</si>
  <si>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</si>
  <si>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</si>
  <si>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</si>
  <si>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</si>
  <si>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</si>
  <si>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</si>
  <si>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</si>
  <si>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</si>
  <si>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</si>
  <si>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</si>
  <si>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</si>
  <si>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</si>
  <si>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</si>
  <si>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</si>
  <si>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</si>
  <si>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</si>
  <si>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</si>
  <si>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</si>
  <si>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</si>
  <si>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</si>
  <si>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</si>
  <si>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2" type="noConversion"/>
  </si>
  <si>
    <r>
      <t>b</t>
    </r>
    <r>
      <rPr>
        <sz val="10"/>
        <rFont val="宋体"/>
        <charset val="134"/>
      </rPr>
      <t>alun</t>
    </r>
    <phoneticPr fontId="2" type="noConversion"/>
  </si>
  <si>
    <t>四面閥</t>
    <phoneticPr fontId="2" type="noConversion"/>
  </si>
  <si>
    <t>快遞</t>
    <phoneticPr fontId="2" type="noConversion"/>
  </si>
  <si>
    <t>支付寶: 98 + 92元</t>
    <phoneticPr fontId="2" type="noConversion"/>
  </si>
  <si>
    <t>溢品泉1688</t>
    <phoneticPr fontId="2" type="noConversion"/>
  </si>
  <si>
    <t>膠帶類</t>
    <phoneticPr fontId="2" type="noConversion"/>
  </si>
  <si>
    <t>織帶類</t>
    <phoneticPr fontId="2" type="noConversion"/>
  </si>
  <si>
    <t>個人帶類</t>
    <phoneticPr fontId="2" type="noConversion"/>
  </si>
  <si>
    <t>工商帶類</t>
    <phoneticPr fontId="2" type="noConversion"/>
  </si>
  <si>
    <t>扎帶-車輪防滑</t>
    <phoneticPr fontId="2" type="noConversion"/>
  </si>
  <si>
    <t>車用接頭類</t>
    <phoneticPr fontId="2" type="noConversion"/>
  </si>
  <si>
    <t>水晶頭</t>
    <phoneticPr fontId="2" type="noConversion"/>
  </si>
  <si>
    <t>水晶頭套</t>
    <phoneticPr fontId="2" type="noConversion"/>
  </si>
  <si>
    <t>RCA</t>
    <phoneticPr fontId="2" type="noConversion"/>
  </si>
  <si>
    <t>BNC</t>
    <phoneticPr fontId="2" type="noConversion"/>
  </si>
  <si>
    <t>HDMI</t>
    <phoneticPr fontId="2" type="noConversion"/>
  </si>
  <si>
    <t>混合轉接</t>
    <phoneticPr fontId="2" type="noConversion"/>
  </si>
  <si>
    <t>電腦接頭類</t>
    <phoneticPr fontId="2" type="noConversion"/>
  </si>
  <si>
    <r>
      <t>D</t>
    </r>
    <r>
      <rPr>
        <sz val="10"/>
        <rFont val="宋体"/>
        <charset val="134"/>
      </rPr>
      <t>C</t>
    </r>
    <phoneticPr fontId="2" type="noConversion"/>
  </si>
  <si>
    <t>USB-周邊</t>
    <phoneticPr fontId="2" type="noConversion"/>
  </si>
  <si>
    <t>個人用品類</t>
    <phoneticPr fontId="2" type="noConversion"/>
  </si>
  <si>
    <t>家庭用品類</t>
    <phoneticPr fontId="2" type="noConversion"/>
  </si>
  <si>
    <t>收納容器</t>
    <phoneticPr fontId="2" type="noConversion"/>
  </si>
  <si>
    <t>箱盒</t>
    <phoneticPr fontId="2" type="noConversion"/>
  </si>
  <si>
    <t>拉伸膜</t>
    <phoneticPr fontId="2" type="noConversion"/>
  </si>
  <si>
    <t>捲帶</t>
    <phoneticPr fontId="2" type="noConversion"/>
  </si>
  <si>
    <t>熱縮端子</t>
    <phoneticPr fontId="2" type="noConversion"/>
  </si>
  <si>
    <t>PVC端子</t>
    <phoneticPr fontId="2" type="noConversion"/>
  </si>
  <si>
    <t>金屬端子</t>
    <phoneticPr fontId="2" type="noConversion"/>
  </si>
  <si>
    <t>壓線帽</t>
    <phoneticPr fontId="2" type="noConversion"/>
  </si>
  <si>
    <t>保險絲管</t>
    <phoneticPr fontId="2" type="noConversion"/>
  </si>
  <si>
    <t>三層盔甲</t>
    <phoneticPr fontId="58" type="noConversion"/>
  </si>
  <si>
    <t>左右突865</t>
    <phoneticPr fontId="58" type="noConversion"/>
  </si>
  <si>
    <t>皮紋827</t>
    <phoneticPr fontId="58" type="noConversion"/>
  </si>
  <si>
    <t>綠光823</t>
    <phoneticPr fontId="58" type="noConversion"/>
  </si>
  <si>
    <t>SONY環透光</t>
    <phoneticPr fontId="58" type="noConversion"/>
  </si>
  <si>
    <t>RO接頭類</t>
    <phoneticPr fontId="2" type="noConversion"/>
  </si>
  <si>
    <t>快接頭</t>
    <phoneticPr fontId="2" type="noConversion"/>
  </si>
  <si>
    <t>其他配件</t>
    <phoneticPr fontId="2" type="noConversion"/>
  </si>
  <si>
    <t>1688深圳銘悅</t>
    <phoneticPr fontId="58" type="noConversion"/>
  </si>
  <si>
    <t>淘寶綠源</t>
    <phoneticPr fontId="58"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</si>
  <si>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</si>
  <si>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</si>
  <si>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</si>
  <si>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</si>
  <si>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</si>
  <si>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</si>
  <si>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</si>
  <si>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</si>
  <si>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</si>
  <si>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</si>
  <si>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</si>
  <si>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</si>
  <si>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</si>
  <si>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</si>
  <si>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</si>
  <si>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</si>
  <si>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</si>
  <si>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</si>
  <si>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</si>
  <si>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</si>
  <si>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</si>
  <si>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</si>
  <si>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</si>
  <si>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</si>
  <si>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</si>
  <si>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</si>
  <si>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</si>
  <si>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</si>
  <si>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</si>
  <si>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</si>
  <si>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</si>
  <si>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</si>
  <si>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</si>
  <si>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</si>
  <si>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</si>
  <si>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</si>
  <si>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</si>
  <si>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</si>
  <si>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</si>
  <si>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</si>
  <si>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</si>
  <si>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</si>
  <si>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</si>
  <si>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</si>
  <si>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</si>
  <si>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</si>
  <si>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</si>
  <si>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</si>
  <si>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</si>
  <si>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</si>
  <si>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</si>
  <si>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</si>
  <si>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</si>
  <si>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</si>
  <si>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</si>
  <si>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</si>
  <si>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</si>
  <si>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</si>
  <si>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</si>
  <si>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</si>
  <si>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</si>
  <si>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</si>
  <si>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</si>
  <si>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</si>
  <si>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</si>
  <si>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</si>
  <si>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</si>
  <si>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</si>
  <si>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</si>
  <si>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</si>
  <si>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</si>
  <si>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</si>
  <si>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</si>
  <si>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</si>
  <si>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</si>
  <si>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</si>
  <si>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</si>
  <si>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</si>
  <si>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</si>
  <si>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8" type="noConversion"/>
  </si>
  <si>
    <t>1688義烏優聚</t>
    <phoneticPr fontId="58"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</si>
  <si>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</si>
  <si>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</si>
  <si>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</si>
  <si>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</si>
  <si>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</si>
  <si>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</si>
  <si>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</si>
  <si>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</si>
  <si>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</si>
  <si>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</si>
  <si>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</si>
  <si>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</si>
  <si>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</si>
  <si>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</si>
  <si>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</si>
  <si>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</si>
  <si>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</si>
  <si>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</si>
  <si>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8"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</si>
  <si>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</si>
  <si>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</si>
  <si>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</si>
  <si>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</si>
  <si>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</si>
  <si>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</si>
  <si>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</si>
  <si>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</si>
  <si>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</si>
  <si>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</si>
  <si>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</si>
  <si>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</si>
  <si>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</si>
  <si>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</si>
  <si>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</si>
  <si>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</si>
  <si>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</si>
  <si>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</si>
  <si>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</si>
  <si>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</si>
  <si>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</si>
  <si>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</si>
  <si>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</si>
  <si>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</si>
  <si>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</si>
  <si>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</si>
  <si>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</si>
  <si>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</si>
  <si>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</si>
  <si>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</si>
  <si>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</si>
  <si>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</si>
  <si>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</si>
  <si>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</si>
  <si>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</si>
  <si>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</si>
  <si>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</si>
  <si>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</si>
  <si>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</si>
  <si>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</si>
  <si>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</si>
  <si>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</si>
  <si>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</si>
  <si>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</si>
  <si>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</si>
  <si>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</si>
  <si>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</si>
  <si>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</si>
  <si>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</si>
  <si>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</si>
  <si>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</si>
  <si>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</si>
  <si>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</si>
  <si>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</si>
  <si>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</si>
  <si>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</si>
  <si>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</si>
  <si>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</si>
  <si>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</si>
  <si>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</si>
  <si>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</si>
  <si>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</si>
  <si>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</si>
  <si>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</si>
  <si>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</si>
  <si>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</si>
  <si>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</si>
  <si>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</si>
  <si>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</si>
  <si>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</si>
  <si>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</si>
  <si>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</si>
  <si>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</si>
  <si>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</si>
  <si>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</si>
  <si>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</si>
  <si>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</si>
  <si>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</si>
  <si>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</si>
  <si>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</si>
  <si>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</si>
  <si>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</si>
  <si>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</si>
  <si>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</si>
  <si>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</si>
  <si>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</si>
  <si>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</si>
  <si>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</si>
  <si>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</si>
  <si>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</si>
  <si>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</si>
  <si>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</si>
  <si>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</si>
  <si>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</si>
  <si>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</si>
  <si>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</si>
  <si>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</si>
  <si>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</si>
  <si>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</si>
  <si>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</si>
  <si>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</si>
  <si>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</si>
  <si>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</si>
  <si>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</si>
  <si>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</si>
  <si>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</si>
  <si>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</si>
  <si>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</si>
  <si>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</si>
  <si>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</si>
  <si>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</si>
  <si>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</si>
  <si>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</si>
  <si>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</si>
  <si>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</si>
  <si>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</si>
  <si>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</si>
  <si>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</si>
  <si>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</si>
  <si>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</si>
  <si>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</si>
  <si>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</si>
  <si>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</si>
  <si>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</si>
  <si>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</si>
  <si>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</si>
  <si>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</si>
  <si>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</si>
  <si>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</si>
  <si>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</si>
  <si>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</si>
  <si>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</si>
  <si>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</si>
  <si>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</si>
  <si>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</si>
  <si>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</si>
  <si>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</si>
  <si>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8"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</si>
  <si>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</si>
  <si>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</si>
  <si>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</si>
  <si>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</si>
  <si>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</si>
  <si>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</si>
  <si>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</si>
  <si>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</si>
  <si>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</si>
  <si>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</si>
  <si>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</si>
  <si>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</si>
  <si>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8" type="noConversion"/>
  </si>
  <si>
    <t>萬綠泉1688</t>
    <phoneticPr fontId="2" type="noConversion"/>
  </si>
  <si>
    <t>小T-PP</t>
    <phoneticPr fontId="2" type="noConversion"/>
  </si>
  <si>
    <r>
      <t xml:space="preserve">支付寶: </t>
    </r>
    <r>
      <rPr>
        <sz val="10"/>
        <rFont val="宋体"/>
        <charset val="134"/>
      </rPr>
      <t>375</t>
    </r>
    <r>
      <rPr>
        <sz val="10"/>
        <rFont val="宋体"/>
        <charset val="134"/>
      </rPr>
      <t>元</t>
    </r>
    <r>
      <rPr>
        <sz val="10"/>
        <rFont val="宋体"/>
        <charset val="134"/>
      </rPr>
      <t xml:space="preserve"> + 紅包 5元</t>
    </r>
    <phoneticPr fontId="2" type="noConversion"/>
  </si>
  <si>
    <t>保险丝座 铜夹 5*20mm 保险管座 保险管夹子 5X20 0.5加厚</t>
  </si>
  <si>
    <t>淘寶深圳恆泰</t>
    <phoneticPr fontId="58" type="noConversion"/>
  </si>
  <si>
    <t>拼多多五湖家紡</t>
    <phoneticPr fontId="58" type="noConversion"/>
  </si>
  <si>
    <t>268.10</t>
    <phoneticPr fontId="58"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</si>
  <si>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</si>
  <si>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</si>
  <si>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</si>
  <si>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</si>
  <si>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</si>
  <si>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</si>
  <si>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</si>
  <si>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</si>
  <si>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</si>
  <si>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</si>
  <si>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</si>
  <si>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</si>
  <si>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</si>
  <si>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</si>
  <si>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</si>
  <si>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</si>
  <si>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</si>
  <si>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</si>
  <si>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</si>
  <si>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</si>
  <si>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</si>
  <si>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</si>
  <si>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</si>
  <si>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</si>
  <si>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</si>
  <si>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</si>
  <si>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8" type="noConversion"/>
  </si>
  <si>
    <t>6絲平口OPP袋3cm*16cm</t>
    <phoneticPr fontId="58" type="noConversion"/>
  </si>
  <si>
    <t>212.05</t>
    <phoneticPr fontId="58"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</si>
  <si>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</si>
  <si>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</si>
  <si>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</si>
  <si>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</si>
  <si>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</si>
  <si>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</si>
  <si>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</si>
  <si>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</si>
  <si>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</si>
  <si>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</si>
  <si>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</si>
  <si>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</si>
  <si>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</si>
  <si>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</si>
  <si>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</si>
  <si>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</si>
  <si>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</si>
  <si>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</si>
  <si>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</si>
  <si>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</si>
  <si>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</si>
  <si>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</si>
  <si>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</si>
  <si>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</si>
  <si>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</si>
  <si>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</si>
  <si>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</si>
  <si>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</si>
  <si>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</si>
  <si>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</si>
  <si>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</si>
  <si>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</si>
  <si>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</si>
  <si>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</si>
  <si>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</si>
  <si>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</si>
  <si>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</si>
  <si>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</si>
  <si>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</si>
  <si>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</si>
  <si>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</si>
  <si>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</si>
  <si>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</si>
  <si>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</si>
  <si>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</si>
  <si>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</si>
  <si>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</si>
  <si>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</si>
  <si>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</si>
  <si>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</si>
  <si>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</si>
  <si>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</si>
  <si>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</si>
  <si>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</si>
  <si>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</si>
  <si>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</si>
  <si>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</si>
  <si>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</si>
  <si>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</si>
  <si>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</si>
  <si>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</si>
  <si>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8"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</si>
  <si>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</si>
  <si>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</si>
  <si>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</si>
  <si>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</si>
  <si>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</si>
  <si>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</si>
  <si>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</si>
  <si>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</si>
  <si>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</si>
  <si>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</si>
  <si>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</si>
  <si>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</si>
  <si>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</si>
  <si>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</si>
  <si>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</si>
  <si>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</si>
  <si>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</si>
  <si>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</si>
  <si>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8" type="noConversion"/>
  </si>
  <si>
    <t>265.02</t>
  </si>
  <si>
    <t>265.03</t>
  </si>
  <si>
    <t>265.04</t>
  </si>
  <si>
    <t>202.01</t>
    <phoneticPr fontId="58" type="noConversion"/>
  </si>
  <si>
    <t>202.02</t>
  </si>
  <si>
    <t>202.03</t>
  </si>
  <si>
    <t>202.04</t>
  </si>
  <si>
    <t>202.05</t>
  </si>
  <si>
    <t>202.06</t>
  </si>
  <si>
    <t>202.07</t>
  </si>
  <si>
    <t>202.08</t>
  </si>
  <si>
    <t>202.09</t>
  </si>
  <si>
    <t>202.10</t>
  </si>
  <si>
    <t>202.11</t>
  </si>
  <si>
    <t>202.12</t>
  </si>
  <si>
    <t>202.13</t>
  </si>
  <si>
    <t>202.14</t>
  </si>
  <si>
    <t>202.15</t>
  </si>
  <si>
    <t>281.01</t>
    <phoneticPr fontId="58" type="noConversion"/>
  </si>
  <si>
    <t>281.02</t>
  </si>
  <si>
    <t>281.03</t>
  </si>
  <si>
    <t>281.04</t>
  </si>
  <si>
    <t>281.05</t>
  </si>
  <si>
    <t>281.06</t>
  </si>
  <si>
    <t>281.07</t>
  </si>
  <si>
    <t>281.08</t>
  </si>
  <si>
    <t>281.09</t>
  </si>
  <si>
    <t>281.10</t>
  </si>
  <si>
    <t>281.11</t>
  </si>
  <si>
    <t>281.12</t>
  </si>
  <si>
    <t>282.01</t>
    <phoneticPr fontId="58"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</si>
  <si>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</si>
  <si>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</si>
  <si>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</si>
  <si>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</si>
  <si>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</si>
  <si>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</si>
  <si>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</si>
  <si>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</si>
  <si>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</si>
  <si>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</si>
  <si>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</si>
  <si>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</si>
  <si>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</si>
  <si>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</si>
  <si>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</si>
  <si>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</si>
  <si>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</si>
  <si>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</si>
  <si>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</si>
  <si>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</si>
  <si>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</si>
  <si>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</si>
  <si>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</si>
  <si>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</si>
  <si>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</si>
  <si>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</si>
  <si>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</si>
  <si>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</si>
  <si>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</si>
  <si>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</si>
  <si>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</si>
  <si>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</si>
  <si>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</si>
  <si>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</si>
  <si>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8" type="noConversion"/>
  </si>
  <si>
    <t>284.02</t>
  </si>
  <si>
    <t>284.03</t>
  </si>
  <si>
    <t>284.04</t>
  </si>
  <si>
    <t>284.05</t>
  </si>
  <si>
    <t>215.01</t>
    <phoneticPr fontId="58" type="noConversion"/>
  </si>
  <si>
    <t>215.02</t>
  </si>
  <si>
    <t>215.03</t>
  </si>
  <si>
    <t>215.04</t>
  </si>
  <si>
    <t>215.05</t>
  </si>
  <si>
    <t>215.06</t>
  </si>
  <si>
    <t>215.07</t>
  </si>
  <si>
    <t>215.08</t>
  </si>
  <si>
    <t>215.09</t>
  </si>
  <si>
    <t>215.10</t>
  </si>
  <si>
    <t>215.11</t>
  </si>
  <si>
    <t>215.12</t>
  </si>
  <si>
    <t>215.13</t>
  </si>
  <si>
    <t>215.14</t>
  </si>
  <si>
    <t>215.15</t>
  </si>
  <si>
    <t>205.01</t>
    <phoneticPr fontId="58" type="noConversion"/>
  </si>
  <si>
    <t>205.02</t>
  </si>
  <si>
    <t>205.03</t>
  </si>
  <si>
    <t>205.04</t>
  </si>
  <si>
    <t>205.05</t>
  </si>
  <si>
    <t>205.06</t>
  </si>
  <si>
    <t>207.01</t>
    <phoneticPr fontId="58"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</si>
  <si>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</si>
  <si>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</si>
  <si>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</si>
  <si>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</si>
  <si>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</si>
  <si>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</si>
  <si>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</si>
  <si>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</si>
  <si>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</si>
  <si>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</si>
  <si>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</si>
  <si>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</si>
  <si>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</si>
  <si>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</si>
  <si>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</si>
  <si>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</si>
  <si>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</si>
  <si>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</si>
  <si>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</si>
  <si>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8" type="noConversion"/>
  </si>
  <si>
    <t>208.02</t>
  </si>
  <si>
    <t>208.03</t>
  </si>
  <si>
    <t>208.04</t>
  </si>
  <si>
    <t>208.05</t>
  </si>
  <si>
    <t>208.06</t>
  </si>
  <si>
    <t>208.07</t>
  </si>
  <si>
    <t>208.08</t>
  </si>
  <si>
    <t>208.09</t>
  </si>
  <si>
    <t>230.01</t>
    <phoneticPr fontId="58" type="noConversion"/>
  </si>
  <si>
    <t>230.02</t>
  </si>
  <si>
    <t>230.03</t>
  </si>
  <si>
    <t>230.04</t>
  </si>
  <si>
    <t>230.05</t>
  </si>
  <si>
    <t>230.06</t>
  </si>
  <si>
    <t>230.07</t>
  </si>
  <si>
    <t>231.01</t>
    <phoneticPr fontId="58" type="noConversion"/>
  </si>
  <si>
    <t>231.02</t>
  </si>
  <si>
    <t>231.03</t>
  </si>
  <si>
    <t>231.04</t>
  </si>
  <si>
    <t>231.05</t>
  </si>
  <si>
    <t>232.01</t>
    <phoneticPr fontId="58" type="noConversion"/>
  </si>
  <si>
    <t>232.02</t>
  </si>
  <si>
    <t>232.03</t>
  </si>
  <si>
    <t>232.04</t>
  </si>
  <si>
    <t>233.01</t>
    <phoneticPr fontId="58" type="noConversion"/>
  </si>
  <si>
    <t>233.02</t>
  </si>
  <si>
    <t>233.03</t>
  </si>
  <si>
    <t>233.04</t>
  </si>
  <si>
    <t>233.05</t>
  </si>
  <si>
    <t>233.06</t>
  </si>
  <si>
    <t>234.01</t>
    <phoneticPr fontId="58" type="noConversion"/>
  </si>
  <si>
    <t>266.11</t>
    <phoneticPr fontId="58" type="noConversion"/>
  </si>
  <si>
    <t>266.12</t>
  </si>
  <si>
    <t>266.13</t>
  </si>
  <si>
    <t>266.14</t>
  </si>
  <si>
    <t>266.15</t>
  </si>
  <si>
    <t>266.16</t>
  </si>
  <si>
    <t>266.17</t>
  </si>
  <si>
    <t>266.18</t>
  </si>
  <si>
    <t>267.01</t>
    <phoneticPr fontId="58"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</si>
  <si>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</si>
  <si>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</si>
  <si>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</si>
  <si>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</si>
  <si>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</si>
  <si>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</si>
  <si>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</si>
  <si>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</si>
  <si>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</si>
  <si>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</si>
  <si>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</si>
  <si>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</si>
  <si>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</si>
  <si>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</si>
  <si>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</si>
  <si>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</si>
  <si>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</si>
  <si>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8"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</si>
  <si>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</si>
  <si>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</si>
  <si>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</si>
  <si>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</si>
  <si>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</si>
  <si>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</si>
  <si>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</si>
  <si>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</si>
  <si>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</si>
  <si>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</si>
  <si>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</si>
  <si>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</si>
  <si>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</si>
  <si>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</si>
  <si>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</si>
  <si>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</si>
  <si>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</si>
  <si>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</si>
  <si>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</si>
  <si>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</si>
  <si>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</si>
  <si>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</si>
  <si>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</si>
  <si>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</si>
  <si>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</si>
  <si>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8"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</si>
  <si>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</si>
  <si>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</si>
  <si>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</si>
  <si>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</si>
  <si>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</si>
  <si>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</si>
  <si>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</si>
  <si>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</si>
  <si>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</si>
  <si>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</si>
  <si>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</si>
  <si>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</si>
  <si>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</si>
  <si>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</si>
  <si>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</si>
  <si>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</si>
  <si>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</si>
  <si>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</si>
  <si>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</si>
  <si>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8" type="noConversion"/>
  </si>
  <si>
    <t>262.22</t>
  </si>
  <si>
    <t>262.23</t>
  </si>
  <si>
    <t>263.01</t>
    <phoneticPr fontId="58" type="noConversion"/>
  </si>
  <si>
    <t>263.02</t>
  </si>
  <si>
    <t>263.03</t>
  </si>
  <si>
    <t>263.04</t>
  </si>
  <si>
    <t>263.05</t>
  </si>
  <si>
    <t>263.06</t>
  </si>
  <si>
    <t>263.07</t>
  </si>
  <si>
    <t>251.01</t>
    <phoneticPr fontId="58" type="noConversion"/>
  </si>
  <si>
    <t>251.02</t>
  </si>
  <si>
    <t>251.03</t>
  </si>
  <si>
    <t>251.04</t>
  </si>
  <si>
    <t>251.05</t>
  </si>
  <si>
    <t>251.06</t>
  </si>
  <si>
    <t>252.01</t>
    <phoneticPr fontId="58" type="noConversion"/>
  </si>
  <si>
    <t>252.02</t>
  </si>
  <si>
    <t>252.03</t>
  </si>
  <si>
    <t>252.21</t>
    <phoneticPr fontId="58" type="noConversion"/>
  </si>
  <si>
    <t>252.22</t>
  </si>
  <si>
    <t>252.23</t>
  </si>
  <si>
    <t>252.24</t>
  </si>
  <si>
    <t>252.25</t>
  </si>
  <si>
    <t>252.26</t>
  </si>
  <si>
    <t>252.27</t>
  </si>
  <si>
    <t>252.28</t>
  </si>
  <si>
    <t>252.29</t>
  </si>
  <si>
    <t>252.30</t>
  </si>
  <si>
    <t>魔術貼-單面</t>
    <phoneticPr fontId="2" type="noConversion"/>
  </si>
  <si>
    <t>魔術貼-雙面</t>
    <phoneticPr fontId="2" type="noConversion"/>
  </si>
  <si>
    <t>251.21</t>
    <phoneticPr fontId="58" type="noConversion"/>
  </si>
  <si>
    <t>251.22</t>
  </si>
  <si>
    <t>251.23</t>
  </si>
  <si>
    <t>251.24</t>
  </si>
  <si>
    <t>251.25</t>
  </si>
  <si>
    <t>251.26</t>
  </si>
  <si>
    <t>251.27</t>
  </si>
  <si>
    <t>251.28</t>
  </si>
  <si>
    <t>251.41</t>
    <phoneticPr fontId="58"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</si>
  <si>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</si>
  <si>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</si>
  <si>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</si>
  <si>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</si>
  <si>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</si>
  <si>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</si>
  <si>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</si>
  <si>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</si>
  <si>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</si>
  <si>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</si>
  <si>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</si>
  <si>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</si>
  <si>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</si>
  <si>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</si>
  <si>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</si>
  <si>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</si>
  <si>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</si>
  <si>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</si>
  <si>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</si>
  <si>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</si>
  <si>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</si>
  <si>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</si>
  <si>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</si>
  <si>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</si>
  <si>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8" type="noConversion"/>
  </si>
  <si>
    <t>261.02</t>
  </si>
  <si>
    <t>261.03</t>
  </si>
  <si>
    <t>261.04</t>
  </si>
  <si>
    <t>261.05</t>
  </si>
  <si>
    <t>261.06</t>
  </si>
  <si>
    <t>261.07</t>
  </si>
  <si>
    <t>261.08</t>
  </si>
  <si>
    <t>261.09</t>
  </si>
  <si>
    <t>261.10</t>
  </si>
  <si>
    <t>261.11</t>
  </si>
  <si>
    <t>261.12</t>
  </si>
  <si>
    <t>261.13</t>
  </si>
  <si>
    <t>261.14</t>
  </si>
  <si>
    <t>302.01</t>
    <phoneticPr fontId="58" type="noConversion"/>
  </si>
  <si>
    <t>302.02</t>
  </si>
  <si>
    <t>302.03</t>
  </si>
  <si>
    <t>302.21</t>
    <phoneticPr fontId="58" type="noConversion"/>
  </si>
  <si>
    <t>302.22</t>
  </si>
  <si>
    <t>302.23</t>
  </si>
  <si>
    <t>302.24</t>
  </si>
  <si>
    <t>302.41</t>
    <phoneticPr fontId="58" type="noConversion"/>
  </si>
  <si>
    <t>302.42</t>
  </si>
  <si>
    <t>302.43</t>
  </si>
  <si>
    <t>302.44</t>
  </si>
  <si>
    <t>303.01</t>
    <phoneticPr fontId="58" type="noConversion"/>
  </si>
  <si>
    <t>303.02</t>
  </si>
  <si>
    <t>303.03</t>
  </si>
  <si>
    <t>301.01</t>
    <phoneticPr fontId="58" type="noConversion"/>
  </si>
  <si>
    <t>301.02</t>
  </si>
  <si>
    <t>301.03</t>
  </si>
  <si>
    <t>301.21</t>
    <phoneticPr fontId="58" type="noConversion"/>
  </si>
  <si>
    <t>301.22</t>
  </si>
  <si>
    <t>301.23</t>
  </si>
  <si>
    <t>303.41</t>
    <phoneticPr fontId="58" type="noConversion"/>
  </si>
  <si>
    <t>303.42</t>
  </si>
  <si>
    <t>303.43</t>
  </si>
  <si>
    <t>303.44</t>
  </si>
  <si>
    <t>303.45</t>
  </si>
  <si>
    <t>303.46</t>
  </si>
  <si>
    <t>303.47</t>
  </si>
  <si>
    <t>303.48</t>
  </si>
  <si>
    <t>301.41</t>
    <phoneticPr fontId="58" type="noConversion"/>
  </si>
  <si>
    <t>301.42</t>
  </si>
  <si>
    <t>301.43</t>
  </si>
  <si>
    <t>303.21</t>
    <phoneticPr fontId="58" type="noConversion"/>
  </si>
  <si>
    <t>303.22</t>
  </si>
  <si>
    <t>303.23</t>
  </si>
  <si>
    <t>303.25</t>
  </si>
  <si>
    <t>105.08</t>
    <phoneticPr fontId="58" type="noConversion"/>
  </si>
  <si>
    <t>107.02</t>
    <phoneticPr fontId="58" type="noConversion"/>
  </si>
  <si>
    <t>x</t>
    <phoneticPr fontId="58" type="noConversion"/>
  </si>
  <si>
    <t>保險絲配件</t>
    <phoneticPr fontId="2" type="noConversion"/>
  </si>
  <si>
    <t>306.02</t>
  </si>
  <si>
    <t>306.03</t>
  </si>
  <si>
    <t>306.05</t>
  </si>
  <si>
    <t>306.06</t>
  </si>
  <si>
    <t>304.23</t>
  </si>
  <si>
    <t>304.25</t>
  </si>
  <si>
    <t>304.26</t>
  </si>
  <si>
    <t>304.27</t>
  </si>
  <si>
    <t>304.28</t>
  </si>
  <si>
    <t>304.29</t>
  </si>
  <si>
    <t>304.30</t>
  </si>
  <si>
    <t>304.31</t>
  </si>
  <si>
    <t>304.32</t>
  </si>
  <si>
    <t>306.07</t>
    <phoneticPr fontId="58" type="noConversion"/>
  </si>
  <si>
    <t>306.08</t>
  </si>
  <si>
    <t>305.01</t>
    <phoneticPr fontId="58"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</si>
  <si>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</si>
  <si>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</si>
  <si>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</si>
  <si>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</si>
  <si>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</si>
  <si>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</si>
  <si>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</si>
  <si>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</si>
  <si>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</si>
  <si>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</si>
  <si>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</si>
  <si>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</si>
  <si>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</si>
  <si>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</si>
  <si>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</si>
  <si>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</si>
  <si>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</si>
  <si>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</si>
  <si>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</si>
  <si>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</si>
  <si>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</si>
  <si>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</si>
  <si>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</si>
  <si>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</si>
  <si>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</si>
  <si>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</si>
  <si>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8" type="noConversion"/>
  </si>
  <si>
    <t>107.05</t>
  </si>
  <si>
    <t>107.06</t>
  </si>
  <si>
    <t>107.07</t>
  </si>
  <si>
    <t>107.08</t>
  </si>
  <si>
    <t>107.09</t>
  </si>
  <si>
    <t>107.10</t>
  </si>
  <si>
    <t>107.11</t>
  </si>
  <si>
    <t>107.12</t>
  </si>
  <si>
    <t>107.13</t>
  </si>
  <si>
    <t>107.14</t>
  </si>
  <si>
    <t>107.15</t>
  </si>
  <si>
    <t>107.16</t>
  </si>
  <si>
    <t>107.17</t>
  </si>
  <si>
    <t>283.01</t>
    <phoneticPr fontId="58" type="noConversion"/>
  </si>
  <si>
    <t>283.02</t>
  </si>
  <si>
    <t>283.06</t>
  </si>
  <si>
    <t>283.07</t>
  </si>
  <si>
    <t>283.08</t>
  </si>
  <si>
    <t>283.11</t>
  </si>
  <si>
    <t>283.12</t>
  </si>
  <si>
    <t>501.01</t>
    <phoneticPr fontId="58" type="noConversion"/>
  </si>
  <si>
    <t>501.02</t>
  </si>
  <si>
    <t>501.03</t>
  </si>
  <si>
    <t>501.04</t>
  </si>
  <si>
    <t>501.05</t>
  </si>
  <si>
    <t>501.06</t>
  </si>
  <si>
    <t>501.07</t>
    <phoneticPr fontId="58" type="noConversion"/>
  </si>
  <si>
    <t>501.08</t>
  </si>
  <si>
    <t>501.09</t>
  </si>
  <si>
    <t>501.10</t>
  </si>
  <si>
    <t>501.11</t>
  </si>
  <si>
    <t>501.12</t>
  </si>
  <si>
    <t>501.13</t>
  </si>
  <si>
    <t>501.14</t>
  </si>
  <si>
    <t>501.15</t>
  </si>
  <si>
    <t>501.16</t>
  </si>
  <si>
    <t>501.17</t>
  </si>
  <si>
    <t>501.18</t>
  </si>
  <si>
    <t>501.19</t>
  </si>
  <si>
    <t>501.20</t>
  </si>
  <si>
    <t>402.02</t>
    <phoneticPr fontId="58" type="noConversion"/>
  </si>
  <si>
    <t>501.21</t>
    <phoneticPr fontId="58" type="noConversion"/>
  </si>
  <si>
    <t>501.22</t>
  </si>
  <si>
    <t>501.23</t>
  </si>
  <si>
    <t>501.24</t>
  </si>
  <si>
    <t>501.25</t>
  </si>
  <si>
    <t>501.26</t>
  </si>
  <si>
    <t>501.27</t>
  </si>
  <si>
    <t>派對眼鏡</t>
    <phoneticPr fontId="2" type="noConversion"/>
  </si>
  <si>
    <t>503.01</t>
    <phoneticPr fontId="58" type="noConversion"/>
  </si>
  <si>
    <t>503.02</t>
  </si>
  <si>
    <t>503.03</t>
  </si>
  <si>
    <t>503.04</t>
  </si>
  <si>
    <t>503.05</t>
  </si>
  <si>
    <t>503.06</t>
  </si>
  <si>
    <t>504.01</t>
    <phoneticPr fontId="58" type="noConversion"/>
  </si>
  <si>
    <t>504.02</t>
  </si>
  <si>
    <t>504.03</t>
  </si>
  <si>
    <t>504.04</t>
  </si>
  <si>
    <r>
      <t>502.18</t>
    </r>
    <r>
      <rPr>
        <sz val="12"/>
        <rFont val="宋体"/>
        <charset val="134"/>
      </rPr>
      <t/>
    </r>
    <phoneticPr fontId="58" type="noConversion"/>
  </si>
  <si>
    <t>502.19</t>
  </si>
  <si>
    <t>502.20</t>
  </si>
  <si>
    <t>502.21</t>
  </si>
  <si>
    <t>502.22</t>
  </si>
  <si>
    <t>502.23</t>
  </si>
  <si>
    <t>502.24</t>
  </si>
  <si>
    <t>502.25</t>
  </si>
  <si>
    <t>502.26</t>
  </si>
  <si>
    <t>502.28</t>
  </si>
  <si>
    <t>502.29</t>
  </si>
  <si>
    <t>502.30</t>
  </si>
  <si>
    <t>502.31</t>
  </si>
  <si>
    <t>502.32</t>
  </si>
  <si>
    <t>501.28</t>
    <phoneticPr fontId="58" type="noConversion"/>
  </si>
  <si>
    <t>501.29</t>
  </si>
  <si>
    <t>501.30</t>
  </si>
  <si>
    <t>501.31</t>
  </si>
  <si>
    <t>501.32</t>
  </si>
  <si>
    <t>501.33</t>
  </si>
  <si>
    <t>501.34</t>
  </si>
  <si>
    <t>501.35</t>
  </si>
  <si>
    <t>LED眼鏡平光黃片</t>
    <phoneticPr fontId="58" type="noConversion"/>
  </si>
  <si>
    <t>501.36</t>
  </si>
  <si>
    <t>bsku</t>
    <phoneticPr fontId="58" type="noConversion"/>
  </si>
  <si>
    <t>8絲封口泡沫袋加厚5*8cm-2*3"</t>
    <phoneticPr fontId="58" type="noConversion"/>
  </si>
  <si>
    <t>8絲封口泡沫袋加厚8*9cm-3*3.5"</t>
    <phoneticPr fontId="58" type="noConversion"/>
  </si>
  <si>
    <t>8絲封口泡沫袋加厚8*13cm-3*5"</t>
    <phoneticPr fontId="58" type="noConversion"/>
  </si>
  <si>
    <t>支付寶: 67.6元</t>
    <phoneticPr fontId="58" type="noConversion"/>
  </si>
  <si>
    <t>IBM亮面</t>
    <phoneticPr fontId="58" type="noConversion"/>
  </si>
  <si>
    <t>支付寶: 508元</t>
    <phoneticPr fontId="58" type="noConversion"/>
  </si>
  <si>
    <t>支付寶: 86元</t>
    <phoneticPr fontId="58"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</si>
  <si>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</si>
  <si>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</si>
  <si>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</si>
  <si>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</si>
  <si>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</si>
  <si>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</si>
  <si>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</si>
  <si>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8" type="noConversion"/>
  </si>
  <si>
    <t>支付寶: 38.25元</t>
    <phoneticPr fontId="58" type="noConversion"/>
  </si>
  <si>
    <t>支付寶: 32元</t>
    <phoneticPr fontId="58" type="noConversion"/>
  </si>
  <si>
    <t>支付寶: 35.4元</t>
    <phoneticPr fontId="58" type="noConversion"/>
  </si>
  <si>
    <t>支付寶: 31.7元</t>
    <phoneticPr fontId="58" type="noConversion"/>
  </si>
  <si>
    <t>支付寶: 28元 + 紅包 5元</t>
    <phoneticPr fontId="58" type="noConversion"/>
  </si>
  <si>
    <t>支付寶: 485.6 + 66.8元</t>
    <phoneticPr fontId="58" type="noConversion"/>
  </si>
  <si>
    <t>封箱膠帶膠台48mm</t>
    <phoneticPr fontId="58" type="noConversion"/>
  </si>
  <si>
    <t>支付寶: 48元</t>
    <phoneticPr fontId="58" type="noConversion"/>
  </si>
  <si>
    <t>支付寶: 102.6元</t>
    <phoneticPr fontId="58" type="noConversion"/>
  </si>
  <si>
    <t>支付寶: 29.9元</t>
    <phoneticPr fontId="58" type="noConversion"/>
  </si>
  <si>
    <t>支付寶: 104元</t>
    <phoneticPr fontId="58" type="noConversion"/>
  </si>
  <si>
    <t>支付寶: 108.56元</t>
    <phoneticPr fontId="58" type="noConversion"/>
  </si>
  <si>
    <t>支付寶: 37.9元 + 手機折扣 0.1元</t>
    <phoneticPr fontId="58" type="noConversion"/>
  </si>
  <si>
    <t>支付寶: 32.6元</t>
    <phoneticPr fontId="58" type="noConversion"/>
  </si>
  <si>
    <t>支付寶: 206.9元</t>
    <phoneticPr fontId="58" type="noConversion"/>
  </si>
  <si>
    <t>支付寶: 39.68元 + 優惠 6.12元</t>
    <phoneticPr fontId="58" type="noConversion"/>
  </si>
  <si>
    <t>支付寶: 76.2元</t>
    <phoneticPr fontId="58" type="noConversion"/>
  </si>
  <si>
    <t>D支付寶: 20.05元 + 紅包 0.2元</t>
    <phoneticPr fontId="58" type="noConversion"/>
  </si>
  <si>
    <t>支付寶: 59.12元</t>
    <phoneticPr fontId="58" type="noConversion"/>
  </si>
  <si>
    <t>支付寶: 115元</t>
    <phoneticPr fontId="58" type="noConversion"/>
  </si>
  <si>
    <t>支付寶: 84元</t>
    <phoneticPr fontId="58" type="noConversion"/>
  </si>
  <si>
    <t>支付寶: 58.98元</t>
    <phoneticPr fontId="58" type="noConversion"/>
  </si>
  <si>
    <t>支付寶: 39.7元</t>
    <phoneticPr fontId="58" type="noConversion"/>
  </si>
  <si>
    <t>支付寶: 142.35元</t>
    <phoneticPr fontId="58" type="noConversion"/>
  </si>
  <si>
    <t>支付寶: 49.82元</t>
    <phoneticPr fontId="58" type="noConversion"/>
  </si>
  <si>
    <t>支付寶: 98.28元</t>
    <phoneticPr fontId="58" type="noConversion"/>
  </si>
  <si>
    <t>廠商進貨: 800pcs/bag-&gt;自行分裝: 400pcs/bag</t>
    <phoneticPr fontId="58" type="noConversion"/>
  </si>
  <si>
    <t>支付寶: 109.3元</t>
    <phoneticPr fontId="58" type="noConversion"/>
  </si>
  <si>
    <t>支付寶: 62.5元</t>
    <phoneticPr fontId="58" type="noConversion"/>
  </si>
  <si>
    <t>廠商進貨: 1000pcs/bag-&gt;自行分裝: 80pcs/bag</t>
    <phoneticPr fontId="58" type="noConversion"/>
  </si>
  <si>
    <t>廠商進貨: 500pcs/bag-&gt;自行分裝: 50pcs/bag</t>
    <phoneticPr fontId="58" type="noConversion"/>
  </si>
  <si>
    <t>廠商進貨: 250pcs/bag-&gt;自行分裝: 25pcs/bag</t>
    <phoneticPr fontId="58" type="noConversion"/>
  </si>
  <si>
    <t>支付寶: 65.5元</t>
    <phoneticPr fontId="58" type="noConversion"/>
  </si>
  <si>
    <t>廠商進貨:5色/bag-&gt;自行分裝: 各色/bag</t>
    <phoneticPr fontId="58" type="noConversion"/>
  </si>
  <si>
    <t>廠商進貨:5色*2條/bag*10包-&gt;自行分裝: 5色*各20條</t>
    <phoneticPr fontId="58" type="noConversion"/>
  </si>
  <si>
    <t>支付寶: 332.6元</t>
    <phoneticPr fontId="58" type="noConversion"/>
  </si>
  <si>
    <t>支付寶: 389元</t>
    <phoneticPr fontId="58" type="noConversion"/>
  </si>
  <si>
    <t>支付寶: 235.7元</t>
    <phoneticPr fontId="58" type="noConversion"/>
  </si>
  <si>
    <t>支付寶: 124.6元</t>
    <phoneticPr fontId="58" type="noConversion"/>
  </si>
  <si>
    <t>廠商進貨:3尺寸/bag-&gt;自行分裝: 各尺寸/bag</t>
    <phoneticPr fontId="58" type="noConversion"/>
  </si>
  <si>
    <t>支付寶: 188元</t>
    <phoneticPr fontId="58" type="noConversion"/>
  </si>
  <si>
    <t>支付寶: 130元</t>
    <phoneticPr fontId="58" type="noConversion"/>
  </si>
  <si>
    <t>105.10</t>
    <phoneticPr fontId="58"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</si>
  <si>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</si>
  <si>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</si>
  <si>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</si>
  <si>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</si>
  <si>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</si>
  <si>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</si>
  <si>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</si>
  <si>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</si>
  <si>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</si>
  <si>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</si>
  <si>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</si>
  <si>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</si>
  <si>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</si>
  <si>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8" type="noConversion"/>
  </si>
  <si>
    <t>支付寶: 212.5 + 18元</t>
    <phoneticPr fontId="58" type="noConversion"/>
  </si>
  <si>
    <t>支付寶: 260.74元 - 退款 77.72元</t>
    <phoneticPr fontId="58" type="noConversion"/>
  </si>
  <si>
    <t>106.10</t>
    <phoneticPr fontId="58" type="noConversion"/>
  </si>
  <si>
    <t>支付寶: 89.7元</t>
    <phoneticPr fontId="58" type="noConversion"/>
  </si>
  <si>
    <t>106.20</t>
    <phoneticPr fontId="58" type="noConversion"/>
  </si>
  <si>
    <t>支付寶: 84.8元</t>
    <phoneticPr fontId="58" type="noConversion"/>
  </si>
  <si>
    <t>支付寶: 700 + 810元</t>
    <phoneticPr fontId="58" type="noConversion"/>
  </si>
  <si>
    <t>支付寶: 31.43元 + 紅包: 5元</t>
    <phoneticPr fontId="58" type="noConversion"/>
  </si>
  <si>
    <t>支付寶: 20.25元 + 微信: 9.41元 + 紅包: 5元</t>
    <phoneticPr fontId="58"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</si>
  <si>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</si>
  <si>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</si>
  <si>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</si>
  <si>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</si>
  <si>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</si>
  <si>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</si>
  <si>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</si>
  <si>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</si>
  <si>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</si>
  <si>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</si>
  <si>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8" type="noConversion"/>
  </si>
  <si>
    <t>ctn</t>
    <phoneticPr fontId="58" type="noConversion"/>
  </si>
  <si>
    <t>101.10</t>
    <phoneticPr fontId="58" type="noConversion"/>
  </si>
  <si>
    <t>支付寶: 5455元</t>
    <phoneticPr fontId="58" type="noConversion"/>
  </si>
  <si>
    <t>13絲白快遞袋4*6"</t>
    <phoneticPr fontId="58" type="noConversion"/>
  </si>
  <si>
    <t>13絲白快遞袋5*7"</t>
    <phoneticPr fontId="58" type="noConversion"/>
  </si>
  <si>
    <t>13絲白快遞袋6*9"</t>
    <phoneticPr fontId="58" type="noConversion"/>
  </si>
  <si>
    <t>13絲白快遞袋7.5*10.5"</t>
    <phoneticPr fontId="58" type="noConversion"/>
  </si>
  <si>
    <t>13絲白快遞袋9*12"</t>
    <phoneticPr fontId="58" type="noConversion"/>
  </si>
  <si>
    <t>13絲白快遞袋10*13"</t>
    <phoneticPr fontId="58" type="noConversion"/>
  </si>
  <si>
    <t>13絲白快遞袋12*15.5"</t>
    <phoneticPr fontId="58" type="noConversion"/>
  </si>
  <si>
    <t>13絲白快遞袋14.5*19"</t>
    <phoneticPr fontId="58" type="noConversion"/>
  </si>
  <si>
    <t>13絲白快遞袋19*24"</t>
    <phoneticPr fontId="58" type="noConversion"/>
  </si>
  <si>
    <t>104.10</t>
    <phoneticPr fontId="58" type="noConversion"/>
  </si>
  <si>
    <t>13絲白快遞袋24*24"</t>
    <phoneticPr fontId="58" type="noConversion"/>
  </si>
  <si>
    <t>支付寶: 294元</t>
    <phoneticPr fontId="58" type="noConversion"/>
  </si>
  <si>
    <t>支付寶: 130.6元</t>
    <phoneticPr fontId="58" type="noConversion"/>
  </si>
  <si>
    <t>107.10</t>
    <phoneticPr fontId="58" type="noConversion"/>
  </si>
  <si>
    <t>支付寶: 95.8元</t>
    <phoneticPr fontId="58" type="noConversion"/>
  </si>
  <si>
    <t>支付寶: 164.5元</t>
    <phoneticPr fontId="58" type="noConversion"/>
  </si>
  <si>
    <t>支付寶: 121.2元</t>
    <phoneticPr fontId="58" type="noConversion"/>
  </si>
  <si>
    <t>支付寶: 110.99元 + 優惠: 8.26元</t>
    <phoneticPr fontId="58" type="noConversion"/>
  </si>
  <si>
    <t>209.10</t>
    <phoneticPr fontId="58" type="noConversion"/>
  </si>
  <si>
    <t>支付寶: 102元</t>
    <phoneticPr fontId="58" type="noConversion"/>
  </si>
  <si>
    <t>235.01</t>
    <phoneticPr fontId="58" type="noConversion"/>
  </si>
  <si>
    <r>
      <t>235.02</t>
    </r>
    <r>
      <rPr>
        <sz val="12"/>
        <rFont val="宋体"/>
        <charset val="134"/>
      </rPr>
      <t/>
    </r>
  </si>
  <si>
    <r>
      <t>235.03</t>
    </r>
    <r>
      <rPr>
        <sz val="12"/>
        <rFont val="宋体"/>
        <charset val="134"/>
      </rPr>
      <t/>
    </r>
  </si>
  <si>
    <r>
      <t>235.04</t>
    </r>
    <r>
      <rPr>
        <sz val="12"/>
        <rFont val="宋体"/>
        <charset val="134"/>
      </rPr>
      <t/>
    </r>
  </si>
  <si>
    <t>支付寶: 82元</t>
    <phoneticPr fontId="58" type="noConversion"/>
  </si>
  <si>
    <t>支付寶: 68元</t>
    <phoneticPr fontId="58" type="noConversion"/>
  </si>
  <si>
    <t>支付寶: 29.6元 + 紅包: 5元</t>
    <phoneticPr fontId="58" type="noConversion"/>
  </si>
  <si>
    <t>213.01</t>
    <phoneticPr fontId="58"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</si>
  <si>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</si>
  <si>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</si>
  <si>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</si>
  <si>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</si>
  <si>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</si>
  <si>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</si>
  <si>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</si>
  <si>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</si>
  <si>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</si>
  <si>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</si>
  <si>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</si>
  <si>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</si>
  <si>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</si>
  <si>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</si>
  <si>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</si>
  <si>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</si>
  <si>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</si>
  <si>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</si>
  <si>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</si>
  <si>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</si>
  <si>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</si>
  <si>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8" type="noConversion"/>
  </si>
  <si>
    <t>支付寶: 563.15元</t>
    <phoneticPr fontId="58" type="noConversion"/>
  </si>
  <si>
    <t>8絲封口泡沫袋加厚6.5*8cm-2.5*3"</t>
    <phoneticPr fontId="58" type="noConversion"/>
  </si>
  <si>
    <t>支付寶: 160元</t>
    <phoneticPr fontId="58" type="noConversion"/>
  </si>
  <si>
    <t>支付寶: 11.42 + 300.74 + 216.18 + 286.2元</t>
    <phoneticPr fontId="58" type="noConversion"/>
  </si>
  <si>
    <t>支付寶: 92.26元</t>
    <phoneticPr fontId="58" type="noConversion"/>
  </si>
  <si>
    <t>支付寶: 122元</t>
    <phoneticPr fontId="58" type="noConversion"/>
  </si>
  <si>
    <t>支付寶: 88.7元</t>
    <phoneticPr fontId="58" type="noConversion"/>
  </si>
  <si>
    <t>支付寶: 248.76 + 175.07元</t>
    <phoneticPr fontId="58" type="noConversion"/>
  </si>
  <si>
    <t>304.01</t>
    <phoneticPr fontId="58"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</si>
  <si>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</si>
  <si>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</si>
  <si>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</si>
  <si>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</si>
  <si>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</si>
  <si>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</si>
  <si>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</si>
  <si>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</si>
  <si>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</si>
  <si>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8" type="noConversion"/>
  </si>
  <si>
    <t>微信: 5.92 + 1.91元 + 紅包: 5元</t>
    <phoneticPr fontId="58" type="noConversion"/>
  </si>
  <si>
    <t>支付寶: 742.06 + 49.2元 + 優惠: 39.04元</t>
    <phoneticPr fontId="58" type="noConversion"/>
  </si>
  <si>
    <t>504.05</t>
    <phoneticPr fontId="58" type="noConversion"/>
  </si>
  <si>
    <t>504.06</t>
  </si>
  <si>
    <t>504.07</t>
  </si>
  <si>
    <t>504.08</t>
  </si>
  <si>
    <t>504.09</t>
  </si>
  <si>
    <t>502.34</t>
    <phoneticPr fontId="58" type="noConversion"/>
  </si>
  <si>
    <t>502.35</t>
  </si>
  <si>
    <t>502.36</t>
  </si>
  <si>
    <t>502.38</t>
  </si>
  <si>
    <t>502.39</t>
  </si>
  <si>
    <t>502.40</t>
    <phoneticPr fontId="58" type="noConversion"/>
  </si>
  <si>
    <t>502.41</t>
  </si>
  <si>
    <t>502.42</t>
  </si>
  <si>
    <t>502.43</t>
  </si>
  <si>
    <t>502.44</t>
  </si>
  <si>
    <t>502.45</t>
    <phoneticPr fontId="58" type="noConversion"/>
  </si>
  <si>
    <t>502.46</t>
  </si>
  <si>
    <t>502.47</t>
  </si>
  <si>
    <t>502.48</t>
  </si>
  <si>
    <t>502.49</t>
  </si>
  <si>
    <t>502.50</t>
  </si>
  <si>
    <t>401.01</t>
    <phoneticPr fontId="58"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</si>
  <si>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</si>
  <si>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</si>
  <si>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</si>
  <si>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</si>
  <si>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</si>
  <si>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</si>
  <si>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</si>
  <si>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</si>
  <si>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</si>
  <si>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</si>
  <si>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</si>
  <si>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</si>
  <si>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</si>
  <si>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</si>
  <si>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</si>
  <si>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</si>
  <si>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</si>
  <si>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</si>
  <si>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</si>
  <si>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</si>
  <si>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</si>
  <si>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</si>
  <si>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</si>
  <si>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8" type="noConversion"/>
  </si>
  <si>
    <t>403.01</t>
    <phoneticPr fontId="58" type="noConversion"/>
  </si>
  <si>
    <t>403.02</t>
  </si>
  <si>
    <t>403.03</t>
  </si>
  <si>
    <t>403.05</t>
  </si>
  <si>
    <t>403.06</t>
  </si>
  <si>
    <t>403.07</t>
  </si>
  <si>
    <t>403.08</t>
  </si>
  <si>
    <t>403.09</t>
  </si>
  <si>
    <t>403.10</t>
  </si>
  <si>
    <t>403.12</t>
  </si>
  <si>
    <t>403.13</t>
  </si>
  <si>
    <t>403.14</t>
  </si>
  <si>
    <t>403.15</t>
  </si>
  <si>
    <t>403.16</t>
  </si>
  <si>
    <t>403.17</t>
  </si>
  <si>
    <t>353.01</t>
    <phoneticPr fontId="58" type="noConversion"/>
  </si>
  <si>
    <t>353.02</t>
  </si>
  <si>
    <t>353.03</t>
  </si>
  <si>
    <t>353.04</t>
  </si>
  <si>
    <t>353.05</t>
  </si>
  <si>
    <t>353.06</t>
  </si>
  <si>
    <t>353.07</t>
  </si>
  <si>
    <t>321.01</t>
    <phoneticPr fontId="58" type="noConversion"/>
  </si>
  <si>
    <t>321.02</t>
  </si>
  <si>
    <t>321.03</t>
  </si>
  <si>
    <t>321.04</t>
  </si>
  <si>
    <r>
      <t>105.17</t>
    </r>
    <r>
      <rPr>
        <sz val="12"/>
        <rFont val="宋体"/>
        <charset val="134"/>
      </rPr>
      <t/>
    </r>
    <phoneticPr fontId="58" type="noConversion"/>
  </si>
  <si>
    <t>花藝膠帶12mm*27m-313秋</t>
    <phoneticPr fontId="58" type="noConversion"/>
  </si>
  <si>
    <t>403.11</t>
    <phoneticPr fontId="58" type="noConversion"/>
  </si>
  <si>
    <t>403.04</t>
    <phoneticPr fontId="58" type="noConversion"/>
  </si>
  <si>
    <t>502.27</t>
    <phoneticPr fontId="58" type="noConversion"/>
  </si>
  <si>
    <t>彈性繃帶50mm*4.5m-新膚色(棕)</t>
    <phoneticPr fontId="58" type="noConversion"/>
  </si>
  <si>
    <t>282.08</t>
    <phoneticPr fontId="58" type="noConversion"/>
  </si>
  <si>
    <t>235.05</t>
    <phoneticPr fontId="58" type="noConversion"/>
  </si>
  <si>
    <t>地毯固定貼片L型120mm*120mm*2mm-白</t>
    <phoneticPr fontId="58" type="noConversion"/>
  </si>
  <si>
    <t>283.05</t>
    <phoneticPr fontId="58" type="noConversion"/>
  </si>
  <si>
    <t>283.03</t>
    <phoneticPr fontId="58" type="noConversion"/>
  </si>
  <si>
    <t>283.04</t>
    <phoneticPr fontId="58" type="noConversion"/>
  </si>
  <si>
    <t>283.09</t>
    <phoneticPr fontId="58" type="noConversion"/>
  </si>
  <si>
    <t>306.10</t>
    <phoneticPr fontId="58" type="noConversion"/>
  </si>
  <si>
    <t>306.11</t>
    <phoneticPr fontId="58" type="noConversion"/>
  </si>
  <si>
    <t>306.01</t>
    <phoneticPr fontId="58" type="noConversion"/>
  </si>
  <si>
    <t>304.02</t>
  </si>
  <si>
    <t>304.03</t>
  </si>
  <si>
    <t>304.04</t>
  </si>
  <si>
    <t>304.05</t>
  </si>
  <si>
    <t>304.06</t>
  </si>
  <si>
    <t>304.07</t>
  </si>
  <si>
    <t>304.08</t>
  </si>
  <si>
    <t>304.09</t>
  </si>
  <si>
    <t>304.22</t>
  </si>
  <si>
    <t>304.10</t>
    <phoneticPr fontId="58" type="noConversion"/>
  </si>
  <si>
    <t>304.11</t>
    <phoneticPr fontId="58" type="noConversion"/>
  </si>
  <si>
    <t>304.12</t>
    <phoneticPr fontId="58" type="noConversion"/>
  </si>
  <si>
    <r>
      <t>304.24</t>
    </r>
    <r>
      <rPr>
        <sz val="12"/>
        <rFont val="宋体"/>
        <charset val="134"/>
      </rPr>
      <t/>
    </r>
    <phoneticPr fontId="58" type="noConversion"/>
  </si>
  <si>
    <t>貓眼大框太陽眼鏡-亮黑灰片</t>
    <phoneticPr fontId="58" type="noConversion"/>
  </si>
  <si>
    <t>裝箱</t>
    <phoneticPr fontId="58" type="noConversion"/>
  </si>
  <si>
    <t>#009</t>
    <phoneticPr fontId="58" type="noConversion"/>
  </si>
  <si>
    <t>#109</t>
    <phoneticPr fontId="58" type="noConversion"/>
  </si>
  <si>
    <t>303.24</t>
    <phoneticPr fontId="58" type="noConversion"/>
  </si>
  <si>
    <t>303.26</t>
    <phoneticPr fontId="58" type="noConversion"/>
  </si>
  <si>
    <t>抗UV尼龍扎帶4*250mm*25pcs</t>
    <phoneticPr fontId="58" type="noConversion"/>
  </si>
  <si>
    <t>水龍頭水口-可調角度銀色圓球</t>
    <phoneticPr fontId="58" type="noConversion"/>
  </si>
  <si>
    <t>#120</t>
    <phoneticPr fontId="58" type="noConversion"/>
  </si>
  <si>
    <t>#108</t>
    <phoneticPr fontId="58" type="noConversion"/>
  </si>
  <si>
    <t>#008</t>
    <phoneticPr fontId="58"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</si>
  <si>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</si>
  <si>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</si>
  <si>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</si>
  <si>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</si>
  <si>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</si>
  <si>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</si>
  <si>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</si>
  <si>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</si>
  <si>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</si>
  <si>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</si>
  <si>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</si>
  <si>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</si>
  <si>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</si>
  <si>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</si>
  <si>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</si>
  <si>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</si>
  <si>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</si>
  <si>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</si>
  <si>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</si>
  <si>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</si>
  <si>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</si>
  <si>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</si>
  <si>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</si>
  <si>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</si>
  <si>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</si>
  <si>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</si>
  <si>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</si>
  <si>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</si>
  <si>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</si>
  <si>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</si>
  <si>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</si>
  <si>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8"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</si>
  <si>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</si>
  <si>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</si>
  <si>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</si>
  <si>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</si>
  <si>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</si>
  <si>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</si>
  <si>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</si>
  <si>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</si>
  <si>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</si>
  <si>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</si>
  <si>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</si>
  <si>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</si>
  <si>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</si>
  <si>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</si>
  <si>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</si>
  <si>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</si>
  <si>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8"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</si>
  <si>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</si>
  <si>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</si>
  <si>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</si>
  <si>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</si>
  <si>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</si>
  <si>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</si>
  <si>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</si>
  <si>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</si>
  <si>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</si>
  <si>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8" type="noConversion"/>
  </si>
  <si>
    <t>汽車保險絲盒取電器-迷你透明端子</t>
    <phoneticPr fontId="58" type="noConversion"/>
  </si>
  <si>
    <t>汽車保險絲盒取電器-小蓝色端子</t>
  </si>
  <si>
    <t>汽車保險絲盒取電器-小透明端子</t>
  </si>
  <si>
    <t>汽車保險絲盒取電器-中蓝色端子</t>
  </si>
  <si>
    <t>汽車保險絲盒取電器-中透明端子</t>
  </si>
  <si>
    <t>汽车保险丝拔取器</t>
    <phoneticPr fontId="58" type="noConversion"/>
  </si>
  <si>
    <t>5mm*20mm旋鈕式保險管座</t>
    <phoneticPr fontId="58" type="noConversion"/>
  </si>
  <si>
    <t>6mm*30mm旋鈕式保險管座</t>
    <phoneticPr fontId="58" type="noConversion"/>
  </si>
  <si>
    <t>16絲鋁箔自封袋9cm*13cm-藍</t>
    <phoneticPr fontId="58" type="noConversion"/>
  </si>
  <si>
    <t>16絲鋁箔自封袋12cm*20cm-藍</t>
  </si>
  <si>
    <t>16絲鋁箔自封袋12cm*20cm-黑</t>
  </si>
  <si>
    <t>支付寶: 151元</t>
    <phoneticPr fontId="58" type="noConversion"/>
  </si>
  <si>
    <t>108.01</t>
    <phoneticPr fontId="58" type="noConversion"/>
  </si>
  <si>
    <t>108.02</t>
  </si>
  <si>
    <t>108.03</t>
  </si>
  <si>
    <t>108.04</t>
  </si>
  <si>
    <t>108.05</t>
  </si>
  <si>
    <t>108.06</t>
  </si>
  <si>
    <t>108.07</t>
  </si>
  <si>
    <t>108.08</t>
  </si>
  <si>
    <t>108.09</t>
  </si>
  <si>
    <t>108.10</t>
  </si>
  <si>
    <t>108.11</t>
  </si>
  <si>
    <t>108.12</t>
  </si>
  <si>
    <t>108.13</t>
  </si>
  <si>
    <t>108.14</t>
  </si>
  <si>
    <t>109.01</t>
    <phoneticPr fontId="58" type="noConversion"/>
  </si>
  <si>
    <t>109.02</t>
  </si>
  <si>
    <t>109.03</t>
  </si>
  <si>
    <t>109.05</t>
  </si>
  <si>
    <t>109.06</t>
  </si>
  <si>
    <t>109.04</t>
    <phoneticPr fontId="58" type="noConversion"/>
  </si>
  <si>
    <t>109.07</t>
  </si>
  <si>
    <t>20絲圖案自封袋2.5cm*3.5cm-紫維尼</t>
    <phoneticPr fontId="58" type="noConversion"/>
  </si>
  <si>
    <t>20絲圖案自封袋2.5cm*3cm-紅笑臉</t>
  </si>
  <si>
    <t>20絲圖案自封袋2cm*2.8cm-骷髏頭</t>
  </si>
  <si>
    <t>20絲圖案自封袋3.5cm*5cm-粉紅小豬</t>
  </si>
  <si>
    <t>20絲圖案自封袋3cm*4cm-橙維尼</t>
  </si>
  <si>
    <t>20絲圖案自封袋2.5cm*3.5cm-粉紅小豬</t>
    <phoneticPr fontId="58" type="noConversion"/>
  </si>
  <si>
    <t>20絲圖案自封袋2.5cm*3.5cm-紅笑臉</t>
    <phoneticPr fontId="58" type="noConversion"/>
  </si>
  <si>
    <t>315.01</t>
    <phoneticPr fontId="58" type="noConversion"/>
  </si>
  <si>
    <t>315.02</t>
  </si>
  <si>
    <t>315.03</t>
  </si>
  <si>
    <t>315.04</t>
  </si>
  <si>
    <t>315.05</t>
  </si>
  <si>
    <t>315.06</t>
  </si>
  <si>
    <t>315.07</t>
  </si>
  <si>
    <t>331.01</t>
    <phoneticPr fontId="58" type="noConversion"/>
  </si>
  <si>
    <r>
      <t>P</t>
    </r>
    <r>
      <rPr>
        <sz val="10"/>
        <rFont val="宋体"/>
        <charset val="134"/>
      </rPr>
      <t>OE</t>
    </r>
    <phoneticPr fontId="2" type="noConversion"/>
  </si>
  <si>
    <t>322.41</t>
    <phoneticPr fontId="58" type="noConversion"/>
  </si>
  <si>
    <t>HDMI線材分配器</t>
    <phoneticPr fontId="2" type="noConversion"/>
  </si>
  <si>
    <t>333.41</t>
    <phoneticPr fontId="58" type="noConversion"/>
  </si>
  <si>
    <t>333.42</t>
  </si>
  <si>
    <t>333.43</t>
  </si>
  <si>
    <t>361.01</t>
    <phoneticPr fontId="58" type="noConversion"/>
  </si>
  <si>
    <t>361.22</t>
  </si>
  <si>
    <t>361.23</t>
  </si>
  <si>
    <t>361.24</t>
  </si>
  <si>
    <t>361.25</t>
  </si>
  <si>
    <t>361.26</t>
  </si>
  <si>
    <t>361.27</t>
  </si>
  <si>
    <t>361.28</t>
  </si>
  <si>
    <t>DC公头5.5*2.1mm-帶包黑線音叉</t>
    <phoneticPr fontId="58" type="noConversion"/>
  </si>
  <si>
    <t>107.03</t>
    <phoneticPr fontId="58" type="noConversion"/>
  </si>
  <si>
    <t>306.04</t>
    <phoneticPr fontId="58" type="noConversion"/>
  </si>
  <si>
    <t>x</t>
    <phoneticPr fontId="58" type="noConversion"/>
  </si>
  <si>
    <r>
      <t>#00</t>
    </r>
    <r>
      <rPr>
        <sz val="10"/>
        <rFont val="宋体"/>
        <charset val="134"/>
      </rPr>
      <t>5</t>
    </r>
    <phoneticPr fontId="58" type="noConversion"/>
  </si>
  <si>
    <t>#004</t>
    <phoneticPr fontId="58" type="noConversion"/>
  </si>
  <si>
    <t>#003</t>
    <phoneticPr fontId="58" type="noConversion"/>
  </si>
  <si>
    <t>#002</t>
    <phoneticPr fontId="58" type="noConversion"/>
  </si>
  <si>
    <t>#001</t>
    <phoneticPr fontId="58" type="noConversion"/>
  </si>
  <si>
    <t>#006</t>
    <phoneticPr fontId="58" type="noConversion"/>
  </si>
  <si>
    <t>LED閃光百葉窗眼鏡-白</t>
    <phoneticPr fontId="58" type="noConversion"/>
  </si>
  <si>
    <r>
      <t>夜光膠帶10mm*1m-桃紅發橙</t>
    </r>
    <r>
      <rPr>
        <sz val="10"/>
        <rFont val="宋体"/>
        <charset val="134"/>
      </rPr>
      <t>(橙紅)</t>
    </r>
    <phoneticPr fontId="58" type="noConversion"/>
  </si>
  <si>
    <r>
      <t>夜光膠帶20mm*1m-桃紅發橙</t>
    </r>
    <r>
      <rPr>
        <sz val="10"/>
        <rFont val="宋体"/>
        <charset val="134"/>
      </rPr>
      <t>(</t>
    </r>
    <r>
      <rPr>
        <sz val="10"/>
        <rFont val="宋体"/>
        <charset val="134"/>
      </rPr>
      <t>橙紅</t>
    </r>
    <r>
      <rPr>
        <sz val="10"/>
        <rFont val="宋体"/>
        <charset val="134"/>
      </rPr>
      <t>)</t>
    </r>
    <phoneticPr fontId="58" type="noConversion"/>
  </si>
  <si>
    <r>
      <t>夜光膠帶10mm*1m-N銀紅</t>
    </r>
    <r>
      <rPr>
        <sz val="10"/>
        <rFont val="宋体"/>
        <charset val="134"/>
      </rPr>
      <t>(銀紅)</t>
    </r>
    <phoneticPr fontId="58" type="noConversion"/>
  </si>
  <si>
    <r>
      <t>夜光膠帶20mm*1m-N銀紅</t>
    </r>
    <r>
      <rPr>
        <sz val="10"/>
        <rFont val="宋体"/>
        <charset val="134"/>
      </rPr>
      <t>(銀紅)</t>
    </r>
    <phoneticPr fontId="58" type="noConversion"/>
  </si>
  <si>
    <t>夜光膠帶10mm*1m-N橙紅</t>
    <phoneticPr fontId="58" type="noConversion"/>
  </si>
  <si>
    <r>
      <t>夜光膠帶20mm*1m-N藍</t>
    </r>
    <r>
      <rPr>
        <sz val="10"/>
        <rFont val="宋体"/>
        <charset val="134"/>
      </rPr>
      <t>(N橙紅?)</t>
    </r>
    <phoneticPr fontId="58" type="noConversion"/>
  </si>
  <si>
    <t>0.75cm2中片型保險絲盒-AWG18</t>
    <phoneticPr fontId="58" type="noConversion"/>
  </si>
  <si>
    <t>美紋紙手撕膠帶6mm*12m-黃</t>
    <phoneticPr fontId="58" type="noConversion"/>
  </si>
  <si>
    <t>美紋紙手撕膠帶10mm*12m-黃</t>
    <phoneticPr fontId="58" type="noConversion"/>
  </si>
  <si>
    <t>美紋紙手撕膠帶12mm*12m-黃</t>
    <phoneticPr fontId="58" type="noConversion"/>
  </si>
  <si>
    <t>美紋紙手撕膠帶20mm*12m-黃</t>
    <phoneticPr fontId="58" type="noConversion"/>
  </si>
  <si>
    <t>美紋紙手撕膠帶24mm*12m-黃</t>
    <phoneticPr fontId="58" type="noConversion"/>
  </si>
  <si>
    <t>美紋紙手撕膠帶50mm*12m-黃</t>
    <phoneticPr fontId="58" type="noConversion"/>
  </si>
  <si>
    <t>美紋紙手撕膠帶6mm*12m-橙</t>
    <phoneticPr fontId="58" type="noConversion"/>
  </si>
  <si>
    <t>美紋紙手撕膠帶10mm*12m-橙</t>
    <phoneticPr fontId="58" type="noConversion"/>
  </si>
  <si>
    <t>美紋紙手撕膠帶12mm*12m-橙</t>
    <phoneticPr fontId="58" type="noConversion"/>
  </si>
  <si>
    <t>美紋紙手撕膠帶20mm*12m-橙</t>
    <phoneticPr fontId="58" type="noConversion"/>
  </si>
  <si>
    <t>美紋紙手撕膠帶24mm*12m-橙</t>
    <phoneticPr fontId="58" type="noConversion"/>
  </si>
  <si>
    <t>美紋紙手撕膠帶50mm*12m-橙</t>
    <phoneticPr fontId="58" type="noConversion"/>
  </si>
  <si>
    <t>5</t>
    <phoneticPr fontId="58" type="noConversion"/>
  </si>
  <si>
    <t>2.16</t>
    <phoneticPr fontId="58" type="noConversion"/>
  </si>
  <si>
    <t>8</t>
    <phoneticPr fontId="58"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</si>
  <si>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</si>
  <si>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</si>
  <si>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</si>
  <si>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</si>
  <si>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</si>
  <si>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</si>
  <si>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</si>
  <si>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</si>
  <si>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</si>
  <si>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</si>
  <si>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</si>
  <si>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</si>
  <si>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</si>
  <si>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</si>
  <si>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</si>
  <si>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</si>
  <si>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</si>
  <si>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</si>
  <si>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</si>
  <si>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</si>
  <si>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</si>
  <si>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</si>
  <si>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</si>
  <si>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</si>
  <si>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</si>
  <si>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</si>
  <si>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</si>
  <si>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</si>
  <si>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</si>
  <si>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</si>
  <si>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</si>
  <si>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</si>
  <si>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</si>
  <si>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</si>
  <si>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</si>
  <si>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</si>
  <si>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</si>
  <si>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</si>
  <si>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</si>
  <si>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</si>
  <si>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8" type="noConversion"/>
  </si>
  <si>
    <t>269.01</t>
    <phoneticPr fontId="58" type="noConversion"/>
  </si>
  <si>
    <t>401.25</t>
    <phoneticPr fontId="58" type="noConversion"/>
  </si>
  <si>
    <t>401.26</t>
  </si>
  <si>
    <t>404.01</t>
    <phoneticPr fontId="58" type="noConversion"/>
  </si>
  <si>
    <t>404.02</t>
  </si>
  <si>
    <t>401.29</t>
  </si>
  <si>
    <t>401.30</t>
  </si>
  <si>
    <t>401.31</t>
  </si>
  <si>
    <t>401.32</t>
  </si>
  <si>
    <t>511.01</t>
    <phoneticPr fontId="58" type="noConversion"/>
  </si>
  <si>
    <t>車輛用品類</t>
    <phoneticPr fontId="2" type="noConversion"/>
  </si>
  <si>
    <t>工具</t>
    <phoneticPr fontId="2" type="noConversion"/>
  </si>
  <si>
    <t>镀镍4MM 灯笼头 香蕉插头 测试插头 灯笼型 四页型 香蕉型 插头102</t>
    <phoneticPr fontId="2" type="noConversion"/>
  </si>
  <si>
    <t>直销小号鳄鱼夹测试线 大号试灯夹线双头电源夹线五彩线总长48CM</t>
    <phoneticPr fontId="2" type="noConversion"/>
  </si>
  <si>
    <t>氣泡信封</t>
    <phoneticPr fontId="68" type="noConversion"/>
  </si>
  <si>
    <t>老楊</t>
    <phoneticPr fontId="68" type="noConversion"/>
  </si>
  <si>
    <t>#120</t>
    <phoneticPr fontId="68" type="noConversion"/>
  </si>
  <si>
    <t>#121</t>
  </si>
  <si>
    <t>#122</t>
  </si>
  <si>
    <t>#123</t>
  </si>
  <si>
    <t>#124</t>
  </si>
  <si>
    <t>#125</t>
  </si>
  <si>
    <t>#126</t>
  </si>
  <si>
    <t>#127</t>
  </si>
  <si>
    <t>轉接頭-RCA公轉音頻3.5mm母</t>
    <phoneticPr fontId="2" type="noConversion"/>
  </si>
  <si>
    <t>BNC端子-RG60</t>
    <phoneticPr fontId="2" type="noConversion"/>
  </si>
  <si>
    <t>轉換插座-3孔轉英國3腳</t>
    <phoneticPr fontId="2" type="noConversion"/>
  </si>
  <si>
    <t>RCA端子-公</t>
    <phoneticPr fontId="2" type="noConversion"/>
  </si>
  <si>
    <t>RCA端子-母</t>
    <phoneticPr fontId="2" type="noConversion"/>
  </si>
  <si>
    <t>USB接頭-2母</t>
    <phoneticPr fontId="2" type="noConversion"/>
  </si>
  <si>
    <t>轉換插座-3孔轉美國3腳</t>
    <phoneticPr fontId="2" type="noConversion"/>
  </si>
  <si>
    <t>電池盒-18650單節3.7V</t>
    <phoneticPr fontId="2" type="noConversion"/>
  </si>
  <si>
    <t>轉接頭-BNC母轉RCA母</t>
    <phoneticPr fontId="2" type="noConversion"/>
  </si>
  <si>
    <t>轉接頭-BNC母轉RCA公</t>
    <phoneticPr fontId="2"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</si>
  <si>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</si>
  <si>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</si>
  <si>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</si>
  <si>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</si>
  <si>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</si>
  <si>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</si>
  <si>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</si>
  <si>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</si>
  <si>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2" type="noConversion"/>
  </si>
  <si>
    <t>轉換插座-3孔轉扁2插</t>
    <phoneticPr fontId="2" type="noConversion"/>
  </si>
  <si>
    <t>轉接頭-VGA公轉VGA母</t>
    <phoneticPr fontId="2" type="noConversion"/>
  </si>
  <si>
    <t>轉接頭-VGA母轉VGA母</t>
    <phoneticPr fontId="2" type="noConversion"/>
  </si>
  <si>
    <t>轉接頭-VGA公轉VGA公</t>
    <phoneticPr fontId="2" type="noConversion"/>
  </si>
  <si>
    <t>HDMI接頭-公母</t>
    <phoneticPr fontId="2" type="noConversion"/>
  </si>
  <si>
    <t>HDMI接頭-母母帶螺絲孔</t>
    <phoneticPr fontId="2" type="noConversion"/>
  </si>
  <si>
    <t>BNC接頭-公轉按鈕接線端子</t>
    <phoneticPr fontId="2" type="noConversion"/>
  </si>
  <si>
    <t>BNC接頭-母轉按鈕接線端子</t>
    <phoneticPr fontId="2" type="noConversion"/>
  </si>
  <si>
    <t>BNC接頭-公轉接線綠端子</t>
    <phoneticPr fontId="2" type="noConversion"/>
  </si>
  <si>
    <t>BNC接頭-母轉接線綠端子</t>
    <phoneticPr fontId="2" type="noConversion"/>
  </si>
  <si>
    <t>RCA接頭-公轉接線綠端子</t>
    <phoneticPr fontId="2" type="noConversion"/>
  </si>
  <si>
    <t>RCA接頭-母轉接線綠端子</t>
    <phoneticPr fontId="2" type="noConversion"/>
  </si>
  <si>
    <t>轉接頭-BNC公轉RCA母</t>
    <phoneticPr fontId="2" type="noConversion"/>
  </si>
  <si>
    <t>轉接頭-BNC公轉RCA公</t>
    <phoneticPr fontId="2" type="noConversion"/>
  </si>
  <si>
    <t>BNC接頭-母母</t>
    <phoneticPr fontId="2" type="noConversion"/>
  </si>
  <si>
    <t>轉換插座-3孔轉歐大4.8mm</t>
    <phoneticPr fontId="2" type="noConversion"/>
  </si>
  <si>
    <t>轉換插座-3孔轉歐小4mm</t>
    <phoneticPr fontId="2" type="noConversion"/>
  </si>
  <si>
    <t>BNC接頭-3母</t>
    <phoneticPr fontId="2" type="noConversion"/>
  </si>
  <si>
    <t>美标万能转换插头 美规转换插座 电源多功能转换器 旅行转换头</t>
    <phoneticPr fontId="2" type="noConversion"/>
  </si>
  <si>
    <t>轉換插座-3孔轉澳州3腳</t>
    <phoneticPr fontId="2" type="noConversion"/>
  </si>
  <si>
    <t>轉換插座-3孔轉澳州2腳</t>
    <phoneticPr fontId="2" type="noConversion"/>
  </si>
  <si>
    <t>HDMI接頭-90度L公母(窄端向上)</t>
    <phoneticPr fontId="2" type="noConversion"/>
  </si>
  <si>
    <t>HDMI接頭-270度L公母(窄端向下)</t>
    <phoneticPr fontId="2" type="noConversion"/>
  </si>
  <si>
    <t>HDMI接頭-母micro公</t>
    <phoneticPr fontId="2" type="noConversion"/>
  </si>
  <si>
    <t>HDMI接頭-母mini公micro公</t>
    <phoneticPr fontId="2" type="noConversion"/>
  </si>
  <si>
    <t>HDMI接頭-母mini公</t>
    <phoneticPr fontId="2" type="noConversion"/>
  </si>
  <si>
    <t>HDMI接頭-左彎公母(窄端向下)</t>
    <phoneticPr fontId="2" type="noConversion"/>
  </si>
  <si>
    <t>HDMI接頭-右彎公母(窄端向下)</t>
    <phoneticPr fontId="2" type="noConversion"/>
  </si>
  <si>
    <t>HDMI接頭-90度L母母(窄端同向)</t>
    <phoneticPr fontId="2" type="noConversion"/>
  </si>
  <si>
    <t>RCA接頭-母母</t>
    <phoneticPr fontId="2" type="noConversion"/>
  </si>
  <si>
    <t>RCA接頭-公公</t>
    <phoneticPr fontId="2" type="noConversion"/>
  </si>
  <si>
    <t>HDMI接頭-90度L母母帶螺絲孔(窄端同向)</t>
    <phoneticPr fontId="2" type="noConversion"/>
  </si>
  <si>
    <t>DC5.5*2.1mm-母轉帶黑红線(315.06)</t>
    <phoneticPr fontId="2" type="noConversion"/>
  </si>
  <si>
    <t>音頻</t>
    <phoneticPr fontId="2" type="noConversion"/>
  </si>
  <si>
    <t>RCA接頭-1分2公轉2母</t>
    <phoneticPr fontId="2" type="noConversion"/>
  </si>
  <si>
    <t>RCA接頭-1分2母轉2公</t>
    <phoneticPr fontId="2" type="noConversion"/>
  </si>
  <si>
    <t>RCA接頭-1分2母轉2母</t>
    <phoneticPr fontId="2" type="noConversion"/>
  </si>
  <si>
    <t>RJ45接頭-1分2帶芯片</t>
    <phoneticPr fontId="2" type="noConversion"/>
  </si>
  <si>
    <t>音頻線3.5mm-1分2白色公并2母175mm</t>
    <phoneticPr fontId="2" type="noConversion"/>
  </si>
  <si>
    <t>音頻線3.5mm-1分2黑色公轉2母帶線175mm</t>
    <phoneticPr fontId="2" type="noConversion"/>
  </si>
  <si>
    <t>BNC接頭-公公</t>
    <phoneticPr fontId="2" type="noConversion"/>
  </si>
  <si>
    <t>BNC接頭-1公2母</t>
    <phoneticPr fontId="2" type="noConversion"/>
  </si>
  <si>
    <t>HDMI接頭-母母鍍金</t>
    <phoneticPr fontId="2" type="noConversion"/>
  </si>
  <si>
    <t>1分2轉接頭-音頻3.5mm公轉2RCA母鍍金</t>
    <phoneticPr fontId="2" type="noConversion"/>
  </si>
  <si>
    <t>1分2轉接頭-音頻3.5mm公轉2RCA母鐵鍍鎳</t>
    <phoneticPr fontId="2" type="noConversion"/>
  </si>
  <si>
    <t>RCA接頭-1分2公轉2母鍍金</t>
    <phoneticPr fontId="2" type="noConversion"/>
  </si>
  <si>
    <t>RJ45端子-水晶頭CAT5e低價</t>
    <phoneticPr fontId="2" type="noConversion"/>
  </si>
  <si>
    <t>USB連接線-公T頭公1m</t>
    <phoneticPr fontId="2" type="noConversion"/>
  </si>
  <si>
    <t>DC轉接線-USB轉DC公頭2.5*0.7mm</t>
  </si>
  <si>
    <t>DC轉接線-USB轉DC公頭3.5*1.35mm</t>
  </si>
  <si>
    <t>DC轉接線-USB轉DC公頭4.0*1.7mm</t>
  </si>
  <si>
    <t>DC轉接線-USB轉DC公頭5.5*2.1mm</t>
  </si>
  <si>
    <t>轉接頭-BNC公轉F母CCTV</t>
    <phoneticPr fontId="2" type="noConversion"/>
  </si>
  <si>
    <t>轉接頭-DVI(24+5)母轉HDMI公黑色螺絲</t>
    <phoneticPr fontId="2" type="noConversion"/>
  </si>
  <si>
    <t>311.01</t>
    <phoneticPr fontId="2" type="noConversion"/>
  </si>
  <si>
    <t>311.02</t>
  </si>
  <si>
    <t>311.03</t>
  </si>
  <si>
    <t>311.04</t>
  </si>
  <si>
    <t>311.05</t>
  </si>
  <si>
    <t>311.06</t>
  </si>
  <si>
    <t>311.07</t>
  </si>
  <si>
    <t>311.08</t>
  </si>
  <si>
    <t>311.09</t>
  </si>
  <si>
    <t>315.14</t>
  </si>
  <si>
    <t>315.06</t>
    <phoneticPr fontId="2" type="noConversion"/>
  </si>
  <si>
    <t>333.02</t>
  </si>
  <si>
    <t>333.03</t>
  </si>
  <si>
    <t>333.04</t>
  </si>
  <si>
    <t>333.05</t>
  </si>
  <si>
    <t>333.06</t>
  </si>
  <si>
    <t>333.07</t>
  </si>
  <si>
    <t>333.08</t>
  </si>
  <si>
    <t>333.09</t>
  </si>
  <si>
    <t>333.10</t>
  </si>
  <si>
    <t>333.11</t>
  </si>
  <si>
    <t>332.01</t>
    <phoneticPr fontId="2" type="noConversion"/>
  </si>
  <si>
    <t>332.02</t>
  </si>
  <si>
    <t>332.03</t>
  </si>
  <si>
    <t>332.04</t>
  </si>
  <si>
    <t>332.05</t>
  </si>
  <si>
    <t>332.06</t>
  </si>
  <si>
    <t>332.07</t>
  </si>
  <si>
    <t>332.08</t>
  </si>
  <si>
    <t>332.09</t>
  </si>
  <si>
    <t>332.10</t>
    <phoneticPr fontId="2" type="noConversion"/>
  </si>
  <si>
    <t>332.11</t>
  </si>
  <si>
    <t>332.12</t>
  </si>
  <si>
    <t>332.13</t>
  </si>
  <si>
    <t>332.14</t>
  </si>
  <si>
    <t>332.15</t>
  </si>
  <si>
    <t>351.01</t>
    <phoneticPr fontId="2" type="noConversion"/>
  </si>
  <si>
    <t>351.02</t>
  </si>
  <si>
    <t>351.03</t>
  </si>
  <si>
    <t>351.04</t>
  </si>
  <si>
    <t>351.05</t>
  </si>
  <si>
    <t>351.06</t>
  </si>
  <si>
    <t>316.01</t>
    <phoneticPr fontId="2" type="noConversion"/>
  </si>
  <si>
    <t>316.02</t>
  </si>
  <si>
    <t>316.03</t>
  </si>
  <si>
    <t>316.04</t>
  </si>
  <si>
    <t>316.05</t>
  </si>
  <si>
    <t>316.06</t>
  </si>
  <si>
    <t>307.01</t>
    <phoneticPr fontId="2" type="noConversion"/>
  </si>
  <si>
    <t>307.02</t>
  </si>
  <si>
    <t>307.03</t>
  </si>
  <si>
    <t>307.06</t>
  </si>
  <si>
    <t>307.07</t>
  </si>
  <si>
    <t>鰐魚夾-測試線小48cm-5色套</t>
    <phoneticPr fontId="2" type="noConversion"/>
  </si>
  <si>
    <t>鰐魚夾-測試線中50cm-5色套</t>
    <phoneticPr fontId="2" type="noConversion"/>
  </si>
  <si>
    <t>音響香蕉頭</t>
    <phoneticPr fontId="2" type="noConversion"/>
  </si>
  <si>
    <t>335.01</t>
    <phoneticPr fontId="2" type="noConversion"/>
  </si>
  <si>
    <t>335.02</t>
  </si>
  <si>
    <t>335.03</t>
  </si>
  <si>
    <t>335.04</t>
  </si>
  <si>
    <t>335.05</t>
  </si>
  <si>
    <t>335.06</t>
  </si>
  <si>
    <t>335.07</t>
  </si>
  <si>
    <t>335.08</t>
  </si>
  <si>
    <t>335.09</t>
  </si>
  <si>
    <t>335.10</t>
  </si>
  <si>
    <t>335.11</t>
  </si>
  <si>
    <t>335.12</t>
  </si>
  <si>
    <t>335.13</t>
  </si>
  <si>
    <t>335.14</t>
  </si>
  <si>
    <t>335.15</t>
  </si>
  <si>
    <t>335.16</t>
  </si>
  <si>
    <t>334.01</t>
    <phoneticPr fontId="2" type="noConversion"/>
  </si>
  <si>
    <t>334.05</t>
  </si>
  <si>
    <t>334.06</t>
  </si>
  <si>
    <t>316.07</t>
    <phoneticPr fontId="2" type="noConversion"/>
  </si>
  <si>
    <t>316.08</t>
  </si>
  <si>
    <t>316.09</t>
  </si>
  <si>
    <t>316.10</t>
  </si>
  <si>
    <t>316.11</t>
    <phoneticPr fontId="2" type="noConversion"/>
  </si>
  <si>
    <t>316.12</t>
  </si>
  <si>
    <t>316.13</t>
  </si>
  <si>
    <t>316.14</t>
  </si>
  <si>
    <t>338.01</t>
    <phoneticPr fontId="2" type="noConversion"/>
  </si>
  <si>
    <t>338.02</t>
  </si>
  <si>
    <t>338.03</t>
  </si>
  <si>
    <t>338.04</t>
  </si>
  <si>
    <t>音頻接頭-1分2-3.5mm公轉2母</t>
    <phoneticPr fontId="2" type="noConversion"/>
  </si>
  <si>
    <t>音頻接頭-單音6.35mm母轉3.5mm公</t>
    <phoneticPr fontId="2" type="noConversion"/>
  </si>
  <si>
    <t>音頻接頭-雙音6.35mm母轉3.5mm公</t>
    <phoneticPr fontId="2" type="noConversion"/>
  </si>
  <si>
    <t>音頻接頭-3.5mm母轉6.35mm公</t>
    <phoneticPr fontId="2" type="noConversion"/>
  </si>
  <si>
    <t>334.07</t>
  </si>
  <si>
    <t>334.08</t>
  </si>
  <si>
    <t>334.09</t>
  </si>
  <si>
    <t>334.10</t>
  </si>
  <si>
    <t>轉接頭</t>
    <phoneticPr fontId="2" type="noConversion"/>
  </si>
  <si>
    <t>轉接線</t>
    <phoneticPr fontId="2" type="noConversion"/>
  </si>
  <si>
    <t>338.21</t>
    <phoneticPr fontId="2" type="noConversion"/>
  </si>
  <si>
    <t>338.22</t>
  </si>
  <si>
    <t>338.23</t>
  </si>
  <si>
    <t>338.24</t>
    <phoneticPr fontId="2" type="noConversion"/>
  </si>
  <si>
    <t>338.25</t>
  </si>
  <si>
    <t>338.26</t>
  </si>
  <si>
    <t>338.27</t>
  </si>
  <si>
    <t>338.28</t>
    <phoneticPr fontId="2" type="noConversion"/>
  </si>
  <si>
    <t>338.29</t>
    <phoneticPr fontId="2" type="noConversion"/>
  </si>
  <si>
    <t>354.01</t>
    <phoneticPr fontId="2" type="noConversion"/>
  </si>
  <si>
    <t>354.02</t>
  </si>
  <si>
    <t>354.03</t>
  </si>
  <si>
    <t>354.04</t>
  </si>
  <si>
    <t>354.05</t>
  </si>
  <si>
    <t>354.06</t>
  </si>
  <si>
    <t>322.06</t>
    <phoneticPr fontId="2" type="noConversion"/>
  </si>
  <si>
    <r>
      <t>水晶头保护套 六类护套 异形网线护套</t>
    </r>
    <r>
      <rPr>
        <sz val="10"/>
        <rFont val="宋体"/>
        <charset val="134"/>
      </rPr>
      <t>-藍</t>
    </r>
    <phoneticPr fontId="58" type="noConversion"/>
  </si>
  <si>
    <r>
      <t>水晶头保护套 六类护套 异形网线护套</t>
    </r>
    <r>
      <rPr>
        <sz val="10"/>
        <rFont val="宋体"/>
        <charset val="134"/>
      </rPr>
      <t>-白</t>
    </r>
    <phoneticPr fontId="58" type="noConversion"/>
  </si>
  <si>
    <r>
      <t>水晶头保护套 六类护套 异形网线护套</t>
    </r>
    <r>
      <rPr>
        <sz val="10"/>
        <rFont val="宋体"/>
        <charset val="134"/>
      </rPr>
      <t>-黃</t>
    </r>
    <phoneticPr fontId="58" type="noConversion"/>
  </si>
  <si>
    <r>
      <t>水晶头保护套 六类护套 异形网线护套</t>
    </r>
    <r>
      <rPr>
        <sz val="10"/>
        <rFont val="宋体"/>
        <charset val="134"/>
      </rPr>
      <t>-橙</t>
    </r>
    <phoneticPr fontId="58"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</si>
  <si>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</si>
  <si>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</si>
  <si>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</si>
  <si>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</si>
  <si>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</si>
  <si>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8"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</si>
  <si>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</si>
  <si>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</si>
  <si>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</si>
  <si>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</si>
  <si>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</si>
  <si>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</si>
  <si>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</si>
  <si>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</si>
  <si>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</si>
  <si>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</si>
  <si>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</si>
  <si>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</si>
  <si>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</si>
  <si>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8" type="noConversion"/>
  </si>
  <si>
    <t>超五类水晶头爪子水晶头护套 彩色护套 65-灰</t>
    <phoneticPr fontId="58" type="noConversion"/>
  </si>
  <si>
    <r>
      <t>超五类水晶头爪子水晶头护套 彩色护套 65</t>
    </r>
    <r>
      <rPr>
        <sz val="10"/>
        <rFont val="宋体"/>
        <charset val="134"/>
      </rPr>
      <t>-黑</t>
    </r>
    <phoneticPr fontId="58" type="noConversion"/>
  </si>
  <si>
    <r>
      <t>超五类水晶头爪子水晶头护套 彩色护套 65</t>
    </r>
    <r>
      <rPr>
        <sz val="10"/>
        <rFont val="宋体"/>
        <charset val="134"/>
      </rPr>
      <t>-藍</t>
    </r>
    <phoneticPr fontId="58" type="noConversion"/>
  </si>
  <si>
    <r>
      <t>超五类水晶头爪子水晶头护套 彩色护套 65</t>
    </r>
    <r>
      <rPr>
        <sz val="10"/>
        <rFont val="宋体"/>
        <charset val="134"/>
      </rPr>
      <t>-紫</t>
    </r>
    <phoneticPr fontId="58" type="noConversion"/>
  </si>
  <si>
    <r>
      <t>超五类水晶头爪子水晶头护套 彩色护套 65</t>
    </r>
    <r>
      <rPr>
        <sz val="10"/>
        <rFont val="宋体"/>
        <charset val="134"/>
      </rPr>
      <t>-淺灰</t>
    </r>
    <phoneticPr fontId="58"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</si>
  <si>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</si>
  <si>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</si>
  <si>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</si>
  <si>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</si>
  <si>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</si>
  <si>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8" type="noConversion"/>
  </si>
  <si>
    <t>银中原装机制网线 1米网络跳线 1米网线跳线 超五类RJ45网线 213</t>
    <phoneticPr fontId="58" type="noConversion"/>
  </si>
  <si>
    <r>
      <t>322.0</t>
    </r>
    <r>
      <rPr>
        <sz val="10"/>
        <rFont val="宋体"/>
        <charset val="134"/>
      </rPr>
      <t>1</t>
    </r>
    <phoneticPr fontId="58"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</si>
  <si>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</si>
  <si>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</si>
  <si>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</si>
  <si>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</si>
  <si>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</si>
  <si>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8" type="noConversion"/>
  </si>
  <si>
    <t>310.05</t>
    <phoneticPr fontId="58" type="noConversion"/>
  </si>
  <si>
    <t>361.21</t>
    <phoneticPr fontId="58" type="noConversion"/>
  </si>
  <si>
    <t>361.29</t>
    <phoneticPr fontId="58" type="noConversion"/>
  </si>
  <si>
    <t>电话一分四/1分4/一拖四/一进四出/分配盒/转接盒/分线盒6P4C四芯</t>
    <phoneticPr fontId="58" type="noConversion"/>
  </si>
  <si>
    <t>厂家直销 全铜电话直通头 电话线延长器 RJ11直通头内部带线</t>
    <phoneticPr fontId="58" type="noConversion"/>
  </si>
  <si>
    <t>全铜带线网络三通头 RJ45网线连接器 网线1分2转接头 8P8C 29</t>
    <phoneticPr fontId="58" type="noConversion"/>
  </si>
  <si>
    <t>高品质镀金网线一分二连接器 网络牛角三通 RJ45公转2母 网络牛角</t>
    <phoneticPr fontId="58" type="noConversion"/>
  </si>
  <si>
    <t>网线三通头 八芯网线转接头/RJ45三通/网络一分二/RJ45一分二 20</t>
    <phoneticPr fontId="58" type="noConversion"/>
  </si>
  <si>
    <t>x</t>
    <phoneticPr fontId="58" type="noConversion"/>
  </si>
  <si>
    <t>厂家直销 可拆卸洗杯刷 塑料强力长柄奶瓶刷 去污刷杯刷颜色随机kcxbs</t>
    <phoneticPr fontId="58" type="noConversion"/>
  </si>
  <si>
    <t>405.02</t>
  </si>
  <si>
    <r>
      <t>洗衣机漂浮滤毛器 海绵花形网袋过滤器</t>
    </r>
    <r>
      <rPr>
        <sz val="10"/>
        <rFont val="宋体"/>
        <charset val="134"/>
      </rPr>
      <t>-</t>
    </r>
    <r>
      <rPr>
        <sz val="10"/>
        <rFont val="宋体"/>
        <charset val="134"/>
      </rPr>
      <t>粉色(袋装）cmq-1</t>
    </r>
    <phoneticPr fontId="58" type="noConversion"/>
  </si>
  <si>
    <t>洗衣机漂浮滤毛器 海绵花形网袋洁滤器-蓝色（袋装）cmq-2</t>
    <phoneticPr fontId="58" type="noConversion"/>
  </si>
  <si>
    <r>
      <t>小米usb灯 led随身小夜灯 节能小台灯电脑 usb接口迷你灯 小米灯黄色（全检测）usbd-2</t>
    </r>
    <r>
      <rPr>
        <sz val="10"/>
        <rFont val="宋体"/>
        <charset val="134"/>
      </rPr>
      <t>(橙)</t>
    </r>
    <phoneticPr fontId="58" type="noConversion"/>
  </si>
  <si>
    <t>厨房清洁洗碗巾加厚双面百洁布 吸水不沾油污棉纱清洁布厂家批发26*26小号优质百洁布bjb-26</t>
    <phoneticPr fontId="58" type="noConversion"/>
  </si>
  <si>
    <r>
      <t>401.</t>
    </r>
    <r>
      <rPr>
        <sz val="10"/>
        <rFont val="宋体"/>
        <charset val="134"/>
      </rPr>
      <t>27</t>
    </r>
    <phoneticPr fontId="58" type="noConversion"/>
  </si>
  <si>
    <t>511.02</t>
  </si>
  <si>
    <t>超值10米长晾衣绳免打孔尼龙晒衣绳子 加粗多功能防滑晾衣服绳子lys-10</t>
    <phoneticPr fontId="58" type="noConversion"/>
  </si>
  <si>
    <t>511.03</t>
    <phoneticPr fontId="58" type="noConversion"/>
  </si>
  <si>
    <t>綠星-纸吸管 环保创意彩色纸吸管 一次性可降解纸质吸管纯色（混色）袋装15支纸吸管</t>
    <phoneticPr fontId="58" type="noConversion"/>
  </si>
  <si>
    <t>401.28</t>
    <phoneticPr fontId="58" type="noConversion"/>
  </si>
  <si>
    <t>藍圓點-纸吸管 环保创意彩色纸吸管 一次性可降解纸质吸管圆点（混色）袋装15支纸吸管</t>
    <phoneticPr fontId="58" type="noConversion"/>
  </si>
  <si>
    <t>黑白斜紋-纸吸管 环保创意彩色纸吸管 一次性可降解纸质吸管五角星（混色）袋装15支纸吸管</t>
    <phoneticPr fontId="58" type="noConversion"/>
  </si>
  <si>
    <t>純黑-纸吸管 环保创意彩色纸吸管 一次性可降解纸质吸管条纹（混色）袋装15支纸吸管</t>
    <phoneticPr fontId="58" type="noConversion"/>
  </si>
  <si>
    <t>粉星-纸吸管 环保创意彩色纸吸管 一次性可降解纸质吸管纯色（混色）袋装15支纸吸管</t>
    <phoneticPr fontId="58" type="noConversion"/>
  </si>
  <si>
    <t>紅白波浪-纸吸管 环保创意彩色纸吸管 一次性可降解纸质吸管纯色（混色）袋装15支纸吸管</t>
    <phoneticPr fontId="58" type="noConversion"/>
  </si>
  <si>
    <t>401.33</t>
  </si>
  <si>
    <t>511.04</t>
    <phoneticPr fontId="58" type="noConversion"/>
  </si>
  <si>
    <t>進貨</t>
    <phoneticPr fontId="68" type="noConversion"/>
  </si>
  <si>
    <t>己用</t>
    <phoneticPr fontId="68" type="noConversion"/>
  </si>
  <si>
    <t>餘額</t>
    <phoneticPr fontId="68" type="noConversion"/>
  </si>
  <si>
    <r>
      <t>#</t>
    </r>
    <r>
      <rPr>
        <sz val="10"/>
        <rFont val="宋体"/>
        <charset val="134"/>
      </rPr>
      <t>007</t>
    </r>
    <phoneticPr fontId="58" type="noConversion"/>
  </si>
  <si>
    <t>L-2分-3分外牙</t>
    <phoneticPr fontId="70" type="noConversion"/>
  </si>
  <si>
    <t>L-2分-1分細外牙</t>
    <phoneticPr fontId="70" type="noConversion"/>
  </si>
  <si>
    <t>L-3分-3分外牙</t>
    <phoneticPr fontId="70" type="noConversion"/>
  </si>
  <si>
    <t>L-3分-2分外牙</t>
    <phoneticPr fontId="70" type="noConversion"/>
  </si>
  <si>
    <t>L-2分-2分內牙</t>
    <phoneticPr fontId="70" type="noConversion"/>
  </si>
  <si>
    <t>L-2分-2分-隔板</t>
    <phoneticPr fontId="70" type="noConversion"/>
  </si>
  <si>
    <t>L-2分-1分長快插</t>
    <phoneticPr fontId="70" type="noConversion"/>
  </si>
  <si>
    <t>L-2分-2分快插</t>
    <phoneticPr fontId="70" type="noConversion"/>
  </si>
  <si>
    <t>L-3分-3分快插</t>
    <phoneticPr fontId="70" type="noConversion"/>
  </si>
  <si>
    <t>L-2分-3分內牙</t>
    <phoneticPr fontId="70" type="noConversion"/>
  </si>
  <si>
    <t>L-2分-3分快插</t>
    <phoneticPr fontId="70" type="noConversion"/>
  </si>
  <si>
    <t>L-3分-2分內牙</t>
    <phoneticPr fontId="70" type="noConversion"/>
  </si>
  <si>
    <t>L-3分-1分細外牙</t>
    <phoneticPr fontId="70" type="noConversion"/>
  </si>
  <si>
    <t>L-3分-2分快插</t>
    <phoneticPr fontId="70" type="noConversion"/>
  </si>
  <si>
    <t>L-3分-3分內牙</t>
    <phoneticPr fontId="70" type="noConversion"/>
  </si>
  <si>
    <t>L-3分-3分</t>
    <phoneticPr fontId="70" type="noConversion"/>
  </si>
  <si>
    <t>直-2分-2分</t>
    <phoneticPr fontId="70" type="noConversion"/>
  </si>
  <si>
    <t>直-2分-3分</t>
    <phoneticPr fontId="70" type="noConversion"/>
  </si>
  <si>
    <t>直-2分-3分外牙-隔板</t>
    <phoneticPr fontId="70" type="noConversion"/>
  </si>
  <si>
    <t>直-2分-2分外牙</t>
    <phoneticPr fontId="70" type="noConversion"/>
  </si>
  <si>
    <t>直-2分-2分細內牙</t>
    <phoneticPr fontId="70" type="noConversion"/>
  </si>
  <si>
    <t>直-2分-3分內牙</t>
    <phoneticPr fontId="70" type="noConversion"/>
  </si>
  <si>
    <t>直-3分-3分-隔板</t>
    <phoneticPr fontId="70" type="noConversion"/>
  </si>
  <si>
    <t>直-2分-3分外牙</t>
    <phoneticPr fontId="70" type="noConversion"/>
  </si>
  <si>
    <t>直-2分-2分內牙</t>
    <phoneticPr fontId="70" type="noConversion"/>
  </si>
  <si>
    <t>直-3分-3分外牙</t>
    <phoneticPr fontId="70" type="noConversion"/>
  </si>
  <si>
    <t>直-3分-3分</t>
    <phoneticPr fontId="70" type="noConversion"/>
  </si>
  <si>
    <t>直-2分-1分細外牙</t>
    <phoneticPr fontId="70" type="noConversion"/>
  </si>
  <si>
    <t>直-3分-2分外牙</t>
    <phoneticPr fontId="70" type="noConversion"/>
  </si>
  <si>
    <t>直-3分-3分內牙</t>
    <phoneticPr fontId="70" type="noConversion"/>
  </si>
  <si>
    <t>直-3分-2分內牙</t>
    <phoneticPr fontId="70" type="noConversion"/>
  </si>
  <si>
    <t>直-2分-3分-隔板</t>
    <phoneticPr fontId="70" type="noConversion"/>
  </si>
  <si>
    <t>T-3分-3分-3分</t>
    <phoneticPr fontId="70" type="noConversion"/>
  </si>
  <si>
    <t>T-3分-2分-3分</t>
    <phoneticPr fontId="70" type="noConversion"/>
  </si>
  <si>
    <t>T-2分-2分外牙-2分</t>
    <phoneticPr fontId="70" type="noConversion"/>
  </si>
  <si>
    <t>T-2分-2分-2分快插</t>
    <phoneticPr fontId="70" type="noConversion"/>
  </si>
  <si>
    <t>T-2分-2分-2分外牙</t>
    <phoneticPr fontId="70" type="noConversion"/>
  </si>
  <si>
    <t>Y-3分-3分-3分</t>
    <phoneticPr fontId="70" type="noConversion"/>
  </si>
  <si>
    <t>T-2分-2分-2分</t>
    <phoneticPr fontId="70" type="noConversion"/>
  </si>
  <si>
    <t>s1</t>
    <phoneticPr fontId="70" type="noConversion"/>
  </si>
  <si>
    <t>L-2分-2分</t>
    <phoneticPr fontId="70" type="noConversion"/>
  </si>
  <si>
    <r>
      <t>s</t>
    </r>
    <r>
      <rPr>
        <sz val="12"/>
        <rFont val="宋体"/>
        <charset val="134"/>
      </rPr>
      <t>2</t>
    </r>
    <phoneticPr fontId="70" type="noConversion"/>
  </si>
  <si>
    <t>T-2分-2分快插-2分</t>
    <phoneticPr fontId="70" type="noConversion"/>
  </si>
  <si>
    <t>T-3分-2分外牙-3分</t>
    <phoneticPr fontId="70" type="noConversion"/>
  </si>
  <si>
    <t>T-3分-3分外牙-3分</t>
    <phoneticPr fontId="70" type="noConversion"/>
  </si>
  <si>
    <t>T-3分-3分-2分外牙</t>
    <phoneticPr fontId="70" type="noConversion"/>
  </si>
  <si>
    <t>T-2分-3分外牙-2分</t>
    <phoneticPr fontId="70" type="noConversion"/>
  </si>
  <si>
    <t>T-3分-3分-2分快插</t>
    <phoneticPr fontId="70" type="noConversion"/>
  </si>
  <si>
    <t>T-2分-3分外牙-3分</t>
    <phoneticPr fontId="70" type="noConversion"/>
  </si>
  <si>
    <t>T-2分-2分外牙-3分</t>
    <phoneticPr fontId="70" type="noConversion"/>
  </si>
  <si>
    <t>T-3分-3分-3分外牙</t>
    <phoneticPr fontId="70" type="noConversion"/>
  </si>
  <si>
    <t>T-3分-3分-3分快插</t>
    <phoneticPr fontId="70" type="noConversion"/>
  </si>
  <si>
    <t>吸水不鏽鋼濾網-3分</t>
    <phoneticPr fontId="70" type="noConversion"/>
  </si>
  <si>
    <t>球閥-2分-3分</t>
    <phoneticPr fontId="70" type="noConversion"/>
  </si>
  <si>
    <t>球閥-2分-2分</t>
    <phoneticPr fontId="70" type="noConversion"/>
  </si>
  <si>
    <r>
      <t>s</t>
    </r>
    <r>
      <rPr>
        <sz val="12"/>
        <rFont val="宋体"/>
        <charset val="134"/>
      </rPr>
      <t>3</t>
    </r>
    <r>
      <rPr>
        <sz val="12"/>
        <rFont val="宋体"/>
        <charset val="134"/>
      </rPr>
      <t/>
    </r>
  </si>
  <si>
    <t>球閥-3分-2分外牙</t>
    <phoneticPr fontId="70" type="noConversion"/>
  </si>
  <si>
    <t>球閥-2分-2分外牙</t>
    <phoneticPr fontId="70" type="noConversion"/>
  </si>
  <si>
    <t>球閥-3分-3分外牙</t>
    <phoneticPr fontId="70" type="noConversion"/>
  </si>
  <si>
    <t>球閥-L-3分-6分內牙</t>
    <phoneticPr fontId="70" type="noConversion"/>
  </si>
  <si>
    <t>球閥-L-2分-2分內牙</t>
    <phoneticPr fontId="70" type="noConversion"/>
  </si>
  <si>
    <r>
      <t>s</t>
    </r>
    <r>
      <rPr>
        <sz val="12"/>
        <rFont val="宋体"/>
        <charset val="134"/>
      </rPr>
      <t>4</t>
    </r>
    <r>
      <rPr>
        <sz val="12"/>
        <rFont val="宋体"/>
        <charset val="134"/>
      </rPr>
      <t/>
    </r>
  </si>
  <si>
    <t>球閥-L-2分-6分內牙</t>
    <phoneticPr fontId="70" type="noConversion"/>
  </si>
  <si>
    <t>球閥-L-2分-3分內牙</t>
    <phoneticPr fontId="70" type="noConversion"/>
  </si>
  <si>
    <t>球閥-L-3分-3分內牙</t>
    <phoneticPr fontId="70" type="noConversion"/>
  </si>
  <si>
    <t>球閥-L-3分-2分內牙</t>
    <phoneticPr fontId="70" type="noConversion"/>
  </si>
  <si>
    <t>立布-3分</t>
    <phoneticPr fontId="70" type="noConversion"/>
  </si>
  <si>
    <t>立布-2分</t>
    <phoneticPr fontId="70" type="noConversion"/>
  </si>
  <si>
    <t>廢水比-300</t>
    <phoneticPr fontId="70" type="noConversion"/>
  </si>
  <si>
    <t>廢水比-650</t>
    <phoneticPr fontId="70" type="noConversion"/>
  </si>
  <si>
    <t>廢水比-350</t>
    <phoneticPr fontId="70" type="noConversion"/>
  </si>
  <si>
    <t>廢水比-550</t>
    <phoneticPr fontId="70" type="noConversion"/>
  </si>
  <si>
    <t>廢水比-420</t>
    <phoneticPr fontId="70" type="noConversion"/>
  </si>
  <si>
    <t>Y-2分-2分-2分</t>
    <phoneticPr fontId="70" type="noConversion"/>
  </si>
  <si>
    <t>L-2分-2分外牙</t>
    <phoneticPr fontId="70" type="noConversion"/>
  </si>
  <si>
    <t>s5</t>
    <phoneticPr fontId="70" type="noConversion"/>
  </si>
  <si>
    <t>2分轉2分細內牙鵝頸快接頭</t>
    <phoneticPr fontId="2" type="noConversion"/>
  </si>
  <si>
    <t>s6</t>
    <phoneticPr fontId="70" type="noConversion"/>
  </si>
  <si>
    <t>L-2分-3分</t>
    <phoneticPr fontId="70" type="noConversion"/>
  </si>
  <si>
    <t>T-2分-3分-2分</t>
    <phoneticPr fontId="70" type="noConversion"/>
  </si>
  <si>
    <t>T-2分-3分-3分</t>
    <phoneticPr fontId="70" type="noConversion"/>
  </si>
  <si>
    <t>直-2分-3分快插</t>
  </si>
  <si>
    <t>直-2分-2分快插</t>
  </si>
  <si>
    <t>直-3分-2分快插</t>
  </si>
  <si>
    <t>球閥-L-2分-2分內牙-陶瓷</t>
    <phoneticPr fontId="70" type="noConversion"/>
  </si>
  <si>
    <t>球閥-L-2分-2分內牙-陶瓷(免卡)</t>
    <phoneticPr fontId="70" type="noConversion"/>
  </si>
  <si>
    <t>閥廢水比</t>
    <phoneticPr fontId="2" type="noConversion"/>
  </si>
  <si>
    <t>381.01</t>
    <phoneticPr fontId="70"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</si>
  <si>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</si>
  <si>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</si>
  <si>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</si>
  <si>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</si>
  <si>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</si>
  <si>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</si>
  <si>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</si>
  <si>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</si>
  <si>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</si>
  <si>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</si>
  <si>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</si>
  <si>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</si>
  <si>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</si>
  <si>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</si>
  <si>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</si>
  <si>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</si>
  <si>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</si>
  <si>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</si>
  <si>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</si>
  <si>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</si>
  <si>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</si>
  <si>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</si>
  <si>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</si>
  <si>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</si>
  <si>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</si>
  <si>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</si>
  <si>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</si>
  <si>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</si>
  <si>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</si>
  <si>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</si>
  <si>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</si>
  <si>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</si>
  <si>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</si>
  <si>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</si>
  <si>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</si>
  <si>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</si>
  <si>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</si>
  <si>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</si>
  <si>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</si>
  <si>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</si>
  <si>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</si>
  <si>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</si>
  <si>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</si>
  <si>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</si>
  <si>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</si>
  <si>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</si>
  <si>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</si>
  <si>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</si>
  <si>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</si>
  <si>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</si>
  <si>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</si>
  <si>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</si>
  <si>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</si>
  <si>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</si>
  <si>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</si>
  <si>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0" type="noConversion"/>
  </si>
  <si>
    <t>382.02</t>
  </si>
  <si>
    <t>382.03</t>
  </si>
  <si>
    <t>382.04</t>
  </si>
  <si>
    <t>382.05</t>
  </si>
  <si>
    <t>382.06</t>
  </si>
  <si>
    <t>382.07</t>
  </si>
  <si>
    <t>382.09</t>
  </si>
  <si>
    <t>382.10</t>
  </si>
  <si>
    <t>382.11</t>
  </si>
  <si>
    <t>382.12</t>
  </si>
  <si>
    <t>382.13</t>
  </si>
  <si>
    <t>382.31</t>
    <phoneticPr fontId="70" type="noConversion"/>
  </si>
  <si>
    <t>382.32</t>
  </si>
  <si>
    <t>382.33</t>
  </si>
  <si>
    <t>382.34</t>
  </si>
  <si>
    <t>382.35</t>
  </si>
  <si>
    <t>382.36</t>
  </si>
  <si>
    <r>
      <t>s</t>
    </r>
    <r>
      <rPr>
        <sz val="12"/>
        <rFont val="宋体"/>
        <charset val="134"/>
      </rPr>
      <t>7</t>
    </r>
    <phoneticPr fontId="70" type="noConversion"/>
  </si>
  <si>
    <r>
      <t>s</t>
    </r>
    <r>
      <rPr>
        <sz val="12"/>
        <rFont val="宋体"/>
        <charset val="134"/>
      </rPr>
      <t>8</t>
    </r>
    <phoneticPr fontId="70" type="noConversion"/>
  </si>
  <si>
    <t>廢水比-400</t>
    <phoneticPr fontId="70" type="noConversion"/>
  </si>
  <si>
    <t>廢水比-450</t>
    <phoneticPr fontId="70" type="noConversion"/>
  </si>
  <si>
    <t>382.37</t>
  </si>
  <si>
    <t>382.38</t>
  </si>
  <si>
    <t>廢水比-800</t>
    <phoneticPr fontId="70" type="noConversion"/>
  </si>
  <si>
    <t>廢水比-1000</t>
    <phoneticPr fontId="70" type="noConversion"/>
  </si>
  <si>
    <t>廢水比-1200</t>
    <phoneticPr fontId="70" type="noConversion"/>
  </si>
  <si>
    <t>廢水比-1500</t>
    <phoneticPr fontId="70" type="noConversion"/>
  </si>
  <si>
    <t>立布-4分</t>
    <phoneticPr fontId="70" type="noConversion"/>
  </si>
  <si>
    <t>s9</t>
    <phoneticPr fontId="70" type="noConversion"/>
  </si>
  <si>
    <t>s10</t>
  </si>
  <si>
    <t>s11</t>
  </si>
  <si>
    <t>s12</t>
  </si>
  <si>
    <t>s13</t>
    <phoneticPr fontId="70" type="noConversion"/>
  </si>
  <si>
    <t>s14</t>
  </si>
  <si>
    <t>立布-6分</t>
    <phoneticPr fontId="70" type="noConversion"/>
  </si>
  <si>
    <t>382.40</t>
  </si>
  <si>
    <t>382.41</t>
  </si>
  <si>
    <t>382.42</t>
  </si>
  <si>
    <t>382.51</t>
    <phoneticPr fontId="70" type="noConversion"/>
  </si>
  <si>
    <t>382.52</t>
  </si>
  <si>
    <t>382.53</t>
  </si>
  <si>
    <t>382.54</t>
  </si>
  <si>
    <t>383.01</t>
    <phoneticPr fontId="70" type="noConversion"/>
  </si>
  <si>
    <t>381.31</t>
    <phoneticPr fontId="70" type="noConversion"/>
  </si>
  <si>
    <t>直-2分-1分細內牙</t>
    <phoneticPr fontId="70" type="noConversion"/>
  </si>
  <si>
    <r>
      <t>L-2分-1分內牙</t>
    </r>
    <r>
      <rPr>
        <sz val="10"/>
        <rFont val="宋体"/>
        <charset val="134"/>
      </rPr>
      <t>(細內牙?)</t>
    </r>
    <phoneticPr fontId="70" type="noConversion"/>
  </si>
  <si>
    <t>K4046N接头3分内牙转2分快接 L型弯头 3分内螺纹转2分快接</t>
    <phoneticPr fontId="70" type="noConversion"/>
  </si>
  <si>
    <r>
      <t>381.</t>
    </r>
    <r>
      <rPr>
        <sz val="10"/>
        <rFont val="宋体"/>
        <charset val="134"/>
      </rPr>
      <t>70</t>
    </r>
    <phoneticPr fontId="70" type="noConversion"/>
  </si>
  <si>
    <r>
      <t>381.</t>
    </r>
    <r>
      <rPr>
        <sz val="10"/>
        <rFont val="宋体"/>
        <charset val="134"/>
      </rPr>
      <t>55</t>
    </r>
    <phoneticPr fontId="70" type="noConversion"/>
  </si>
  <si>
    <t>381.53</t>
    <phoneticPr fontId="70" type="noConversion"/>
  </si>
  <si>
    <t>世通接头 三分内螺纹转三分快接 弯头 L型转换接头快接弯头</t>
    <phoneticPr fontId="70" type="noConversion"/>
  </si>
  <si>
    <r>
      <t>3</t>
    </r>
    <r>
      <rPr>
        <sz val="10"/>
        <rFont val="宋体"/>
        <charset val="134"/>
      </rPr>
      <t>21.05</t>
    </r>
    <phoneticPr fontId="2" type="noConversion"/>
  </si>
  <si>
    <r>
      <t>3</t>
    </r>
    <r>
      <rPr>
        <sz val="10"/>
        <rFont val="宋体"/>
        <charset val="134"/>
      </rPr>
      <t>21.40</t>
    </r>
    <phoneticPr fontId="2" type="noConversion"/>
  </si>
  <si>
    <r>
      <t>3</t>
    </r>
    <r>
      <rPr>
        <sz val="10"/>
        <rFont val="宋体"/>
        <charset val="134"/>
      </rPr>
      <t>21.41</t>
    </r>
    <phoneticPr fontId="2" type="noConversion"/>
  </si>
  <si>
    <t>RJ45端子-水晶頭套CAT5e低價-灰</t>
    <phoneticPr fontId="2" type="noConversion"/>
  </si>
  <si>
    <t>RJ45端子-水晶頭套CAT5e低價-藍</t>
    <phoneticPr fontId="2" type="noConversion"/>
  </si>
  <si>
    <t>七类护套 水晶头套 保护套 批发 黑色 656(黃)</t>
    <phoneticPr fontId="58" type="noConversion"/>
  </si>
  <si>
    <t>RJ45网络水晶护套 8P8C水晶胶套 彩色水晶护套 超五类水晶护套 彩色</t>
    <phoneticPr fontId="2" type="noConversion"/>
  </si>
  <si>
    <t>1.5米3.5mm一分二RCA音频线3.5转双莲花电脑连接线一对二音频线 黑 线长：1.5米实际1.4米102</t>
    <phoneticPr fontId="2" type="noConversion"/>
  </si>
  <si>
    <t>1分2轉接線-音頻3.5mm公轉2RCA公金頭1.5m</t>
    <phoneticPr fontId="2" type="noConversion"/>
  </si>
  <si>
    <t>1分3轉接線-音頻3.5mm公轉3RCA母金頭</t>
    <phoneticPr fontId="2" type="noConversion"/>
  </si>
  <si>
    <t>1分2轉接線-音頻3.5mm公轉2RCA母</t>
    <phoneticPr fontId="2" type="noConversion"/>
  </si>
  <si>
    <t>1分3轉接線-音頻3.5mm公轉3RCA公1.5m</t>
    <phoneticPr fontId="2" type="noConversion"/>
  </si>
  <si>
    <t>RCA連接線-2公2公1.5m金頭</t>
    <phoneticPr fontId="2" type="noConversion"/>
  </si>
  <si>
    <t>RCA連接線-3公3公1.5m金頭</t>
    <phoneticPr fontId="2" type="noConversion"/>
  </si>
  <si>
    <t>音頻線3.5mm-公公黑色金頭1.5m</t>
    <phoneticPr fontId="2" type="noConversion"/>
  </si>
  <si>
    <t>音頻線3.5mm-公母黑色全銅金頭1.5m</t>
    <phoneticPr fontId="2" type="noConversion"/>
  </si>
  <si>
    <t>明雅K5转换插旅游转换插头转换器 转换插头 带开关转换插座一转3 K5 白色</t>
    <phoneticPr fontId="2" type="noConversion"/>
  </si>
  <si>
    <t>多孔位轉換插座-2位3孔轉扁2插帶開關K5</t>
    <phoneticPr fontId="2" type="noConversion"/>
  </si>
  <si>
    <r>
      <t>多孔位轉換插座-3位3孔轉扁2插帶按鈕開關</t>
    </r>
    <r>
      <rPr>
        <sz val="10"/>
        <rFont val="宋体"/>
        <charset val="134"/>
      </rPr>
      <t>K2</t>
    </r>
    <phoneticPr fontId="2" type="noConversion"/>
  </si>
  <si>
    <r>
      <t>多孔位轉換插座-3位3孔轉扁2插帶船形開關</t>
    </r>
    <r>
      <rPr>
        <sz val="10"/>
        <rFont val="宋体"/>
        <charset val="134"/>
      </rPr>
      <t>K3</t>
    </r>
    <phoneticPr fontId="2" type="noConversion"/>
  </si>
  <si>
    <r>
      <t>多孔位轉換插座-4位3孔轉扁2插</t>
    </r>
    <r>
      <rPr>
        <sz val="10"/>
        <rFont val="宋体"/>
        <charset val="134"/>
      </rPr>
      <t>K8</t>
    </r>
    <phoneticPr fontId="2" type="noConversion"/>
  </si>
  <si>
    <r>
      <t>多孔位轉換插座-可旋轉4位3孔轉扁2插</t>
    </r>
    <r>
      <rPr>
        <sz val="10"/>
        <rFont val="宋体"/>
        <charset val="134"/>
      </rPr>
      <t>K4</t>
    </r>
    <phoneticPr fontId="2" type="noConversion"/>
  </si>
  <si>
    <t>轉換插座-3孔轉美英歐3種小布袋</t>
    <phoneticPr fontId="2" type="noConversion"/>
  </si>
  <si>
    <t>一拖四多功能两扁转换插头插座转换器一体成型防摔 电源旅行插座 K8 2扁</t>
    <phoneticPr fontId="2" type="noConversion"/>
  </si>
  <si>
    <t>多孔位轉換插座-3位扁2插迷你彩色</t>
    <phoneticPr fontId="2" type="noConversion"/>
  </si>
  <si>
    <t>镀金200A鳄鱼夹汽车大号电瓶夹大电流鳄鱼夹200A 鳄鱼夹长140MM</t>
    <phoneticPr fontId="2" type="noConversion"/>
  </si>
  <si>
    <r>
      <t>鰐魚夾-140mm鍍金200A</t>
    </r>
    <r>
      <rPr>
        <sz val="10"/>
        <rFont val="宋体"/>
        <charset val="134"/>
      </rPr>
      <t>-黑</t>
    </r>
    <phoneticPr fontId="2" type="noConversion"/>
  </si>
  <si>
    <r>
      <t>鰐魚夾-140mm鍍金200A</t>
    </r>
    <r>
      <rPr>
        <sz val="10"/>
        <rFont val="宋体"/>
        <charset val="134"/>
      </rPr>
      <t>-紅</t>
    </r>
    <phoneticPr fontId="2" type="noConversion"/>
  </si>
  <si>
    <r>
      <t>鰐魚夾-102mm鍍銅60A</t>
    </r>
    <r>
      <rPr>
        <sz val="10"/>
        <rFont val="宋体"/>
        <charset val="134"/>
      </rPr>
      <t>-黑紅1對</t>
    </r>
    <phoneticPr fontId="2" type="noConversion"/>
  </si>
  <si>
    <r>
      <t>鰐魚夾-90mm全包鍍銅100A</t>
    </r>
    <r>
      <rPr>
        <sz val="10"/>
        <rFont val="宋体"/>
        <charset val="134"/>
      </rPr>
      <t>-黑</t>
    </r>
    <phoneticPr fontId="2" type="noConversion"/>
  </si>
  <si>
    <r>
      <t>鰐魚夾-90mm全包鍍銅100A</t>
    </r>
    <r>
      <rPr>
        <sz val="10"/>
        <rFont val="宋体"/>
        <charset val="134"/>
      </rPr>
      <t>-紅</t>
    </r>
    <phoneticPr fontId="2" type="noConversion"/>
  </si>
  <si>
    <t>鰐魚夾-75mm全包膠護套彈簧20A-黑</t>
    <phoneticPr fontId="2" type="noConversion"/>
  </si>
  <si>
    <t>鰐魚夾-75mm全包膠護套彈簧20A-紅</t>
    <phoneticPr fontId="2" type="noConversion"/>
  </si>
  <si>
    <r>
      <t>315.0</t>
    </r>
    <r>
      <rPr>
        <sz val="10"/>
        <rFont val="宋体"/>
        <charset val="134"/>
      </rPr>
      <t>8</t>
    </r>
    <phoneticPr fontId="2" type="noConversion"/>
  </si>
  <si>
    <r>
      <t>315.09</t>
    </r>
    <r>
      <rPr>
        <sz val="10"/>
        <rFont val="宋体"/>
        <charset val="134"/>
      </rPr>
      <t/>
    </r>
  </si>
  <si>
    <r>
      <t>315.10</t>
    </r>
    <r>
      <rPr>
        <sz val="10"/>
        <rFont val="宋体"/>
        <charset val="134"/>
      </rPr>
      <t/>
    </r>
  </si>
  <si>
    <r>
      <t>315.11</t>
    </r>
    <r>
      <rPr>
        <sz val="10"/>
        <rFont val="宋体"/>
        <charset val="134"/>
      </rPr>
      <t/>
    </r>
  </si>
  <si>
    <t>315.12</t>
    <phoneticPr fontId="2" type="noConversion"/>
  </si>
  <si>
    <t>315.13</t>
  </si>
  <si>
    <t>315.15</t>
  </si>
  <si>
    <t>315.19</t>
  </si>
  <si>
    <t>315.20</t>
  </si>
  <si>
    <t>315.21</t>
  </si>
  <si>
    <t>315.22</t>
  </si>
  <si>
    <t>315.27</t>
    <phoneticPr fontId="2" type="noConversion"/>
  </si>
  <si>
    <t>直销60A102mm镀铜50A镀铜鳄鱼夹逆变机超声波套件鳄鱼夹 蓄电池夹</t>
    <phoneticPr fontId="2" type="noConversion"/>
  </si>
  <si>
    <t>307.04</t>
    <phoneticPr fontId="2" type="noConversion"/>
  </si>
  <si>
    <t>307.05</t>
    <phoneticPr fontId="2" type="noConversion"/>
  </si>
  <si>
    <t>20A大电流全包鳄鱼夹 测试夹 弹簧夹 电夹 大号护套鳄鱼夹 75mm</t>
    <phoneticPr fontId="2" type="noConversion"/>
  </si>
  <si>
    <t>315.16</t>
    <phoneticPr fontId="2" type="noConversion"/>
  </si>
  <si>
    <t>315.17</t>
    <phoneticPr fontId="2" type="noConversion"/>
  </si>
  <si>
    <t>315.18</t>
    <phoneticPr fontId="2"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</si>
  <si>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</si>
  <si>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2" type="noConversion"/>
  </si>
  <si>
    <t>鰐魚夾-大護套銅5A-黑紅1對</t>
    <phoneticPr fontId="2"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</si>
  <si>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</si>
  <si>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</si>
  <si>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</si>
  <si>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</si>
  <si>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</si>
  <si>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2" type="noConversion"/>
  </si>
  <si>
    <t>USB連接線-公公藍色透明全銅帶磁環1.5m</t>
    <phoneticPr fontId="2" type="noConversion"/>
  </si>
  <si>
    <t>USB連接線-公母黑色全銅帶磁環1.5m</t>
    <phoneticPr fontId="2" type="noConversion"/>
  </si>
  <si>
    <t>USB連接線-公公黑色全銅帶磁環1.5m</t>
    <phoneticPr fontId="2" type="noConversion"/>
  </si>
  <si>
    <t>音頻線3.5mm-公公金屬彩色殼鍍金頭編織線1m</t>
    <phoneticPr fontId="2" type="noConversion"/>
  </si>
  <si>
    <t>音頻線3.5mm-公公金屬金色殼鍍金頭編織線1m</t>
    <phoneticPr fontId="2" type="noConversion"/>
  </si>
  <si>
    <r>
      <t>轉接頭-RS232公轉</t>
    </r>
    <r>
      <rPr>
        <sz val="10"/>
        <rFont val="宋体"/>
        <charset val="134"/>
      </rPr>
      <t>RS232</t>
    </r>
    <r>
      <rPr>
        <sz val="10"/>
        <rFont val="宋体"/>
        <charset val="134"/>
      </rPr>
      <t>公</t>
    </r>
    <phoneticPr fontId="2" type="noConversion"/>
  </si>
  <si>
    <r>
      <t>轉接頭-RS232公轉</t>
    </r>
    <r>
      <rPr>
        <sz val="10"/>
        <rFont val="宋体"/>
        <charset val="134"/>
      </rPr>
      <t>RS232</t>
    </r>
    <r>
      <rPr>
        <sz val="10"/>
        <rFont val="宋体"/>
        <charset val="134"/>
      </rPr>
      <t>母</t>
    </r>
    <phoneticPr fontId="2" type="noConversion"/>
  </si>
  <si>
    <r>
      <t>轉接頭-RS232母轉</t>
    </r>
    <r>
      <rPr>
        <sz val="10"/>
        <rFont val="宋体"/>
        <charset val="134"/>
      </rPr>
      <t>RS232</t>
    </r>
    <r>
      <rPr>
        <sz val="10"/>
        <rFont val="宋体"/>
        <charset val="134"/>
      </rPr>
      <t>母</t>
    </r>
    <phoneticPr fontId="2" type="noConversion"/>
  </si>
  <si>
    <r>
      <t>RCA連接線-1分2</t>
    </r>
    <r>
      <rPr>
        <sz val="10"/>
        <rFont val="宋体"/>
        <charset val="134"/>
      </rPr>
      <t>-</t>
    </r>
    <r>
      <rPr>
        <sz val="10"/>
        <rFont val="宋体"/>
        <charset val="134"/>
      </rPr>
      <t>公轉2母32cm</t>
    </r>
    <phoneticPr fontId="2" type="noConversion"/>
  </si>
  <si>
    <r>
      <t>RCA連接線-1分2-</t>
    </r>
    <r>
      <rPr>
        <sz val="10"/>
        <rFont val="宋体"/>
        <charset val="134"/>
      </rPr>
      <t>母轉2公</t>
    </r>
    <r>
      <rPr>
        <sz val="10"/>
        <rFont val="宋体"/>
        <charset val="134"/>
      </rPr>
      <t>30cm</t>
    </r>
    <phoneticPr fontId="2" type="noConversion"/>
  </si>
  <si>
    <t>RCA接頭-母母鍍金</t>
    <phoneticPr fontId="2" type="noConversion"/>
  </si>
  <si>
    <t>供应 3.5一分二音频转接头 3.5公转两个3.5母 耳机转接头 情侣插 102</t>
    <phoneticPr fontId="2" type="noConversion"/>
  </si>
  <si>
    <r>
      <t>334.0</t>
    </r>
    <r>
      <rPr>
        <sz val="10"/>
        <rFont val="宋体"/>
        <charset val="134"/>
      </rPr>
      <t>2</t>
    </r>
    <phoneticPr fontId="2" type="noConversion"/>
  </si>
  <si>
    <r>
      <t>334.0</t>
    </r>
    <r>
      <rPr>
        <sz val="10"/>
        <rFont val="宋体"/>
        <charset val="134"/>
      </rPr>
      <t>3</t>
    </r>
    <phoneticPr fontId="2" type="noConversion"/>
  </si>
  <si>
    <r>
      <t>334.0</t>
    </r>
    <r>
      <rPr>
        <sz val="10"/>
        <rFont val="宋体"/>
        <charset val="134"/>
      </rPr>
      <t>4</t>
    </r>
    <phoneticPr fontId="2" type="noConversion"/>
  </si>
  <si>
    <t>1分2轉接頭-音頻6.35mm公轉2RCA母</t>
    <phoneticPr fontId="2" type="noConversion"/>
  </si>
  <si>
    <t>x</t>
    <phoneticPr fontId="2" type="noConversion"/>
  </si>
  <si>
    <r>
      <t>333.</t>
    </r>
    <r>
      <rPr>
        <sz val="10"/>
        <rFont val="宋体"/>
        <charset val="134"/>
      </rPr>
      <t>12</t>
    </r>
    <phoneticPr fontId="2" type="noConversion"/>
  </si>
  <si>
    <r>
      <t>333.</t>
    </r>
    <r>
      <rPr>
        <sz val="10"/>
        <rFont val="宋体"/>
        <charset val="134"/>
      </rPr>
      <t>01</t>
    </r>
    <phoneticPr fontId="2" type="noConversion"/>
  </si>
  <si>
    <r>
      <t>香蕉頭2mm-純銅鍍金直針型</t>
    </r>
    <r>
      <rPr>
        <sz val="10"/>
        <rFont val="宋体"/>
        <charset val="134"/>
      </rPr>
      <t>-黑</t>
    </r>
    <phoneticPr fontId="2" type="noConversion"/>
  </si>
  <si>
    <r>
      <t>香蕉頭2mm-純銅鍍金直針型</t>
    </r>
    <r>
      <rPr>
        <sz val="10"/>
        <rFont val="宋体"/>
        <charset val="134"/>
      </rPr>
      <t>-紅</t>
    </r>
    <phoneticPr fontId="2" type="noConversion"/>
  </si>
  <si>
    <r>
      <t>香蕉頭4mm-百威鍍金</t>
    </r>
    <r>
      <rPr>
        <sz val="10"/>
        <rFont val="宋体"/>
        <charset val="134"/>
      </rPr>
      <t>-黑</t>
    </r>
    <phoneticPr fontId="2" type="noConversion"/>
  </si>
  <si>
    <t>香蕉頭4mm-百威鍍金-紅</t>
    <phoneticPr fontId="2" type="noConversion"/>
  </si>
  <si>
    <r>
      <t>香蕉頭4mm-鍍金四頁型</t>
    </r>
    <r>
      <rPr>
        <sz val="10"/>
        <rFont val="宋体"/>
        <charset val="134"/>
      </rPr>
      <t>-黑紅1對</t>
    </r>
    <phoneticPr fontId="2" type="noConversion"/>
  </si>
  <si>
    <t>香蕉頭4mm-鍍鎳四頁型-黑紅1對</t>
    <phoneticPr fontId="2" type="noConversion"/>
  </si>
  <si>
    <r>
      <t>香蕉頭4mm-怪獸純銅鍍金四頁型</t>
    </r>
    <r>
      <rPr>
        <sz val="10"/>
        <rFont val="宋体"/>
        <charset val="134"/>
      </rPr>
      <t>-黑</t>
    </r>
    <phoneticPr fontId="2" type="noConversion"/>
  </si>
  <si>
    <r>
      <t>香蕉頭4mm-怪獸純銅鍍金四頁型</t>
    </r>
    <r>
      <rPr>
        <sz val="10"/>
        <rFont val="宋体"/>
        <charset val="134"/>
      </rPr>
      <t>-紅</t>
    </r>
    <phoneticPr fontId="2" type="noConversion"/>
  </si>
  <si>
    <t>厂家直销 怪兽香蕉插头24K镀金纯铜 发烧喇叭音箱插头 香蕉头</t>
    <phoneticPr fontId="2" type="noConversion"/>
  </si>
  <si>
    <r>
      <t>香蕉頭4mm-雙聯鐵鍍鎳</t>
    </r>
    <r>
      <rPr>
        <sz val="10"/>
        <rFont val="宋体"/>
        <charset val="134"/>
      </rPr>
      <t>-黑</t>
    </r>
    <phoneticPr fontId="2" type="noConversion"/>
  </si>
  <si>
    <r>
      <t>香蕉頭4mm-雙聯鐵鍍鎳</t>
    </r>
    <r>
      <rPr>
        <sz val="10"/>
        <rFont val="宋体"/>
        <charset val="134"/>
      </rPr>
      <t>-紅</t>
    </r>
    <phoneticPr fontId="2" type="noConversion"/>
  </si>
  <si>
    <r>
      <t>香蕉頭4mm-中道純銅鍍金鋁殼L彎頭型</t>
    </r>
    <r>
      <rPr>
        <sz val="10"/>
        <rFont val="宋体"/>
        <charset val="134"/>
      </rPr>
      <t>-黑</t>
    </r>
    <phoneticPr fontId="2" type="noConversion"/>
  </si>
  <si>
    <r>
      <t>香蕉頭4mm-中道純銅鍍金鋁殼L彎頭型</t>
    </r>
    <r>
      <rPr>
        <sz val="10"/>
        <rFont val="宋体"/>
        <charset val="134"/>
      </rPr>
      <t>-紅</t>
    </r>
    <phoneticPr fontId="2" type="noConversion"/>
  </si>
  <si>
    <t>中道纯铜镀金banana头香蕉插头喇叭线Y型插头/U型插头音响线接头102</t>
    <phoneticPr fontId="2" type="noConversion"/>
  </si>
  <si>
    <r>
      <t>香蕉頭4mm-中道純銅鍍金鋁殼鋸齒型</t>
    </r>
    <r>
      <rPr>
        <sz val="10"/>
        <rFont val="宋体"/>
        <charset val="134"/>
      </rPr>
      <t>-黑</t>
    </r>
    <phoneticPr fontId="2" type="noConversion"/>
  </si>
  <si>
    <r>
      <t>香蕉頭4mm-中道純銅鍍金鋁殼鋸齒型</t>
    </r>
    <r>
      <rPr>
        <sz val="10"/>
        <rFont val="宋体"/>
        <charset val="134"/>
      </rPr>
      <t>-紅</t>
    </r>
    <phoneticPr fontId="2" type="noConversion"/>
  </si>
  <si>
    <t>335.17</t>
  </si>
  <si>
    <t>335.18</t>
  </si>
  <si>
    <t>中道Nakamichi 纯铜镀金香蕉插头 免焊接4MM香蕉头音响喇叭线插头 中道香蕉102</t>
    <phoneticPr fontId="2" type="noConversion"/>
  </si>
  <si>
    <t>335.19</t>
  </si>
  <si>
    <t>335.20</t>
  </si>
  <si>
    <t>335.21</t>
  </si>
  <si>
    <t>335.22</t>
  </si>
  <si>
    <t>厂家直销六角棱4mm香蕉插座纯铜镀金 功放音响音箱接线柱接线端子105</t>
    <phoneticPr fontId="2" type="noConversion"/>
  </si>
  <si>
    <r>
      <t>香蕉頭4mm-中道純銅鍍金四頁型</t>
    </r>
    <r>
      <rPr>
        <sz val="10"/>
        <rFont val="宋体"/>
        <charset val="134"/>
      </rPr>
      <t>-黑</t>
    </r>
    <phoneticPr fontId="2" type="noConversion"/>
  </si>
  <si>
    <r>
      <t>香蕉頭4mm-中道純銅鍍金四頁型</t>
    </r>
    <r>
      <rPr>
        <sz val="10"/>
        <rFont val="宋体"/>
        <charset val="134"/>
      </rPr>
      <t>-紅</t>
    </r>
    <phoneticPr fontId="2" type="noConversion"/>
  </si>
  <si>
    <r>
      <t>香蕉頭4mm-中道純銅鋁殼六芯型</t>
    </r>
    <r>
      <rPr>
        <sz val="10"/>
        <rFont val="宋体"/>
        <charset val="134"/>
      </rPr>
      <t>-黑</t>
    </r>
    <phoneticPr fontId="2" type="noConversion"/>
  </si>
  <si>
    <r>
      <t>香蕉頭4mm-中道純銅鋁殼六芯型</t>
    </r>
    <r>
      <rPr>
        <sz val="10"/>
        <rFont val="宋体"/>
        <charset val="134"/>
      </rPr>
      <t>-紅</t>
    </r>
    <phoneticPr fontId="2" type="noConversion"/>
  </si>
  <si>
    <r>
      <t>香蕉頭插座4mm-純銅鍍金圓柱型</t>
    </r>
    <r>
      <rPr>
        <sz val="10"/>
        <rFont val="宋体"/>
        <charset val="134"/>
      </rPr>
      <t>-黑</t>
    </r>
    <phoneticPr fontId="2" type="noConversion"/>
  </si>
  <si>
    <r>
      <t>香蕉頭插座4mm-純銅鍍金圓柱型</t>
    </r>
    <r>
      <rPr>
        <sz val="10"/>
        <rFont val="宋体"/>
        <charset val="134"/>
      </rPr>
      <t>-紅</t>
    </r>
    <phoneticPr fontId="2" type="noConversion"/>
  </si>
  <si>
    <r>
      <t>香蕉頭4mm-中道純銅鍍金鋁殼Y型</t>
    </r>
    <r>
      <rPr>
        <sz val="10"/>
        <rFont val="宋体"/>
        <charset val="134"/>
      </rPr>
      <t>-黑</t>
    </r>
    <phoneticPr fontId="2" type="noConversion"/>
  </si>
  <si>
    <r>
      <t>香蕉頭4mm-中道純銅鍍金鋁殼Y型</t>
    </r>
    <r>
      <rPr>
        <sz val="10"/>
        <rFont val="宋体"/>
        <charset val="134"/>
      </rPr>
      <t>-紅</t>
    </r>
    <phoneticPr fontId="2" type="noConversion"/>
  </si>
  <si>
    <r>
      <t>香蕉頭插座4mm-鍍銅六角型</t>
    </r>
    <r>
      <rPr>
        <sz val="10"/>
        <rFont val="宋体"/>
        <charset val="134"/>
      </rPr>
      <t>-黑</t>
    </r>
    <phoneticPr fontId="2" type="noConversion"/>
  </si>
  <si>
    <t>香蕉頭插座4mm-鍍銅六角型-紅</t>
    <phoneticPr fontId="2" type="noConversion"/>
  </si>
  <si>
    <t>335.23</t>
  </si>
  <si>
    <t>335.24</t>
  </si>
  <si>
    <t>335.25</t>
  </si>
  <si>
    <t>335.26</t>
  </si>
  <si>
    <t>335.27</t>
  </si>
  <si>
    <r>
      <t>香蕉頭插座4mm-鐵鍍鎳長圓柱型</t>
    </r>
    <r>
      <rPr>
        <sz val="10"/>
        <rFont val="宋体"/>
        <charset val="134"/>
      </rPr>
      <t>-黑紅1對</t>
    </r>
    <phoneticPr fontId="2"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</si>
  <si>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</si>
  <si>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2" type="noConversion"/>
  </si>
  <si>
    <t>338.30</t>
    <phoneticPr fontId="2" type="noConversion"/>
  </si>
  <si>
    <t>轉接頭-DVI(24+1)公轉VGA母白色</t>
    <phoneticPr fontId="2" type="noConversion"/>
  </si>
  <si>
    <t>轉接頭-DVI(24+1)公轉HDMI母鍍金黑色</t>
    <phoneticPr fontId="2" type="noConversion"/>
  </si>
  <si>
    <t>338.31</t>
  </si>
  <si>
    <t>轉接頭-DVI(24+5)公轉HDMI母鍍金黑色金屬螺絲</t>
    <phoneticPr fontId="2" type="noConversion"/>
  </si>
  <si>
    <t>338.32</t>
  </si>
  <si>
    <t>轉接頭-DVI(24+5)公轉HDMI母鍍金黑色</t>
    <phoneticPr fontId="2" type="noConversion"/>
  </si>
  <si>
    <t>338.33</t>
  </si>
  <si>
    <t>轉接頭-DVI(24+5)公轉VGA母白色</t>
    <phoneticPr fontId="2" type="noConversion"/>
  </si>
  <si>
    <t>338.34</t>
  </si>
  <si>
    <t>轉接頭-DVI(24+5)公轉VGA母黑色金屬螺絲</t>
    <phoneticPr fontId="2" type="noConversion"/>
  </si>
  <si>
    <t>338.35</t>
  </si>
  <si>
    <t>DVI转VGA头 dvi24+5公转vga母转接头 高清公转VGA母连接头 铁螺丝</t>
    <phoneticPr fontId="2" type="noConversion"/>
  </si>
  <si>
    <t>DVI转VGA头 24+5dvi公转vga母转接头 高清公转VGA 母连接头</t>
    <phoneticPr fontId="2" type="noConversion"/>
  </si>
  <si>
    <t>轉接頭-DVI(24+5)公轉VGA母黑色</t>
    <phoneticPr fontId="2" type="noConversion"/>
  </si>
  <si>
    <t>DVI转VGA头 dvi公转vga母转接头 高清公转VGA 母连接头 金属螺丝 DVI 005</t>
    <phoneticPr fontId="2" type="noConversion"/>
  </si>
  <si>
    <t>338.36</t>
  </si>
  <si>
    <t>338.37</t>
    <phoneticPr fontId="2" type="noConversion"/>
  </si>
  <si>
    <t>長CTO箱(71.5x26.5x34.5)</t>
    <phoneticPr fontId="2" type="noConversion"/>
  </si>
  <si>
    <t>雜箱(44*44*47)</t>
    <phoneticPr fontId="53" type="noConversion"/>
  </si>
  <si>
    <t>雜箱(31*38*32)</t>
    <phoneticPr fontId="53" type="noConversion"/>
  </si>
  <si>
    <t>dome</t>
    <phoneticPr fontId="53" type="noConversion"/>
  </si>
  <si>
    <t>42mm*50m封箱膠帶</t>
    <phoneticPr fontId="53" type="noConversion"/>
  </si>
  <si>
    <t>雜箱(29*29*45)</t>
    <phoneticPr fontId="53" type="noConversion"/>
  </si>
  <si>
    <t>魔術貼</t>
    <phoneticPr fontId="53" type="noConversion"/>
  </si>
  <si>
    <t>雜箱(51*27*30)</t>
    <phoneticPr fontId="53" type="noConversion"/>
  </si>
  <si>
    <t>收納盒</t>
    <phoneticPr fontId="53" type="noConversion"/>
  </si>
  <si>
    <t>雜箱(54*27*26)</t>
    <phoneticPr fontId="53" type="noConversion"/>
  </si>
  <si>
    <t>50支小T-PP</t>
    <phoneticPr fontId="53" type="noConversion"/>
  </si>
  <si>
    <t>長CTO箱(71.5*26.5*34.5)</t>
    <phoneticPr fontId="2" type="noConversion"/>
  </si>
  <si>
    <t>氣泡信封箱(50*40*39)</t>
    <phoneticPr fontId="2" type="noConversion"/>
  </si>
  <si>
    <t>牛皮紙氣泡信封</t>
    <phoneticPr fontId="2" type="noConversion"/>
  </si>
  <si>
    <t>珠光膜氣泡信封</t>
    <phoneticPr fontId="2" type="noConversion"/>
  </si>
  <si>
    <t>106.01-106.22</t>
    <phoneticPr fontId="2" type="noConversion"/>
  </si>
  <si>
    <t>10絲白邊PE自封袋5cm*8cm+1.5cm</t>
    <phoneticPr fontId="58" type="noConversion"/>
  </si>
  <si>
    <t>10絲白邊PE自封袋8cm*13cm+1.5cm</t>
    <phoneticPr fontId="58" type="noConversion"/>
  </si>
  <si>
    <t>熱縮管+6.5*8封口氣泡袋</t>
    <phoneticPr fontId="53" type="noConversion"/>
  </si>
  <si>
    <t>352.01-352.05(缺352.03)</t>
    <phoneticPr fontId="2" type="noConversion"/>
  </si>
  <si>
    <t>501.01-504.04(缺502.05-502.09+502.40-502.44)</t>
    <phoneticPr fontId="2" type="noConversion"/>
  </si>
  <si>
    <t>滑鼠+13*13珠光膜+6.5*8封口氣泡袋</t>
  </si>
  <si>
    <t>快遞袋+16*16珠光膜+6.5*8封口氣泡袋</t>
  </si>
  <si>
    <t>眼鏡+13*13珠光膜+6.5*8封口氣泡袋</t>
  </si>
  <si>
    <t>滑鼠+18*23珠光膜+8*13氣泡袋</t>
  </si>
  <si>
    <t>352.03+352.06-352.08</t>
    <phoneticPr fontId="2" type="noConversion"/>
  </si>
  <si>
    <t>雜箱(40*40*40)</t>
    <phoneticPr fontId="53" type="noConversion"/>
  </si>
  <si>
    <t>15*15氣泡袋</t>
    <phoneticPr fontId="53" type="noConversion"/>
  </si>
  <si>
    <t>8*8氣泡袋(8*10作錯)</t>
    <phoneticPr fontId="53" type="noConversion"/>
  </si>
  <si>
    <t>雙面膠帶-自熔止漏水</t>
    <phoneticPr fontId="2" type="noConversion"/>
  </si>
  <si>
    <t>鋁箔膠帶</t>
    <phoneticPr fontId="2" type="noConversion"/>
  </si>
  <si>
    <t>美紋紙手撕膠帶</t>
    <phoneticPr fontId="2" type="noConversion"/>
  </si>
  <si>
    <t>汽車輪胎防滑扎帶</t>
    <phoneticPr fontId="58" type="noConversion"/>
  </si>
  <si>
    <t>PVC氣球鏈</t>
    <phoneticPr fontId="2" type="noConversion"/>
  </si>
  <si>
    <t>包裝彩帶</t>
    <phoneticPr fontId="2" type="noConversion"/>
  </si>
  <si>
    <t>雙面膠帶-氣球圓點膠</t>
    <phoneticPr fontId="2" type="noConversion"/>
  </si>
  <si>
    <t>PVC氣球鏈+包裝彩帶+氣球圓點膠+26*30珠光膜+冰箱貼</t>
    <phoneticPr fontId="2" type="noConversion"/>
  </si>
  <si>
    <t>絨布膠帶</t>
    <phoneticPr fontId="2" type="noConversion"/>
  </si>
  <si>
    <t>PET高溫膠帶</t>
    <phoneticPr fontId="2" type="noConversion"/>
  </si>
  <si>
    <t>銅箔膠帶</t>
    <phoneticPr fontId="2" type="noConversion"/>
  </si>
  <si>
    <t>不鏽鋼扎帶</t>
    <phoneticPr fontId="2" type="noConversion"/>
  </si>
  <si>
    <t>彈力線</t>
    <phoneticPr fontId="2" type="noConversion"/>
  </si>
  <si>
    <t>202+208+214</t>
    <phoneticPr fontId="2" type="noConversion"/>
  </si>
  <si>
    <t>281</t>
    <phoneticPr fontId="2" type="noConversion"/>
  </si>
  <si>
    <t>401</t>
    <phoneticPr fontId="2" type="noConversion"/>
  </si>
  <si>
    <t>212+262.41</t>
    <phoneticPr fontId="2" type="noConversion"/>
  </si>
  <si>
    <t>104</t>
    <phoneticPr fontId="2" type="noConversion"/>
  </si>
  <si>
    <t>502.05-502.09+502.40-502.44</t>
    <phoneticPr fontId="2" type="noConversion"/>
  </si>
  <si>
    <t>215+233+206</t>
    <phoneticPr fontId="2" type="noConversion"/>
  </si>
  <si>
    <t>266+267+234</t>
    <phoneticPr fontId="2" type="noConversion"/>
  </si>
  <si>
    <t>211+230+231+265+402</t>
    <phoneticPr fontId="2" type="noConversion"/>
  </si>
  <si>
    <t>防滑膠帶</t>
    <phoneticPr fontId="2" type="noConversion"/>
  </si>
  <si>
    <t>雙面膠帶-車用強力泡棉</t>
    <phoneticPr fontId="2" type="noConversion"/>
  </si>
  <si>
    <t>雙面膠帶-透明壓克力</t>
    <phoneticPr fontId="2" type="noConversion"/>
  </si>
  <si>
    <t>嫁接膜</t>
    <phoneticPr fontId="2" type="noConversion"/>
  </si>
  <si>
    <t>安全監控</t>
    <phoneticPr fontId="2" type="noConversion"/>
  </si>
  <si>
    <t>207+232+235+262+263+283+284</t>
    <phoneticPr fontId="2" type="noConversion"/>
  </si>
  <si>
    <t>反光膠帶</t>
    <phoneticPr fontId="2" type="noConversion"/>
  </si>
  <si>
    <t>雙面膠帶-納米魔術</t>
    <phoneticPr fontId="2" type="noConversion"/>
  </si>
  <si>
    <t>雙面膠帶-地毯固定貼片</t>
    <phoneticPr fontId="2" type="noConversion"/>
  </si>
  <si>
    <t>尼龍扎帶</t>
    <phoneticPr fontId="2" type="noConversion"/>
  </si>
  <si>
    <t>運動-瑜伽拉力圈帶</t>
    <phoneticPr fontId="2" type="noConversion"/>
  </si>
  <si>
    <t>運動-把手膠帶</t>
    <phoneticPr fontId="2" type="noConversion"/>
  </si>
  <si>
    <t>反光膠帶+納米魔術膠帶+地毯固定貼片+尼龍扎帶+不鏽鋼扎帶+瑜伽拉力圈帶+把手膠帶+18*23珠光膜</t>
    <phoneticPr fontId="2" type="noConversion"/>
  </si>
  <si>
    <t>電氣膠帶</t>
    <phoneticPr fontId="2" type="noConversion"/>
  </si>
  <si>
    <t>安全膠帶</t>
    <phoneticPr fontId="2" type="noConversion"/>
  </si>
  <si>
    <t>花藝膠帶</t>
    <phoneticPr fontId="2" type="noConversion"/>
  </si>
  <si>
    <t>地毯膠帶</t>
    <phoneticPr fontId="2" type="noConversion"/>
  </si>
  <si>
    <t>209+105.09+105.15+105.21+105.24</t>
    <phoneticPr fontId="2" type="noConversion"/>
  </si>
  <si>
    <t>自粘OPP袋</t>
    <phoneticPr fontId="2" type="noConversion"/>
  </si>
  <si>
    <t>x</t>
    <phoneticPr fontId="58" type="noConversion"/>
  </si>
  <si>
    <t>108+109+213+269+353+401+404+405+511</t>
    <phoneticPr fontId="2" type="noConversion"/>
  </si>
  <si>
    <t>鋁自封袋</t>
    <phoneticPr fontId="2" type="noConversion"/>
  </si>
  <si>
    <t>圖案自封袋</t>
    <phoneticPr fontId="2" type="noConversion"/>
  </si>
  <si>
    <t>DIY和風膠帶</t>
    <phoneticPr fontId="2" type="noConversion"/>
  </si>
  <si>
    <r>
      <t>USB-</t>
    </r>
    <r>
      <rPr>
        <sz val="10"/>
        <rFont val="宋体"/>
        <charset val="134"/>
      </rPr>
      <t>LED</t>
    </r>
    <phoneticPr fontId="2" type="noConversion"/>
  </si>
  <si>
    <t>廚房</t>
    <phoneticPr fontId="2" type="noConversion"/>
  </si>
  <si>
    <t>瓶罐</t>
    <phoneticPr fontId="2" type="noConversion"/>
  </si>
  <si>
    <t>浴室洗衣</t>
    <phoneticPr fontId="2" type="noConversion"/>
  </si>
  <si>
    <t>文具</t>
    <phoneticPr fontId="2"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</si>
  <si>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</si>
  <si>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</si>
  <si>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</si>
  <si>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</si>
  <si>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</si>
  <si>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</si>
  <si>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</si>
  <si>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</si>
  <si>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</si>
  <si>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</si>
  <si>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</si>
  <si>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2" type="noConversion"/>
  </si>
  <si>
    <t>105+107.06</t>
    <phoneticPr fontId="2" type="noConversion"/>
  </si>
  <si>
    <t>透明自封袋</t>
    <phoneticPr fontId="2" type="noConversion"/>
  </si>
  <si>
    <t>透明自封袋+自粘OPP袋+15*25氣泡袋</t>
    <phoneticPr fontId="2" type="noConversion"/>
  </si>
  <si>
    <t>402.01</t>
    <phoneticPr fontId="58" type="noConversion"/>
  </si>
  <si>
    <t>201.02</t>
    <phoneticPr fontId="58" type="noConversion"/>
  </si>
  <si>
    <t>251+252</t>
    <phoneticPr fontId="2" type="noConversion"/>
  </si>
  <si>
    <t>電氣膠帶+安全膠帶+花藝膠帶+18*23珠光膜+8*13氣泡袋</t>
    <phoneticPr fontId="2" type="noConversion"/>
  </si>
  <si>
    <t>分線夾</t>
    <phoneticPr fontId="2" type="noConversion"/>
  </si>
  <si>
    <t>對接頭</t>
    <phoneticPr fontId="2" type="noConversion"/>
  </si>
  <si>
    <t>透明自封袋+車用分線夾+車用對接頭+車用端子+封箱膠帶+13*13珠光膜+25*30封口氣泡袋</t>
    <phoneticPr fontId="53" type="noConversion"/>
  </si>
  <si>
    <t>45mm*70m封箱膠帶</t>
    <phoneticPr fontId="53" type="noConversion"/>
  </si>
  <si>
    <t>321+322</t>
    <phoneticPr fontId="2" type="noConversion"/>
  </si>
  <si>
    <t>網路接頭類</t>
    <phoneticPr fontId="2" type="noConversion"/>
  </si>
  <si>
    <t>網路接頭+10*20氣泡袋</t>
    <phoneticPr fontId="53" type="noConversion"/>
  </si>
  <si>
    <t>RO接頭+25*25氣泡袋+8*15氣泡袋</t>
    <phoneticPr fontId="53" type="noConversion"/>
  </si>
  <si>
    <r>
      <t>103.21</t>
    </r>
    <r>
      <rPr>
        <sz val="12"/>
        <rFont val="宋体"/>
        <charset val="134"/>
      </rPr>
      <t/>
    </r>
    <phoneticPr fontId="58" type="noConversion"/>
  </si>
  <si>
    <t>103.10</t>
    <phoneticPr fontId="58" type="noConversion"/>
  </si>
  <si>
    <t>381+382+383+103.10+103.21</t>
    <phoneticPr fontId="2" type="noConversion"/>
  </si>
  <si>
    <t>保險絲片</t>
    <phoneticPr fontId="2" type="noConversion"/>
  </si>
  <si>
    <t>電池鰐魚夾</t>
    <phoneticPr fontId="2" type="noConversion"/>
  </si>
  <si>
    <t>車用保險絲+車用鰐魚夾+25*35氣泡袋+8*15氣泡袋</t>
    <phoneticPr fontId="53" type="noConversion"/>
  </si>
  <si>
    <r>
      <t>103.24</t>
    </r>
    <r>
      <rPr>
        <sz val="12"/>
        <rFont val="宋体"/>
        <charset val="134"/>
      </rPr>
      <t/>
    </r>
    <phoneticPr fontId="58" type="noConversion"/>
  </si>
  <si>
    <t>103.06</t>
    <phoneticPr fontId="58" type="noConversion"/>
  </si>
  <si>
    <t>電視接頭類</t>
    <phoneticPr fontId="2" type="noConversion"/>
  </si>
  <si>
    <t>電視接頭+30*35氣泡袋+8*13氣泡袋</t>
    <phoneticPr fontId="53" type="noConversion"/>
  </si>
  <si>
    <t>電源接頭類</t>
    <phoneticPr fontId="2" type="noConversion"/>
  </si>
  <si>
    <t>AC-旅行插座</t>
    <phoneticPr fontId="2" type="noConversion"/>
  </si>
  <si>
    <t>電話接頭類</t>
    <phoneticPr fontId="2" type="noConversion"/>
  </si>
  <si>
    <t>電源接頭+插座+電話接頭+封箱膠帶+20*25氣泡袋+15*20氣泡袋</t>
    <phoneticPr fontId="53" type="noConversion"/>
  </si>
  <si>
    <r>
      <t>103.19</t>
    </r>
    <r>
      <rPr>
        <sz val="12"/>
        <rFont val="宋体"/>
        <charset val="134"/>
      </rPr>
      <t/>
    </r>
    <phoneticPr fontId="58" type="noConversion"/>
  </si>
  <si>
    <r>
      <t>103.17</t>
    </r>
    <r>
      <rPr>
        <sz val="12"/>
        <rFont val="宋体"/>
        <charset val="134"/>
      </rPr>
      <t/>
    </r>
    <phoneticPr fontId="58" type="noConversion"/>
  </si>
  <si>
    <t>透明自封袋+15*25氣泡袋</t>
    <phoneticPr fontId="53" type="noConversion"/>
  </si>
  <si>
    <t>107.01+(02+05+07+10+12-17)+103.15</t>
    <phoneticPr fontId="2" type="noConversion"/>
  </si>
  <si>
    <t>透明自封袋+15*25氣泡袋+13*13珠光膜</t>
    <phoneticPr fontId="53" type="noConversion"/>
  </si>
  <si>
    <t>107.08+107.09+103.15</t>
    <phoneticPr fontId="2" type="noConversion"/>
  </si>
  <si>
    <t>透明自封袋+15*25氣泡袋</t>
    <phoneticPr fontId="53" type="noConversion"/>
  </si>
  <si>
    <t>107.04+107.06+107.11+103.15</t>
    <phoneticPr fontId="2" type="noConversion"/>
  </si>
  <si>
    <t>透明自封袋+5*8封口氣泡袋</t>
    <phoneticPr fontId="53" type="noConversion"/>
  </si>
  <si>
    <t>107.08+103.04</t>
    <phoneticPr fontId="2" type="noConversion"/>
  </si>
  <si>
    <t>透明自封袋+6.5*8封口氣泡袋</t>
    <phoneticPr fontId="53" type="noConversion"/>
  </si>
  <si>
    <t>107.06+103.07</t>
    <phoneticPr fontId="2" type="noConversion"/>
  </si>
  <si>
    <t>107.02+103.20</t>
    <phoneticPr fontId="2" type="noConversion"/>
  </si>
  <si>
    <t>107.03+103.14</t>
    <phoneticPr fontId="2" type="noConversion"/>
  </si>
  <si>
    <t>107.03+103.11</t>
    <phoneticPr fontId="2" type="noConversion"/>
  </si>
  <si>
    <t>雜箱(33*39*40)</t>
    <phoneticPr fontId="53" type="noConversion"/>
  </si>
  <si>
    <t>透明自封袋+20*30氣泡袋+封箱膠帶</t>
    <phoneticPr fontId="53" type="noConversion"/>
  </si>
  <si>
    <t>透明自封袋+13*20氣泡袋+封箱膠帶</t>
    <phoneticPr fontId="53" type="noConversion"/>
  </si>
  <si>
    <t>透明自封袋+13*20氣泡袋</t>
    <phoneticPr fontId="53" type="noConversion"/>
  </si>
  <si>
    <t>透明自封袋+10*15氣泡袋</t>
    <phoneticPr fontId="53" type="noConversion"/>
  </si>
  <si>
    <t>透明自封袋+13*25氣泡袋</t>
    <phoneticPr fontId="53" type="noConversion"/>
  </si>
  <si>
    <t>107.02+103.15</t>
    <phoneticPr fontId="2" type="noConversion"/>
  </si>
  <si>
    <t>13*15氣泡袋</t>
    <phoneticPr fontId="53" type="noConversion"/>
  </si>
  <si>
    <t>透明自封袋+8*13封口氣泡袋</t>
    <phoneticPr fontId="53" type="noConversion"/>
  </si>
  <si>
    <t>107.02+103.06</t>
    <phoneticPr fontId="2" type="noConversion"/>
  </si>
  <si>
    <t>8*13封口氣泡袋+封箱膠帶</t>
    <phoneticPr fontId="53" type="noConversion"/>
  </si>
  <si>
    <t>103.06</t>
    <phoneticPr fontId="2" type="noConversion"/>
  </si>
  <si>
    <t>8*9氣泡袋+8*13氣泡袋</t>
    <phoneticPr fontId="53" type="noConversion"/>
  </si>
  <si>
    <t>103.02+103.03</t>
    <phoneticPr fontId="2" type="noConversion"/>
  </si>
  <si>
    <t>8*9氣泡袋+6.5*8氣泡袋</t>
    <phoneticPr fontId="53" type="noConversion"/>
  </si>
  <si>
    <t>103.01+103.02</t>
    <phoneticPr fontId="2" type="noConversion"/>
  </si>
  <si>
    <t>8*9封口氣泡袋</t>
    <phoneticPr fontId="53" type="noConversion"/>
  </si>
  <si>
    <t>203-205+253+268</t>
    <phoneticPr fontId="2" type="noConversion"/>
  </si>
  <si>
    <t>107+301-303</t>
    <phoneticPr fontId="2" type="noConversion"/>
  </si>
  <si>
    <t>304+306+307+405+103.21+103.23</t>
    <phoneticPr fontId="2" type="noConversion"/>
  </si>
  <si>
    <t>315+316+361+103.17+103.19</t>
    <phoneticPr fontId="2" type="noConversion"/>
  </si>
  <si>
    <t>牛皮紙氣泡信封11cm*15cm+3.5cm</t>
    <phoneticPr fontId="58" type="noConversion"/>
  </si>
  <si>
    <r>
      <t>牛皮紙氣泡信封9cm*13cm+</t>
    </r>
    <r>
      <rPr>
        <sz val="10"/>
        <rFont val="宋体"/>
        <charset val="134"/>
      </rPr>
      <t>3.5</t>
    </r>
    <r>
      <rPr>
        <sz val="10"/>
        <rFont val="宋体"/>
        <charset val="134"/>
      </rPr>
      <t>cm</t>
    </r>
    <phoneticPr fontId="58" type="noConversion"/>
  </si>
  <si>
    <r>
      <t>8絲平口透明氣泡袋8cm*</t>
    </r>
    <r>
      <rPr>
        <sz val="10"/>
        <rFont val="宋体"/>
        <charset val="134"/>
      </rPr>
      <t>8</t>
    </r>
    <r>
      <rPr>
        <sz val="10"/>
        <rFont val="宋体"/>
        <charset val="134"/>
      </rPr>
      <t>cm</t>
    </r>
    <phoneticPr fontId="58" type="noConversion"/>
  </si>
  <si>
    <t>支付寶: 32元</t>
    <phoneticPr fontId="58" type="noConversion"/>
  </si>
  <si>
    <t>Sealing Tapes</t>
  </si>
  <si>
    <t>Reading Glasses</t>
  </si>
  <si>
    <t>Plastic Bubble Bags</t>
  </si>
  <si>
    <t>Plastic Bags</t>
  </si>
  <si>
    <t>Connecters</t>
    <phoneticPr fontId="2" type="noConversion"/>
  </si>
  <si>
    <t>490 KG</t>
  </si>
  <si>
    <t>雜箱(31*29*42)</t>
    <phoneticPr fontId="53" type="noConversion"/>
  </si>
  <si>
    <t>18 KG</t>
  </si>
  <si>
    <t>55 KG</t>
  </si>
  <si>
    <t xml:space="preserve"> KG</t>
  </si>
  <si>
    <t>168 KG</t>
  </si>
  <si>
    <t>863 KG</t>
  </si>
  <si>
    <t>滑鼠-SONY環透光</t>
    <phoneticPr fontId="58" type="noConversion"/>
  </si>
  <si>
    <t>滑鼠-皮紋827</t>
    <phoneticPr fontId="58" type="noConversion"/>
  </si>
  <si>
    <t>滑鼠-綠光823</t>
    <phoneticPr fontId="58" type="noConversion"/>
  </si>
  <si>
    <t>滑鼠-三層盔甲</t>
    <phoneticPr fontId="58" type="noConversion"/>
  </si>
  <si>
    <t>滑鼠-左右突865</t>
    <phoneticPr fontId="58" type="noConversion"/>
  </si>
  <si>
    <t>滑鼠-IBM亮面</t>
    <phoneticPr fontId="58" type="noConversion"/>
  </si>
  <si>
    <t>滑鼠-仿萍果白</t>
    <phoneticPr fontId="58" type="noConversion"/>
  </si>
  <si>
    <t>滑鼠-IBM紅線</t>
    <phoneticPr fontId="58" type="noConversion"/>
  </si>
  <si>
    <t>USB-LED可彎曲白色usbd-1</t>
    <phoneticPr fontId="2" type="noConversion"/>
  </si>
  <si>
    <t>USB-LED可彎曲紫色usbd-5</t>
    <phoneticPr fontId="2" type="noConversion"/>
  </si>
  <si>
    <r>
      <t>USB-LED可彎曲橙色usbd-</t>
    </r>
    <r>
      <rPr>
        <sz val="10"/>
        <rFont val="宋体"/>
        <charset val="134"/>
      </rPr>
      <t>2</t>
    </r>
    <phoneticPr fontId="58" type="noConversion"/>
  </si>
  <si>
    <t>USB-LED可彎曲藍色usbd-4</t>
    <phoneticPr fontId="58" type="noConversion"/>
  </si>
  <si>
    <t>USB-LED可彎曲綠色usbd-6</t>
    <phoneticPr fontId="58" type="noConversion"/>
  </si>
  <si>
    <t>USB-LED可彎曲粉色usbd-8</t>
    <phoneticPr fontId="58" type="noConversion"/>
  </si>
  <si>
    <t>USB-LED可彎曲紅色usbd-3</t>
    <phoneticPr fontId="58" type="noConversion"/>
  </si>
  <si>
    <t>502.01</t>
    <phoneticPr fontId="58" type="noConversion"/>
  </si>
  <si>
    <t>502.02</t>
  </si>
  <si>
    <t>502.02</t>
    <phoneticPr fontId="2" type="noConversion"/>
  </si>
  <si>
    <t>502.03</t>
  </si>
  <si>
    <t>502.03</t>
    <phoneticPr fontId="2" type="noConversion"/>
  </si>
  <si>
    <t>502.04</t>
  </si>
  <si>
    <t>502.04</t>
    <phoneticPr fontId="2" type="noConversion"/>
  </si>
  <si>
    <t>502.05</t>
  </si>
  <si>
    <t>502.05</t>
    <phoneticPr fontId="2" type="noConversion"/>
  </si>
  <si>
    <t>502.06</t>
  </si>
  <si>
    <t>502.06</t>
    <phoneticPr fontId="2" type="noConversion"/>
  </si>
  <si>
    <t>502.07</t>
  </si>
  <si>
    <t>502.07</t>
    <phoneticPr fontId="2" type="noConversion"/>
  </si>
  <si>
    <t>502.08</t>
  </si>
  <si>
    <t>502.08</t>
    <phoneticPr fontId="2" type="noConversion"/>
  </si>
  <si>
    <t>502.09</t>
  </si>
  <si>
    <t>502.09</t>
    <phoneticPr fontId="2" type="noConversion"/>
  </si>
  <si>
    <t>502.10</t>
  </si>
  <si>
    <t>502.10</t>
    <phoneticPr fontId="2" type="noConversion"/>
  </si>
  <si>
    <t>Revese Osmosis</t>
    <phoneticPr fontId="2" type="noConversion"/>
  </si>
  <si>
    <t>Replacement</t>
    <phoneticPr fontId="2" type="noConversion"/>
  </si>
  <si>
    <t>Whole House</t>
    <phoneticPr fontId="2" type="noConversion"/>
  </si>
  <si>
    <t>Fittings</t>
    <phoneticPr fontId="2" type="noConversion"/>
  </si>
  <si>
    <t>Feeders</t>
    <phoneticPr fontId="2" type="noConversion"/>
  </si>
  <si>
    <t>Drinking Water</t>
    <phoneticPr fontId="2" type="noConversion"/>
  </si>
  <si>
    <t>Valves</t>
    <phoneticPr fontId="2" type="noConversion"/>
  </si>
  <si>
    <t>Housing</t>
    <phoneticPr fontId="2" type="noConversion"/>
  </si>
  <si>
    <t>Ultra Violet</t>
    <phoneticPr fontId="2" type="noConversion"/>
  </si>
  <si>
    <t>Combo Set</t>
    <phoneticPr fontId="2" type="noConversion"/>
  </si>
  <si>
    <t>Standard</t>
    <phoneticPr fontId="2" type="noConversion"/>
  </si>
  <si>
    <t>Ecnomical</t>
    <phoneticPr fontId="2" type="noConversion"/>
  </si>
  <si>
    <t>Standard Flow 100 GPD</t>
    <phoneticPr fontId="2" type="noConversion"/>
  </si>
  <si>
    <t>High Flow 150+ GPD</t>
    <phoneticPr fontId="2" type="noConversion"/>
  </si>
  <si>
    <t>Low Flow 50 GPD</t>
    <phoneticPr fontId="2" type="noConversion"/>
  </si>
  <si>
    <t>Portable RO</t>
    <phoneticPr fontId="2" type="noConversion"/>
  </si>
  <si>
    <t>Aquarium</t>
    <phoneticPr fontId="2" type="noConversion"/>
  </si>
  <si>
    <t>Filters</t>
    <phoneticPr fontId="2" type="noConversion"/>
  </si>
  <si>
    <t>Utilityes</t>
    <phoneticPr fontId="2" type="noConversion"/>
  </si>
  <si>
    <t>Parts &amp; Tools</t>
    <phoneticPr fontId="2" type="noConversion"/>
  </si>
  <si>
    <t>Resin</t>
    <phoneticPr fontId="2" type="noConversion"/>
  </si>
  <si>
    <t>Menbranes</t>
    <phoneticPr fontId="2" type="noConversion"/>
  </si>
  <si>
    <t>Root Catalog</t>
    <phoneticPr fontId="2"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</si>
  <si>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</si>
  <si>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</si>
  <si>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</si>
  <si>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</si>
  <si>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</si>
  <si>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</si>
  <si>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</si>
  <si>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</si>
  <si>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</si>
  <si>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</si>
  <si>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</si>
  <si>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</si>
  <si>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</si>
  <si>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</si>
  <si>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</si>
  <si>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</si>
  <si>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</si>
  <si>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</si>
  <si>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</si>
  <si>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</si>
  <si>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</si>
  <si>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</si>
  <si>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</si>
  <si>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</si>
  <si>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</si>
  <si>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</si>
  <si>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</si>
  <si>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</si>
  <si>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</si>
  <si>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</si>
  <si>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</si>
  <si>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</si>
  <si>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</si>
  <si>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</si>
  <si>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</si>
  <si>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</si>
  <si>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</si>
  <si>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</si>
  <si>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</si>
  <si>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</si>
  <si>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</si>
  <si>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</si>
  <si>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</si>
  <si>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</si>
  <si>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</si>
  <si>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</si>
  <si>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</si>
  <si>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</si>
  <si>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</si>
  <si>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</si>
  <si>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</si>
  <si>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</si>
  <si>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</si>
  <si>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</si>
  <si>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</si>
  <si>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</si>
  <si>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</si>
  <si>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</si>
  <si>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</si>
  <si>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</si>
  <si>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</si>
  <si>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</si>
  <si>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</si>
  <si>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</si>
  <si>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</si>
  <si>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</si>
  <si>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</si>
  <si>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</si>
  <si>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</si>
  <si>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</si>
  <si>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</si>
  <si>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</si>
  <si>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</si>
  <si>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</si>
  <si>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</si>
  <si>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</si>
  <si>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</si>
  <si>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</si>
  <si>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</si>
  <si>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</si>
  <si>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</si>
  <si>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</si>
  <si>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</si>
  <si>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</si>
  <si>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</si>
  <si>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</si>
  <si>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</si>
  <si>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</si>
  <si>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</si>
  <si>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</si>
  <si>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</si>
  <si>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</si>
  <si>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</si>
  <si>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</si>
  <si>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</si>
  <si>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</si>
  <si>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</si>
  <si>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</si>
  <si>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</si>
  <si>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</si>
  <si>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</si>
  <si>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</si>
  <si>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</si>
  <si>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</si>
  <si>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</si>
  <si>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</si>
  <si>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</si>
  <si>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</si>
  <si>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</si>
  <si>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</si>
  <si>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</si>
  <si>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</si>
  <si>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</si>
  <si>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</si>
  <si>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</si>
  <si>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</si>
  <si>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</si>
  <si>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</si>
  <si>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</si>
  <si>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</si>
  <si>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</si>
  <si>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</si>
  <si>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</si>
  <si>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</si>
  <si>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</si>
  <si>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</si>
  <si>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</si>
  <si>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</si>
  <si>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</si>
  <si>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</si>
  <si>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</si>
  <si>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</si>
  <si>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</si>
  <si>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</si>
  <si>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</si>
  <si>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</si>
  <si>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</si>
  <si>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</si>
  <si>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</si>
  <si>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</si>
  <si>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</si>
  <si>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</si>
  <si>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</si>
  <si>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</si>
  <si>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</si>
  <si>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</si>
  <si>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</si>
  <si>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</si>
  <si>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</si>
  <si>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</si>
  <si>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</si>
  <si>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</si>
  <si>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</si>
  <si>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</si>
  <si>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</si>
  <si>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</si>
  <si>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</si>
  <si>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</si>
  <si>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</si>
  <si>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</si>
  <si>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</si>
  <si>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</si>
  <si>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</si>
  <si>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</si>
  <si>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</si>
  <si>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</si>
  <si>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</si>
  <si>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</si>
  <si>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</si>
  <si>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</si>
  <si>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</si>
  <si>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</si>
  <si>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</si>
  <si>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</si>
  <si>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</si>
  <si>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</si>
  <si>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</si>
  <si>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</si>
  <si>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</si>
  <si>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</si>
  <si>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</si>
  <si>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</si>
  <si>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</si>
  <si>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</si>
  <si>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</si>
  <si>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</si>
  <si>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</si>
  <si>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</si>
  <si>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</si>
  <si>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</si>
  <si>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</si>
  <si>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</si>
  <si>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</si>
  <si>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</si>
  <si>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</si>
  <si>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</si>
  <si>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</si>
  <si>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</si>
  <si>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</si>
  <si>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</si>
  <si>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</si>
  <si>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</si>
  <si>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</si>
  <si>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</si>
  <si>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</si>
  <si>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</si>
  <si>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</si>
  <si>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</si>
  <si>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</si>
  <si>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</si>
  <si>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</si>
  <si>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</si>
  <si>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</si>
  <si>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</si>
  <si>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</si>
  <si>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</si>
  <si>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</si>
  <si>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</si>
  <si>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</si>
  <si>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</si>
  <si>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</si>
  <si>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</si>
  <si>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</si>
  <si>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</si>
  <si>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</si>
  <si>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</si>
  <si>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</si>
  <si>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</si>
  <si>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</si>
  <si>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</si>
  <si>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</si>
  <si>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</si>
  <si>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</si>
  <si>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</si>
  <si>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</si>
  <si>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</si>
  <si>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</si>
  <si>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</si>
  <si>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</si>
  <si>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</si>
  <si>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</si>
  <si>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</si>
  <si>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</si>
  <si>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</si>
  <si>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</si>
  <si>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</si>
  <si>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</si>
  <si>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</si>
  <si>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</si>
  <si>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</si>
  <si>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</si>
  <si>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</si>
  <si>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</si>
  <si>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</si>
  <si>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</si>
  <si>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</si>
  <si>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</si>
  <si>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</si>
  <si>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</si>
  <si>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</si>
  <si>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</si>
  <si>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</si>
  <si>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</si>
  <si>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</si>
  <si>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</si>
  <si>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</si>
  <si>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</si>
  <si>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</si>
  <si>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</si>
  <si>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</si>
  <si>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</si>
  <si>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</si>
  <si>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</si>
  <si>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</si>
  <si>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</si>
  <si>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</si>
  <si>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</si>
  <si>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</si>
  <si>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</si>
  <si>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</si>
  <si>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</si>
  <si>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</si>
  <si>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</si>
  <si>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</si>
  <si>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</si>
  <si>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</si>
  <si>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</si>
  <si>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</si>
  <si>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</si>
  <si>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</si>
  <si>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</si>
  <si>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</si>
  <si>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</si>
  <si>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</si>
  <si>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</si>
  <si>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</si>
  <si>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</si>
  <si>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</si>
  <si>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</si>
  <si>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</si>
  <si>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</si>
  <si>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</si>
  <si>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</si>
  <si>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</si>
  <si>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</si>
  <si>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</si>
  <si>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</si>
  <si>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</si>
  <si>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</si>
  <si>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</si>
  <si>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</si>
  <si>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</si>
  <si>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</si>
  <si>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</si>
  <si>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</si>
  <si>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</si>
  <si>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</si>
  <si>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</si>
  <si>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</si>
  <si>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</si>
  <si>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</si>
  <si>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</si>
  <si>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</si>
  <si>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</si>
  <si>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</si>
  <si>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</si>
  <si>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</si>
  <si>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</si>
  <si>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</si>
  <si>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</si>
  <si>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</si>
  <si>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</si>
  <si>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</si>
  <si>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</si>
  <si>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</si>
  <si>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</si>
  <si>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</si>
  <si>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</si>
  <si>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</si>
  <si>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</si>
  <si>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</si>
  <si>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</si>
  <si>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</si>
  <si>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</si>
  <si>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</si>
  <si>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</si>
  <si>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</si>
  <si>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</si>
  <si>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</si>
  <si>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</si>
  <si>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</si>
  <si>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</si>
  <si>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</si>
  <si>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</si>
  <si>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</si>
  <si>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</si>
  <si>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</si>
  <si>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</si>
  <si>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</si>
  <si>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</si>
  <si>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</si>
  <si>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</si>
  <si>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</si>
  <si>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</si>
  <si>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</si>
  <si>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</si>
  <si>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</si>
  <si>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</si>
  <si>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</si>
  <si>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</si>
  <si>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</si>
  <si>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</si>
  <si>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</si>
  <si>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</si>
  <si>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</si>
  <si>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</si>
  <si>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</si>
  <si>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</si>
  <si>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</si>
  <si>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</si>
  <si>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</si>
  <si>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</si>
  <si>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</si>
  <si>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</si>
  <si>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</si>
  <si>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</si>
  <si>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</si>
  <si>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</si>
  <si>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</si>
  <si>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</si>
  <si>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</si>
  <si>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</si>
  <si>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</si>
  <si>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</si>
  <si>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</si>
  <si>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</si>
  <si>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</si>
  <si>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</si>
  <si>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</si>
  <si>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</si>
  <si>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</si>
  <si>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</si>
  <si>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</si>
  <si>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</si>
  <si>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</si>
  <si>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</si>
  <si>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</si>
  <si>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</si>
  <si>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</si>
  <si>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</si>
  <si>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</si>
  <si>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</si>
  <si>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</si>
  <si>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</si>
  <si>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</si>
  <si>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</si>
  <si>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</si>
  <si>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</si>
  <si>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</si>
  <si>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</si>
  <si>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</si>
  <si>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</si>
  <si>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</si>
  <si>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</si>
  <si>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</si>
  <si>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</si>
  <si>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</si>
  <si>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</si>
  <si>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</si>
  <si>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</si>
  <si>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</si>
  <si>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</si>
  <si>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</si>
  <si>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</si>
  <si>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</si>
  <si>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</si>
  <si>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</si>
  <si>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</si>
  <si>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</si>
  <si>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</si>
  <si>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</si>
  <si>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</si>
  <si>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</si>
  <si>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</si>
  <si>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</si>
  <si>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</si>
  <si>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</si>
  <si>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</si>
  <si>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</si>
  <si>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</si>
  <si>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</si>
  <si>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</si>
  <si>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</si>
  <si>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</si>
  <si>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</si>
  <si>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</si>
  <si>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</si>
  <si>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</si>
  <si>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</si>
  <si>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</si>
  <si>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</si>
  <si>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</si>
  <si>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</si>
  <si>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</si>
  <si>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</si>
  <si>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</si>
  <si>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</si>
  <si>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</si>
  <si>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</si>
  <si>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</si>
  <si>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</si>
  <si>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</si>
  <si>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</si>
  <si>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</si>
  <si>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</si>
  <si>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</si>
  <si>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</si>
  <si>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</si>
  <si>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</si>
  <si>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</si>
  <si>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</si>
  <si>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</si>
  <si>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</si>
  <si>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</si>
  <si>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</si>
  <si>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</si>
  <si>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</si>
  <si>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</si>
  <si>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</si>
  <si>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</si>
  <si>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</si>
  <si>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</si>
  <si>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</si>
  <si>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</si>
  <si>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</si>
  <si>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</si>
  <si>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</si>
  <si>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</si>
  <si>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</si>
  <si>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</si>
  <si>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</si>
  <si>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</si>
  <si>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</si>
  <si>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</si>
  <si>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</si>
  <si>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</si>
  <si>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</si>
  <si>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</si>
  <si>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</si>
  <si>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</si>
  <si>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</si>
  <si>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</si>
  <si>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</si>
  <si>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</si>
  <si>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</si>
  <si>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</si>
  <si>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</si>
  <si>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</si>
  <si>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</si>
  <si>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</si>
  <si>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</si>
  <si>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</si>
  <si>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</si>
  <si>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</si>
  <si>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</si>
  <si>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</si>
  <si>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</si>
  <si>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</si>
  <si>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</si>
  <si>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</si>
  <si>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</si>
  <si>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</si>
  <si>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</si>
  <si>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</si>
  <si>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</si>
  <si>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</si>
  <si>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</si>
  <si>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</si>
  <si>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</si>
  <si>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</si>
  <si>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</si>
  <si>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</si>
  <si>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</si>
  <si>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</si>
  <si>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</si>
  <si>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</si>
  <si>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</si>
  <si>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</si>
  <si>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</si>
  <si>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</si>
  <si>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</si>
  <si>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</si>
  <si>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</si>
  <si>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</si>
  <si>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</si>
  <si>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</si>
  <si>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</si>
  <si>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</si>
  <si>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</si>
  <si>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</si>
  <si>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</si>
  <si>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</si>
  <si>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</si>
  <si>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</si>
  <si>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</si>
  <si>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</si>
  <si>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</si>
  <si>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</si>
  <si>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</si>
  <si>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</si>
  <si>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</si>
  <si>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</si>
  <si>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</si>
  <si>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</si>
  <si>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</si>
  <si>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</si>
  <si>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</si>
  <si>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</si>
  <si>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</si>
  <si>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</si>
  <si>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</si>
  <si>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</si>
  <si>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</si>
  <si>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</si>
  <si>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</si>
  <si>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</si>
  <si>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</si>
  <si>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</si>
  <si>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</si>
  <si>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</si>
  <si>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</si>
  <si>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</si>
  <si>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</si>
  <si>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</si>
  <si>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</si>
  <si>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</si>
  <si>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</si>
  <si>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</si>
  <si>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</si>
  <si>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</si>
  <si>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</si>
  <si>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</si>
  <si>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</si>
  <si>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</si>
  <si>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</si>
  <si>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</si>
  <si>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</si>
  <si>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</si>
  <si>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</si>
  <si>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</si>
  <si>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</si>
  <si>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</si>
  <si>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</si>
  <si>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</si>
  <si>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</si>
  <si>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</si>
  <si>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</si>
  <si>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</si>
  <si>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</si>
  <si>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</si>
  <si>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</si>
  <si>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</si>
  <si>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</si>
  <si>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</si>
  <si>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</si>
  <si>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</si>
  <si>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</si>
  <si>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</si>
  <si>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</si>
  <si>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</si>
  <si>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</si>
  <si>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</si>
  <si>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</si>
  <si>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</si>
  <si>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</si>
  <si>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</si>
  <si>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</si>
  <si>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</si>
  <si>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</si>
  <si>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</si>
  <si>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</si>
  <si>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</si>
  <si>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</si>
  <si>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</si>
  <si>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</si>
  <si>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</si>
  <si>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</si>
  <si>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</si>
  <si>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</si>
  <si>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</si>
  <si>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</si>
  <si>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</si>
  <si>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</si>
  <si>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</si>
  <si>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</si>
  <si>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</si>
  <si>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</si>
  <si>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</si>
  <si>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</si>
  <si>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</si>
  <si>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</si>
  <si>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</si>
  <si>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</si>
  <si>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</si>
  <si>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</si>
  <si>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</si>
  <si>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</si>
  <si>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</si>
  <si>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</si>
  <si>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</si>
  <si>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</si>
  <si>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</si>
  <si>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</si>
  <si>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</si>
  <si>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</si>
  <si>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</si>
  <si>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</si>
  <si>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</si>
  <si>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</si>
  <si>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</si>
  <si>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</si>
  <si>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</si>
  <si>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</si>
  <si>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</si>
  <si>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</si>
  <si>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</si>
  <si>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</si>
  <si>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</si>
  <si>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</si>
  <si>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</si>
  <si>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</si>
  <si>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</si>
  <si>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</si>
  <si>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</si>
  <si>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</si>
  <si>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</si>
  <si>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</si>
  <si>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</si>
  <si>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</si>
  <si>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</si>
  <si>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</si>
  <si>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</si>
  <si>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</si>
  <si>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</si>
  <si>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</si>
  <si>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</si>
  <si>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</si>
  <si>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</si>
  <si>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</si>
  <si>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</si>
  <si>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</si>
  <si>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</si>
  <si>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</si>
  <si>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</si>
  <si>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</si>
  <si>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</si>
  <si>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</si>
  <si>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</si>
  <si>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</si>
  <si>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</si>
  <si>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</si>
  <si>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</si>
  <si>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</si>
  <si>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</si>
  <si>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</si>
  <si>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</si>
  <si>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</si>
  <si>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</si>
  <si>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</si>
  <si>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</si>
  <si>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</si>
  <si>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</si>
  <si>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</si>
  <si>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</si>
  <si>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</si>
  <si>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</si>
  <si>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</si>
  <si>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</si>
  <si>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</si>
  <si>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</si>
  <si>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</si>
  <si>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</si>
  <si>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</si>
  <si>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</si>
  <si>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</si>
  <si>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</si>
  <si>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</si>
  <si>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</si>
  <si>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</si>
  <si>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</si>
  <si>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</si>
  <si>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</si>
  <si>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</si>
  <si>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</si>
  <si>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</si>
  <si>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</si>
  <si>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</si>
  <si>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</si>
  <si>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</si>
  <si>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</si>
  <si>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</si>
  <si>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</si>
  <si>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</si>
  <si>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</si>
  <si>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</si>
  <si>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</si>
  <si>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</si>
  <si>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</si>
  <si>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</si>
  <si>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</si>
  <si>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</si>
  <si>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</si>
  <si>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</si>
  <si>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</si>
  <si>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</si>
  <si>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</si>
  <si>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</si>
  <si>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</si>
  <si>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</si>
  <si>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</si>
  <si>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</si>
  <si>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</si>
  <si>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</si>
  <si>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</si>
  <si>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</si>
  <si>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</si>
  <si>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</si>
  <si>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</si>
  <si>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</si>
  <si>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</si>
  <si>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</si>
  <si>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</si>
  <si>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</si>
  <si>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</si>
  <si>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</si>
  <si>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</si>
  <si>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</si>
  <si>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</si>
  <si>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</si>
  <si>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</si>
  <si>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</si>
  <si>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</si>
  <si>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</si>
  <si>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</si>
  <si>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</si>
  <si>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</si>
  <si>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</si>
  <si>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</si>
  <si>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</si>
  <si>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</si>
  <si>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</si>
  <si>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</si>
  <si>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</si>
  <si>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</si>
  <si>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</si>
  <si>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</si>
  <si>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</si>
  <si>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</si>
  <si>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</si>
  <si>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</si>
  <si>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</si>
  <si>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</si>
  <si>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</si>
  <si>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</si>
  <si>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</si>
  <si>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</si>
  <si>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</si>
  <si>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</si>
  <si>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</si>
  <si>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</si>
  <si>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</si>
  <si>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</si>
  <si>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</si>
  <si>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</si>
  <si>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</si>
  <si>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</si>
  <si>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</si>
  <si>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</si>
  <si>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</si>
  <si>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</si>
  <si>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</si>
  <si>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</si>
  <si>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</si>
  <si>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</si>
  <si>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</si>
  <si>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</si>
  <si>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</si>
  <si>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</si>
  <si>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</si>
  <si>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</si>
  <si>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</si>
  <si>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</si>
  <si>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</si>
  <si>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</si>
  <si>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</si>
  <si>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</si>
  <si>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</si>
  <si>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</si>
  <si>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</si>
  <si>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</si>
  <si>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</si>
  <si>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</si>
  <si>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</si>
  <si>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</si>
  <si>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</si>
  <si>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</si>
  <si>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</si>
  <si>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</si>
  <si>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</si>
  <si>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</si>
  <si>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</si>
  <si>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</si>
  <si>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</si>
  <si>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</si>
  <si>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</si>
  <si>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</si>
  <si>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</si>
  <si>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</si>
  <si>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</si>
  <si>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</si>
  <si>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</si>
  <si>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</si>
  <si>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</si>
  <si>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</si>
  <si>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</si>
  <si>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</si>
  <si>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</si>
  <si>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</si>
  <si>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</si>
  <si>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</si>
  <si>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</si>
  <si>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</si>
  <si>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</si>
  <si>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</si>
  <si>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</si>
  <si>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</si>
  <si>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</si>
  <si>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</si>
  <si>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</si>
  <si>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</si>
  <si>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</si>
  <si>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</si>
  <si>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</si>
  <si>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</si>
  <si>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</si>
  <si>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</si>
  <si>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</si>
  <si>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</si>
  <si>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</si>
  <si>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</si>
  <si>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</si>
  <si>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</si>
  <si>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</si>
  <si>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</si>
  <si>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</si>
  <si>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</si>
  <si>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</si>
  <si>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</si>
  <si>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</si>
  <si>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</si>
  <si>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</si>
  <si>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</si>
  <si>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</si>
  <si>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</si>
  <si>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</si>
  <si>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</si>
  <si>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</si>
  <si>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</si>
  <si>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</si>
  <si>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</si>
  <si>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</si>
  <si>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</si>
  <si>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</si>
  <si>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</si>
  <si>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</si>
  <si>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</si>
  <si>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</si>
  <si>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</si>
  <si>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</si>
  <si>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</si>
  <si>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</si>
  <si>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</si>
  <si>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2" type="noConversion"/>
  </si>
  <si>
    <t>RO replacement filter combo FS-12M100</t>
    <phoneticPr fontId="2" type="noConversion"/>
  </si>
  <si>
    <t>水龍頭濾芯</t>
    <phoneticPr fontId="2" type="noConversion"/>
  </si>
  <si>
    <t>沖洗閥升級套件</t>
    <phoneticPr fontId="2" type="noConversion"/>
  </si>
  <si>
    <t>RQ-5-100+4</t>
    <phoneticPr fontId="2" type="noConversion"/>
  </si>
  <si>
    <t>2set 10pcs 0ppm Reverse Osmosis +DI +100G RO Membrane#FS-10BM100</t>
    <phoneticPr fontId="2" type="noConversion"/>
  </si>
  <si>
    <t>EX-clear2</t>
    <phoneticPr fontId="2" type="noConversion"/>
  </si>
  <si>
    <t>2白瓶升級2透明瓶</t>
    <phoneticPr fontId="2" type="noConversion"/>
  </si>
  <si>
    <t>EX-FAU-N</t>
    <phoneticPr fontId="2" type="noConversion"/>
  </si>
  <si>
    <t>扳手鵝頸升級旋轉</t>
    <phoneticPr fontId="2" type="noConversion"/>
  </si>
  <si>
    <t>20吋前3</t>
    <phoneticPr fontId="2" type="noConversion"/>
  </si>
  <si>
    <t>2套20吋前3</t>
    <phoneticPr fontId="2" type="noConversion"/>
  </si>
  <si>
    <t>25支20吋PP</t>
    <phoneticPr fontId="2" type="noConversion"/>
  </si>
  <si>
    <t>2套前3+DI+小T+100膜</t>
  </si>
  <si>
    <t>2套前3+DI+小T+150膜</t>
  </si>
  <si>
    <t>2套前3+DI+小T+50膜</t>
  </si>
  <si>
    <t>4套前3+DI+小T</t>
  </si>
  <si>
    <t>4套前3+DI+小T+4支150膜</t>
  </si>
  <si>
    <t>2套前3+DI+小T</t>
    <phoneticPr fontId="2" type="noConversion"/>
  </si>
  <si>
    <t>6套前3+3支小T</t>
    <phoneticPr fontId="2" type="noConversion"/>
  </si>
  <si>
    <t>4套前3+DI+小T+2支100膜</t>
    <phoneticPr fontId="2" type="noConversion"/>
  </si>
  <si>
    <t>4套前3+DI+小T+2支150膜</t>
    <phoneticPr fontId="2" type="noConversion"/>
  </si>
  <si>
    <t>4套前3+2支DI+2支100膜</t>
    <phoneticPr fontId="2" type="noConversion"/>
  </si>
  <si>
    <t>4套前3+2支DI+2支150膜</t>
    <phoneticPr fontId="2" type="noConversion"/>
  </si>
  <si>
    <t>4套前3+64OzDI+2支150膜</t>
    <phoneticPr fontId="2" type="noConversion"/>
  </si>
  <si>
    <t>前3</t>
    <phoneticPr fontId="2" type="noConversion"/>
  </si>
  <si>
    <t>4套前3+100膜</t>
    <phoneticPr fontId="2" type="noConversion"/>
  </si>
  <si>
    <t>前3+100膜</t>
  </si>
  <si>
    <t>前3+150膜</t>
    <phoneticPr fontId="2" type="noConversion"/>
  </si>
  <si>
    <t>6套5吋前3</t>
    <phoneticPr fontId="2" type="noConversion"/>
  </si>
  <si>
    <t>前3+小T</t>
    <phoneticPr fontId="2" type="noConversion"/>
  </si>
  <si>
    <t>前3+DI</t>
    <phoneticPr fontId="2" type="noConversion"/>
  </si>
  <si>
    <t>前3+DI+100膜</t>
    <phoneticPr fontId="2" type="noConversion"/>
  </si>
  <si>
    <t>前3+DI+50膜</t>
    <phoneticPr fontId="2" type="noConversion"/>
  </si>
  <si>
    <t>前3+小T+100膜</t>
    <phoneticPr fontId="2" type="noConversion"/>
  </si>
  <si>
    <t>前3+小T+50膜</t>
    <phoneticPr fontId="2" type="noConversion"/>
  </si>
  <si>
    <t>2套前3+小T</t>
    <phoneticPr fontId="2" type="noConversion"/>
  </si>
  <si>
    <t>4套前3+小T</t>
    <phoneticPr fontId="2" type="noConversion"/>
  </si>
  <si>
    <t>4套前3+小T+2支100膜</t>
    <phoneticPr fontId="2" type="noConversion"/>
  </si>
  <si>
    <t>4套前3+小T+2支150膜</t>
    <phoneticPr fontId="2" type="noConversion"/>
  </si>
  <si>
    <t>6套前3</t>
    <phoneticPr fontId="2" type="noConversion"/>
  </si>
  <si>
    <t>5吋前3+4支DI</t>
    <phoneticPr fontId="2" type="noConversion"/>
  </si>
  <si>
    <t>前3+DI+小T</t>
    <phoneticPr fontId="2" type="noConversion"/>
  </si>
  <si>
    <t>前3+2支DI</t>
    <phoneticPr fontId="2" type="noConversion"/>
  </si>
  <si>
    <t>前3+2支DI+100膜</t>
    <phoneticPr fontId="2" type="noConversion"/>
  </si>
  <si>
    <t>前3+2支DI+150膜</t>
    <phoneticPr fontId="2" type="noConversion"/>
  </si>
  <si>
    <t>前3+2支DI+50膜</t>
    <phoneticPr fontId="2" type="noConversion"/>
  </si>
  <si>
    <t>2套前3+2支DI</t>
    <phoneticPr fontId="2" type="noConversion"/>
  </si>
  <si>
    <t>4套前3+2支DI</t>
    <phoneticPr fontId="2" type="noConversion"/>
  </si>
  <si>
    <t>前3+DI+小T+100膜</t>
    <phoneticPr fontId="2" type="noConversion"/>
  </si>
  <si>
    <t>前3+DI+小T+150膜</t>
    <phoneticPr fontId="2" type="noConversion"/>
  </si>
  <si>
    <t>前3+DI+小T+50膜</t>
    <phoneticPr fontId="2" type="noConversion"/>
  </si>
  <si>
    <t>前3+DI+小T+8wUV</t>
    <phoneticPr fontId="2" type="noConversion"/>
  </si>
  <si>
    <t>前3+小T+鹹性</t>
    <phoneticPr fontId="2" type="noConversion"/>
  </si>
  <si>
    <t>前3+小T+鹹性+100膜</t>
    <phoneticPr fontId="2" type="noConversion"/>
  </si>
  <si>
    <t>前3+3支DI</t>
    <phoneticPr fontId="2" type="noConversion"/>
  </si>
  <si>
    <t>前3+2支DI+小T</t>
    <phoneticPr fontId="2" type="noConversion"/>
  </si>
  <si>
    <t>2套前3+100膜</t>
    <phoneticPr fontId="2" type="noConversion"/>
  </si>
  <si>
    <t>前3+DI+小T+UV燈管</t>
    <phoneticPr fontId="2" type="noConversion"/>
  </si>
  <si>
    <t>前3+DI+小T+UV燈管+100膜</t>
    <phoneticPr fontId="2" type="noConversion"/>
  </si>
  <si>
    <t>前3+DI+小T+UV+100膜</t>
    <phoneticPr fontId="2" type="noConversion"/>
  </si>
  <si>
    <t>前3+DI+小T+UV+150膜</t>
    <phoneticPr fontId="2" type="noConversion"/>
  </si>
  <si>
    <t>前2</t>
    <phoneticPr fontId="2" type="noConversion"/>
  </si>
  <si>
    <t>前2+DI</t>
    <phoneticPr fontId="2" type="noConversion"/>
  </si>
  <si>
    <t>前2+10吋DI+DI</t>
    <phoneticPr fontId="2" type="noConversion"/>
  </si>
  <si>
    <t>5吋前2</t>
    <phoneticPr fontId="2" type="noConversion"/>
  </si>
  <si>
    <t>2套前2+DI+50膜</t>
    <phoneticPr fontId="2" type="noConversion"/>
  </si>
  <si>
    <t>行2+小T+50膜</t>
    <phoneticPr fontId="2" type="noConversion"/>
  </si>
  <si>
    <t>4套行2+DI+2支50膜</t>
    <phoneticPr fontId="2" type="noConversion"/>
  </si>
  <si>
    <t>行2+DI+100膜</t>
    <phoneticPr fontId="2" type="noConversion"/>
  </si>
  <si>
    <t>行2+DI+150膜</t>
    <phoneticPr fontId="2" type="noConversion"/>
  </si>
  <si>
    <t>行2+DI+50膜</t>
    <phoneticPr fontId="2" type="noConversion"/>
  </si>
  <si>
    <t>行2+小T+100膜</t>
    <phoneticPr fontId="2" type="noConversion"/>
  </si>
  <si>
    <t>4套行2+小T</t>
    <phoneticPr fontId="2" type="noConversion"/>
  </si>
  <si>
    <t>行2+小T+DI</t>
    <phoneticPr fontId="2" type="noConversion"/>
  </si>
  <si>
    <t>行2+小T+DI+UV燈管</t>
    <phoneticPr fontId="2" type="noConversion"/>
  </si>
  <si>
    <t>2套行2+小T+DI</t>
    <phoneticPr fontId="2" type="noConversion"/>
  </si>
  <si>
    <t>2套行2+小T+DI+100膜</t>
    <phoneticPr fontId="2" type="noConversion"/>
  </si>
  <si>
    <t>4套行2+DI+2支100膜</t>
    <phoneticPr fontId="2" type="noConversion"/>
  </si>
  <si>
    <t>行2</t>
    <phoneticPr fontId="2" type="noConversion"/>
  </si>
  <si>
    <t>行2+DI</t>
    <phoneticPr fontId="2" type="noConversion"/>
  </si>
  <si>
    <t>行2+小T</t>
    <phoneticPr fontId="2" type="noConversion"/>
  </si>
  <si>
    <t>行2+小T+150膜</t>
    <phoneticPr fontId="2" type="noConversion"/>
  </si>
  <si>
    <t>行2+2支DI</t>
    <phoneticPr fontId="2" type="noConversion"/>
  </si>
  <si>
    <t>行2+小T+DI+100膜</t>
    <phoneticPr fontId="2" type="noConversion"/>
  </si>
  <si>
    <t>行2+小T+DI+150膜</t>
    <phoneticPr fontId="2" type="noConversion"/>
  </si>
  <si>
    <t>行2+小T+DI+50膜</t>
    <phoneticPr fontId="2" type="noConversion"/>
  </si>
  <si>
    <t>25支小T</t>
    <phoneticPr fontId="2" type="noConversion"/>
  </si>
  <si>
    <t>10吋DI</t>
    <phoneticPr fontId="2" type="noConversion"/>
  </si>
  <si>
    <t>FT-BV1414</t>
    <phoneticPr fontId="2" type="noConversion"/>
  </si>
  <si>
    <t>2分銅球閥</t>
    <phoneticPr fontId="2" type="noConversion"/>
  </si>
  <si>
    <t>10吋CTO</t>
    <phoneticPr fontId="2" type="noConversion"/>
  </si>
  <si>
    <t>5吋CTO</t>
    <phoneticPr fontId="2" type="noConversion"/>
  </si>
  <si>
    <t>25支10吋CTO</t>
    <phoneticPr fontId="2" type="noConversion"/>
  </si>
  <si>
    <t>藍蓋DI</t>
    <phoneticPr fontId="2" type="noConversion"/>
  </si>
  <si>
    <t>25支藍蓋DI</t>
    <phoneticPr fontId="2" type="noConversion"/>
  </si>
  <si>
    <t>FT-KDF55</t>
    <phoneticPr fontId="2" type="noConversion"/>
  </si>
  <si>
    <t>KDF</t>
    <phoneticPr fontId="2" type="noConversion"/>
  </si>
  <si>
    <t>FT-LQDI</t>
    <phoneticPr fontId="2" type="noConversion"/>
  </si>
  <si>
    <t>100膜</t>
    <phoneticPr fontId="2" type="noConversion"/>
  </si>
  <si>
    <t>150膜</t>
    <phoneticPr fontId="2" type="noConversion"/>
  </si>
  <si>
    <t>200膜</t>
    <phoneticPr fontId="2" type="noConversion"/>
  </si>
  <si>
    <t>50膜</t>
    <phoneticPr fontId="2" type="noConversion"/>
  </si>
  <si>
    <t>FT-PH</t>
    <phoneticPr fontId="2" type="noConversion"/>
  </si>
  <si>
    <t>鹹性小T</t>
    <phoneticPr fontId="2" type="noConversion"/>
  </si>
  <si>
    <t>10吋PP</t>
    <phoneticPr fontId="2" type="noConversion"/>
  </si>
  <si>
    <t>5吋PP</t>
    <phoneticPr fontId="2" type="noConversion"/>
  </si>
  <si>
    <t>FT-QDI</t>
    <phoneticPr fontId="2" type="noConversion"/>
  </si>
  <si>
    <t>大TDI</t>
    <phoneticPr fontId="2" type="noConversion"/>
  </si>
  <si>
    <t>小TDI</t>
    <phoneticPr fontId="2" type="noConversion"/>
  </si>
  <si>
    <t>小TPP</t>
    <phoneticPr fontId="2" type="noConversion"/>
  </si>
  <si>
    <t>FT-QDI-10</t>
    <phoneticPr fontId="2" type="noConversion"/>
  </si>
  <si>
    <t>10支小TDI</t>
    <phoneticPr fontId="2" type="noConversion"/>
  </si>
  <si>
    <t>3支小TDI</t>
    <phoneticPr fontId="2" type="noConversion"/>
  </si>
  <si>
    <t>50支小TDI</t>
    <phoneticPr fontId="2" type="noConversion"/>
  </si>
  <si>
    <t>FT-QDI-TC</t>
    <phoneticPr fontId="2" type="noConversion"/>
  </si>
  <si>
    <t>FT-SWPP5M</t>
    <phoneticPr fontId="2" type="noConversion"/>
  </si>
  <si>
    <t>10吋線捲濾材</t>
    <phoneticPr fontId="2" type="noConversion"/>
  </si>
  <si>
    <t>小T</t>
    <phoneticPr fontId="2" type="noConversion"/>
  </si>
  <si>
    <t>FT-T33T</t>
    <phoneticPr fontId="2" type="noConversion"/>
  </si>
  <si>
    <t>椰殼小T</t>
    <phoneticPr fontId="2" type="noConversion"/>
  </si>
  <si>
    <t>FT-UDF</t>
    <phoneticPr fontId="2" type="noConversion"/>
  </si>
  <si>
    <t>FT-UV8W</t>
    <phoneticPr fontId="2" type="noConversion"/>
  </si>
  <si>
    <t>8wUV</t>
    <phoneticPr fontId="2" type="noConversion"/>
  </si>
  <si>
    <t>8wUV燈管</t>
    <phoneticPr fontId="2" type="noConversion"/>
  </si>
  <si>
    <t>HOU-A410T</t>
    <phoneticPr fontId="2" type="noConversion"/>
  </si>
  <si>
    <t>4分透瓶</t>
    <phoneticPr fontId="2" type="noConversion"/>
  </si>
  <si>
    <t>4分白瓶</t>
    <phoneticPr fontId="2" type="noConversion"/>
  </si>
  <si>
    <t>HOU-A45T</t>
    <phoneticPr fontId="2" type="noConversion"/>
  </si>
  <si>
    <t>5吋4分透瓶</t>
    <phoneticPr fontId="2" type="noConversion"/>
  </si>
  <si>
    <t>5吋4分白瓶</t>
    <phoneticPr fontId="2" type="noConversion"/>
  </si>
  <si>
    <t>6分透瓶</t>
    <phoneticPr fontId="2" type="noConversion"/>
  </si>
  <si>
    <t>4支6分透瓶</t>
    <phoneticPr fontId="2" type="noConversion"/>
  </si>
  <si>
    <t>6分白瓶</t>
    <phoneticPr fontId="2" type="noConversion"/>
  </si>
  <si>
    <t>5吋6分透瓶</t>
    <phoneticPr fontId="2" type="noConversion"/>
  </si>
  <si>
    <t>5吋6分白瓶</t>
    <phoneticPr fontId="2" type="noConversion"/>
  </si>
  <si>
    <t>6分氣閥透瓶</t>
    <phoneticPr fontId="2" type="noConversion"/>
  </si>
  <si>
    <t>HOU-A6V10T</t>
    <phoneticPr fontId="2" type="noConversion"/>
  </si>
  <si>
    <t>6分氣閥白瓶</t>
    <phoneticPr fontId="2" type="noConversion"/>
  </si>
  <si>
    <t>5吋6分氣閥透瓶</t>
    <phoneticPr fontId="2" type="noConversion"/>
  </si>
  <si>
    <t>5吋6分氣閥白瓶</t>
    <phoneticPr fontId="2" type="noConversion"/>
  </si>
  <si>
    <t>新RO+7濾材</t>
    <phoneticPr fontId="2" type="noConversion"/>
  </si>
  <si>
    <t>OT-RES-HOUDI</t>
    <phoneticPr fontId="2" type="noConversion"/>
  </si>
  <si>
    <t>PO-4-3P100</t>
    <phoneticPr fontId="2" type="noConversion"/>
  </si>
  <si>
    <t>PO-5BT</t>
    <phoneticPr fontId="2" type="noConversion"/>
  </si>
  <si>
    <t>PO-D4-100</t>
    <phoneticPr fontId="2" type="noConversion"/>
  </si>
  <si>
    <t>100行RO+行2+小T</t>
    <phoneticPr fontId="2" type="noConversion"/>
  </si>
  <si>
    <t>100行RO</t>
    <phoneticPr fontId="2" type="noConversion"/>
  </si>
  <si>
    <t>POQ-4-100</t>
    <phoneticPr fontId="2" type="noConversion"/>
  </si>
  <si>
    <t>100行RO(鐵板?)</t>
    <phoneticPr fontId="2" type="noConversion"/>
  </si>
  <si>
    <t>150行RO</t>
    <phoneticPr fontId="2" type="noConversion"/>
  </si>
  <si>
    <t>150行RO+行2+DI</t>
    <phoneticPr fontId="2" type="noConversion"/>
  </si>
  <si>
    <t>50行RO</t>
    <phoneticPr fontId="2" type="noConversion"/>
  </si>
  <si>
    <t>150行RO+行2+小T</t>
    <phoneticPr fontId="2" type="noConversion"/>
  </si>
  <si>
    <t>100行RODI</t>
    <phoneticPr fontId="2" type="noConversion"/>
  </si>
  <si>
    <t>150行RODI</t>
    <phoneticPr fontId="2" type="noConversion"/>
  </si>
  <si>
    <t>200行RODI</t>
    <phoneticPr fontId="2" type="noConversion"/>
  </si>
  <si>
    <t>50行RODI</t>
    <phoneticPr fontId="2" type="noConversion"/>
  </si>
  <si>
    <t>50行5RO+桶</t>
    <phoneticPr fontId="2" type="noConversion"/>
  </si>
  <si>
    <t>100行5RO</t>
    <phoneticPr fontId="2" type="noConversion"/>
  </si>
  <si>
    <t>POQ-5B-100+2</t>
    <phoneticPr fontId="2" type="noConversion"/>
  </si>
  <si>
    <t>100行5RO+2套行2+2</t>
    <phoneticPr fontId="2" type="noConversion"/>
  </si>
  <si>
    <t>150行5RO</t>
    <phoneticPr fontId="2" type="noConversion"/>
  </si>
  <si>
    <t>50行5RO</t>
    <phoneticPr fontId="2" type="noConversion"/>
  </si>
  <si>
    <t>POQ-5B2W-100</t>
    <phoneticPr fontId="2" type="noConversion"/>
  </si>
  <si>
    <t>100行5RO雙出口</t>
    <phoneticPr fontId="2" type="noConversion"/>
  </si>
  <si>
    <t>150行5RO雙出口</t>
    <phoneticPr fontId="2" type="noConversion"/>
  </si>
  <si>
    <t>50行5RO雙出口</t>
    <phoneticPr fontId="2" type="noConversion"/>
  </si>
  <si>
    <t>POQ-5BB-100</t>
    <phoneticPr fontId="2" type="noConversion"/>
  </si>
  <si>
    <t>100行RO2DI</t>
    <phoneticPr fontId="2" type="noConversion"/>
  </si>
  <si>
    <t>150行RO2DI</t>
    <phoneticPr fontId="2" type="noConversion"/>
  </si>
  <si>
    <t>50行RO2DI</t>
    <phoneticPr fontId="2" type="noConversion"/>
  </si>
  <si>
    <t>POQ-5BT-100</t>
    <phoneticPr fontId="2" type="noConversion"/>
  </si>
  <si>
    <t>100行5RO+桶</t>
    <phoneticPr fontId="2" type="noConversion"/>
  </si>
  <si>
    <t>POQ-RODI-50</t>
    <phoneticPr fontId="2" type="noConversion"/>
  </si>
  <si>
    <t>50行二道RO</t>
    <phoneticPr fontId="2" type="noConversion"/>
  </si>
  <si>
    <t>POQ-6BB2W-10</t>
    <phoneticPr fontId="2" type="noConversion"/>
  </si>
  <si>
    <t>150行5RO+DI</t>
    <phoneticPr fontId="2" type="noConversion"/>
  </si>
  <si>
    <t>POQ-6BUV</t>
    <phoneticPr fontId="2" type="noConversion"/>
  </si>
  <si>
    <t>100行5RO+UV</t>
    <phoneticPr fontId="2" type="noConversion"/>
  </si>
  <si>
    <t>4040接頭</t>
    <phoneticPr fontId="2" type="noConversion"/>
  </si>
  <si>
    <t>1042接頭</t>
    <phoneticPr fontId="2" type="noConversion"/>
  </si>
  <si>
    <t>6pcs1044接頭</t>
    <phoneticPr fontId="2" type="noConversion"/>
  </si>
  <si>
    <t>1044Q接頭</t>
    <phoneticPr fontId="2" type="noConversion"/>
  </si>
  <si>
    <t>4pcs1044接頭</t>
    <phoneticPr fontId="2" type="noConversion"/>
  </si>
  <si>
    <t>PT-12</t>
    <phoneticPr fontId="2" type="noConversion"/>
  </si>
  <si>
    <t>直通球閥</t>
    <phoneticPr fontId="2" type="noConversion"/>
  </si>
  <si>
    <t>PT-1414</t>
    <phoneticPr fontId="2" type="noConversion"/>
  </si>
  <si>
    <t>1414接頭</t>
    <phoneticPr fontId="2" type="noConversion"/>
  </si>
  <si>
    <t>PT-1438S*2</t>
    <phoneticPr fontId="2" type="noConversion"/>
  </si>
  <si>
    <t>2pcs1438接頭</t>
    <phoneticPr fontId="2" type="noConversion"/>
  </si>
  <si>
    <t>PT-310</t>
    <phoneticPr fontId="2" type="noConversion"/>
  </si>
  <si>
    <t>塑膠進水三通+塑膠2分球閥</t>
    <phoneticPr fontId="2" type="noConversion"/>
  </si>
  <si>
    <t>PT-34</t>
    <phoneticPr fontId="2" type="noConversion"/>
  </si>
  <si>
    <t>6分進水三通1對</t>
    <phoneticPr fontId="2" type="noConversion"/>
  </si>
  <si>
    <t>6分進水三通1對+球閥</t>
    <phoneticPr fontId="2" type="noConversion"/>
  </si>
  <si>
    <t>PT-38BV</t>
    <phoneticPr fontId="2" type="noConversion"/>
  </si>
  <si>
    <t>4分銅進水三通</t>
    <phoneticPr fontId="2" type="noConversion"/>
  </si>
  <si>
    <t>4分塑膠進水三通+銅2分球閥</t>
    <phoneticPr fontId="2" type="noConversion"/>
  </si>
  <si>
    <t>3分進水三通球閥</t>
    <phoneticPr fontId="2" type="noConversion"/>
  </si>
  <si>
    <t>PT-3W2</t>
    <phoneticPr fontId="2" type="noConversion"/>
  </si>
  <si>
    <t>雙切</t>
    <phoneticPr fontId="2" type="noConversion"/>
  </si>
  <si>
    <t>PT-4038x2</t>
    <phoneticPr fontId="2" type="noConversion"/>
  </si>
  <si>
    <t>2pcs4038接頭</t>
    <phoneticPr fontId="2" type="noConversion"/>
  </si>
  <si>
    <t>4pcs4040Q接頭</t>
    <phoneticPr fontId="2" type="noConversion"/>
  </si>
  <si>
    <t>4042Q接頭</t>
    <phoneticPr fontId="2" type="noConversion"/>
  </si>
  <si>
    <t>6pcs4044接頭</t>
    <phoneticPr fontId="2" type="noConversion"/>
  </si>
  <si>
    <t>4pcs4044Q接頭</t>
    <phoneticPr fontId="2" type="noConversion"/>
  </si>
  <si>
    <t>6044Q接頭</t>
    <phoneticPr fontId="2" type="noConversion"/>
  </si>
  <si>
    <t>6064接頭</t>
    <phoneticPr fontId="2" type="noConversion"/>
  </si>
  <si>
    <t>PT-410L</t>
    <phoneticPr fontId="2" type="noConversion"/>
  </si>
  <si>
    <t>4分瓶蓋</t>
    <phoneticPr fontId="2" type="noConversion"/>
  </si>
  <si>
    <t>PT-450FVA</t>
    <phoneticPr fontId="2" type="noConversion"/>
  </si>
  <si>
    <t>450可沖逆止閥</t>
    <phoneticPr fontId="2" type="noConversion"/>
  </si>
  <si>
    <t>PT-610Tx3</t>
    <phoneticPr fontId="2" type="noConversion"/>
  </si>
  <si>
    <t>3支透明瓶身</t>
    <phoneticPr fontId="2" type="noConversion"/>
  </si>
  <si>
    <t>PT-610X3</t>
    <phoneticPr fontId="2" type="noConversion"/>
  </si>
  <si>
    <t>3支透明/白瓶身</t>
    <phoneticPr fontId="2" type="noConversion"/>
  </si>
  <si>
    <t>PT-702Q</t>
    <phoneticPr fontId="2" type="noConversion"/>
  </si>
  <si>
    <t>702Q接頭</t>
    <phoneticPr fontId="2" type="noConversion"/>
  </si>
  <si>
    <t>200pcs702Q接頭</t>
    <phoneticPr fontId="2" type="noConversion"/>
  </si>
  <si>
    <t>PT-802Qx2</t>
    <phoneticPr fontId="2" type="noConversion"/>
  </si>
  <si>
    <t>2pcs802Q接頭</t>
    <phoneticPr fontId="2" type="noConversion"/>
  </si>
  <si>
    <t>PT-aerator-M</t>
    <phoneticPr fontId="2" type="noConversion"/>
  </si>
  <si>
    <t>PT-aerator-Q</t>
    <phoneticPr fontId="2" type="noConversion"/>
  </si>
  <si>
    <t>水口轉接頭</t>
    <phoneticPr fontId="2" type="noConversion"/>
  </si>
  <si>
    <t>水口快接轉接頭</t>
    <phoneticPr fontId="2" type="noConversion"/>
  </si>
  <si>
    <t>PT-ASOVQ</t>
    <phoneticPr fontId="2" type="noConversion"/>
  </si>
  <si>
    <t>四面閥</t>
    <phoneticPr fontId="2" type="noConversion"/>
  </si>
  <si>
    <t>PT-BL34x2</t>
    <phoneticPr fontId="2" type="noConversion"/>
  </si>
  <si>
    <t>PT-BRK-M3</t>
    <phoneticPr fontId="2" type="noConversion"/>
  </si>
  <si>
    <t>3道鐵板</t>
    <phoneticPr fontId="2" type="noConversion"/>
  </si>
  <si>
    <t>PT-BUL</t>
    <phoneticPr fontId="2" type="noConversion"/>
  </si>
  <si>
    <t>2pcs6分布立</t>
    <phoneticPr fontId="2" type="noConversion"/>
  </si>
  <si>
    <t>2pcs4分布立</t>
    <phoneticPr fontId="2" type="noConversion"/>
  </si>
  <si>
    <t>PT-BV34</t>
    <phoneticPr fontId="2" type="noConversion"/>
  </si>
  <si>
    <t>6分球閥</t>
    <phoneticPr fontId="2" type="noConversion"/>
  </si>
  <si>
    <t>PT-BVT</t>
    <phoneticPr fontId="2" type="noConversion"/>
  </si>
  <si>
    <t>水桶球閥</t>
    <phoneticPr fontId="2" type="noConversion"/>
  </si>
  <si>
    <t>水桶快接球閥</t>
    <phoneticPr fontId="2" type="noConversion"/>
  </si>
  <si>
    <t>C形扣</t>
    <phoneticPr fontId="2" type="noConversion"/>
  </si>
  <si>
    <t>PT-C38BV</t>
    <phoneticPr fontId="2" type="noConversion"/>
  </si>
  <si>
    <t>3分銅進水三通+一字球閥</t>
    <phoneticPr fontId="2" type="noConversion"/>
  </si>
  <si>
    <t>PT-CLP-B</t>
    <phoneticPr fontId="2" type="noConversion"/>
  </si>
  <si>
    <t>大單夾</t>
    <phoneticPr fontId="2" type="noConversion"/>
  </si>
  <si>
    <t>小TDI+2小小夾</t>
    <phoneticPr fontId="2" type="noConversion"/>
  </si>
  <si>
    <t>大大夾</t>
    <phoneticPr fontId="2" type="noConversion"/>
  </si>
  <si>
    <t>大小夾</t>
    <phoneticPr fontId="2" type="noConversion"/>
  </si>
  <si>
    <t>PT-CLP-SB</t>
    <phoneticPr fontId="2" type="noConversion"/>
  </si>
  <si>
    <t>大胖單夾</t>
    <phoneticPr fontId="2" type="noConversion"/>
  </si>
  <si>
    <t>小小夾</t>
    <phoneticPr fontId="2" type="noConversion"/>
  </si>
  <si>
    <t>PT-CUT</t>
    <phoneticPr fontId="2" type="noConversion"/>
  </si>
  <si>
    <t>藍色平形剪管刀</t>
    <phoneticPr fontId="2" type="noConversion"/>
  </si>
  <si>
    <t>黑色斜口剪管刀</t>
    <phoneticPr fontId="2" type="noConversion"/>
  </si>
  <si>
    <t>PT-CV</t>
    <phoneticPr fontId="2" type="noConversion"/>
  </si>
  <si>
    <t>螺紋逆止閥</t>
    <phoneticPr fontId="2" type="noConversion"/>
  </si>
  <si>
    <t>PT-FAU</t>
    <phoneticPr fontId="2" type="noConversion"/>
  </si>
  <si>
    <t>扳手鵝頸</t>
    <phoneticPr fontId="2" type="noConversion"/>
  </si>
  <si>
    <t>旋轉鵝頸</t>
    <phoneticPr fontId="2" type="noConversion"/>
  </si>
  <si>
    <t>單旋轉鵝頸</t>
    <phoneticPr fontId="2" type="noConversion"/>
  </si>
  <si>
    <t>鵝頸單水管</t>
    <phoneticPr fontId="2" type="noConversion"/>
  </si>
  <si>
    <t>PT-FlushKit</t>
    <phoneticPr fontId="2" type="noConversion"/>
  </si>
  <si>
    <t>沖洗閥套件</t>
    <phoneticPr fontId="2" type="noConversion"/>
  </si>
  <si>
    <t>PT-fts-1</t>
    <phoneticPr fontId="2" type="noConversion"/>
  </si>
  <si>
    <t>5pcs快接頭</t>
    <phoneticPr fontId="2" type="noConversion"/>
  </si>
  <si>
    <t>PT-FV</t>
    <phoneticPr fontId="2" type="noConversion"/>
  </si>
  <si>
    <t>浮球閥</t>
    <phoneticPr fontId="2" type="noConversion"/>
  </si>
  <si>
    <t>100pcs浮球閥</t>
    <phoneticPr fontId="2" type="noConversion"/>
  </si>
  <si>
    <t>50pcs浮球閥</t>
    <phoneticPr fontId="2" type="noConversion"/>
  </si>
  <si>
    <t>PT-FVBS</t>
    <phoneticPr fontId="2" type="noConversion"/>
  </si>
  <si>
    <t>2pcs浮球閥</t>
    <phoneticPr fontId="2" type="noConversion"/>
  </si>
  <si>
    <t>10pcs浮球閥</t>
    <phoneticPr fontId="2" type="noConversion"/>
  </si>
  <si>
    <t>PT-FVB-S</t>
    <phoneticPr fontId="2" type="noConversion"/>
  </si>
  <si>
    <t>浮球架</t>
    <phoneticPr fontId="2" type="noConversion"/>
  </si>
  <si>
    <t>小浮球架</t>
    <phoneticPr fontId="2" type="noConversion"/>
  </si>
  <si>
    <t>PT-HOU400</t>
    <phoneticPr fontId="2" type="noConversion"/>
  </si>
  <si>
    <t>400膜殼升級套件</t>
    <phoneticPr fontId="2" type="noConversion"/>
  </si>
  <si>
    <t>400膜殼</t>
    <phoneticPr fontId="2" type="noConversion"/>
  </si>
  <si>
    <t>PT-HOU-BG</t>
    <phoneticPr fontId="2" type="noConversion"/>
  </si>
  <si>
    <t>10吋DI空殼</t>
    <phoneticPr fontId="2" type="noConversion"/>
  </si>
  <si>
    <t>PT-HOU-C1</t>
    <phoneticPr fontId="2" type="noConversion"/>
  </si>
  <si>
    <t>2分快接透瓶</t>
    <phoneticPr fontId="2" type="noConversion"/>
  </si>
  <si>
    <t>PT-HOU-DI</t>
    <phoneticPr fontId="2" type="noConversion"/>
  </si>
  <si>
    <t>藍蓋空殼</t>
    <phoneticPr fontId="2" type="noConversion"/>
  </si>
  <si>
    <t>藍蓋空殼+32OzDI</t>
    <phoneticPr fontId="2" type="noConversion"/>
  </si>
  <si>
    <t>PT-HOU-W1</t>
    <phoneticPr fontId="2" type="noConversion"/>
  </si>
  <si>
    <t>2分快接白瓶</t>
    <phoneticPr fontId="2" type="noConversion"/>
  </si>
  <si>
    <t>PT-LQfaucet</t>
    <phoneticPr fontId="2" type="noConversion"/>
  </si>
  <si>
    <t>制冰快接頭</t>
    <phoneticPr fontId="2" type="noConversion"/>
  </si>
  <si>
    <t>鵝頸快接頭</t>
    <phoneticPr fontId="2" type="noConversion"/>
  </si>
  <si>
    <t>PT-M1</t>
    <phoneticPr fontId="2" type="noConversion"/>
  </si>
  <si>
    <t>螺紋RO膜殼</t>
    <phoneticPr fontId="2" type="noConversion"/>
  </si>
  <si>
    <t>針閥</t>
    <phoneticPr fontId="2" type="noConversion"/>
  </si>
  <si>
    <t>PT-MQ</t>
    <phoneticPr fontId="2" type="noConversion"/>
  </si>
  <si>
    <t>快接RO膜殼</t>
    <phoneticPr fontId="2" type="noConversion"/>
  </si>
  <si>
    <t>PT-PSI-180</t>
    <phoneticPr fontId="2" type="noConversion"/>
  </si>
  <si>
    <t>壓力表</t>
    <phoneticPr fontId="2" type="noConversion"/>
  </si>
  <si>
    <t>PT-Q12A</t>
    <phoneticPr fontId="2" type="noConversion"/>
  </si>
  <si>
    <t>4分內牙快接頭</t>
    <phoneticPr fontId="2" type="noConversion"/>
  </si>
  <si>
    <t>PT-Q34A</t>
    <phoneticPr fontId="2" type="noConversion"/>
  </si>
  <si>
    <t>6分內牙快接頭</t>
    <phoneticPr fontId="2" type="noConversion"/>
  </si>
  <si>
    <t>PT-Qfaucet</t>
    <phoneticPr fontId="2" type="noConversion"/>
  </si>
  <si>
    <t>鵝頸大螺帽+快接頭</t>
    <phoneticPr fontId="2" type="noConversion"/>
  </si>
  <si>
    <t>PT-regulator</t>
    <phoneticPr fontId="2" type="noConversion"/>
  </si>
  <si>
    <t>減壓閥</t>
    <phoneticPr fontId="2" type="noConversion"/>
  </si>
  <si>
    <t>PT-RINP-BK</t>
    <phoneticPr fontId="2" type="noConversion"/>
  </si>
  <si>
    <t>3pcs瓶黑O環</t>
    <phoneticPr fontId="2" type="noConversion"/>
  </si>
  <si>
    <t>3pcs瓶透O環</t>
    <phoneticPr fontId="2" type="noConversion"/>
  </si>
  <si>
    <t>PT-SAD</t>
    <phoneticPr fontId="2" type="noConversion"/>
  </si>
  <si>
    <t>PT-SBP</t>
    <phoneticPr fontId="2" type="noConversion"/>
  </si>
  <si>
    <t>廢水夾</t>
    <phoneticPr fontId="2" type="noConversion"/>
  </si>
  <si>
    <t>單道塑膠掛板</t>
    <phoneticPr fontId="2" type="noConversion"/>
  </si>
  <si>
    <t>PT-TANK02UG</t>
    <phoneticPr fontId="2" type="noConversion"/>
  </si>
  <si>
    <t>3G桶+鵝頸</t>
    <phoneticPr fontId="2" type="noConversion"/>
  </si>
  <si>
    <t>PT-tape</t>
    <phoneticPr fontId="2" type="noConversion"/>
  </si>
  <si>
    <t>止水膠布</t>
    <phoneticPr fontId="2" type="noConversion"/>
  </si>
  <si>
    <t>PT-TC-100</t>
    <phoneticPr fontId="2" type="noConversion"/>
  </si>
  <si>
    <t>100pcs2分釘管夾</t>
    <phoneticPr fontId="2" type="noConversion"/>
  </si>
  <si>
    <t>PT-TC-20</t>
    <phoneticPr fontId="2" type="noConversion"/>
  </si>
  <si>
    <t>20pcs2分釘管夾</t>
    <phoneticPr fontId="2" type="noConversion"/>
  </si>
  <si>
    <t>PT-TDS1</t>
    <phoneticPr fontId="2" type="noConversion"/>
  </si>
  <si>
    <t>藍TDS</t>
    <phoneticPr fontId="2" type="noConversion"/>
  </si>
  <si>
    <t>PT-TUB2-50</t>
    <phoneticPr fontId="2" type="noConversion"/>
  </si>
  <si>
    <t>50呎2分白管</t>
    <phoneticPr fontId="2" type="noConversion"/>
  </si>
  <si>
    <t>100米2分白管</t>
    <phoneticPr fontId="2" type="noConversion"/>
  </si>
  <si>
    <t>25呎3分白管</t>
    <phoneticPr fontId="2" type="noConversion"/>
  </si>
  <si>
    <t>25呎2分紅管</t>
    <phoneticPr fontId="2" type="noConversion"/>
  </si>
  <si>
    <t>PT-WASH</t>
    <phoneticPr fontId="2" type="noConversion"/>
  </si>
  <si>
    <t>450廢水比</t>
    <phoneticPr fontId="2" type="noConversion"/>
  </si>
  <si>
    <t>PT-WCH-M1</t>
    <phoneticPr fontId="2" type="noConversion"/>
  </si>
  <si>
    <t>10吋扳手</t>
    <phoneticPr fontId="2" type="noConversion"/>
  </si>
  <si>
    <t>勺形膜殼扳手</t>
    <phoneticPr fontId="2" type="noConversion"/>
  </si>
  <si>
    <t>膜殼扳手</t>
    <phoneticPr fontId="2" type="noConversion"/>
  </si>
  <si>
    <t>PT-Y</t>
    <phoneticPr fontId="2" type="noConversion"/>
  </si>
  <si>
    <t>Y接頭</t>
    <phoneticPr fontId="2" type="noConversion"/>
  </si>
  <si>
    <t>PW</t>
    <phoneticPr fontId="2" type="noConversion"/>
  </si>
  <si>
    <t>New Reef 6st Reverse Osmosis RO Water Filters(60 Sets)</t>
    <phoneticPr fontId="2" type="noConversion"/>
  </si>
  <si>
    <t>60套小RO</t>
    <phoneticPr fontId="2" type="noConversion"/>
  </si>
  <si>
    <t>36套小RO</t>
    <phoneticPr fontId="2" type="noConversion"/>
  </si>
  <si>
    <t>RC3-UV</t>
    <phoneticPr fontId="2" type="noConversion"/>
  </si>
  <si>
    <t>3道+UV</t>
    <phoneticPr fontId="2" type="noConversion"/>
  </si>
  <si>
    <t>RES-MB400</t>
    <phoneticPr fontId="2" type="noConversion"/>
  </si>
  <si>
    <t>1份DI</t>
    <phoneticPr fontId="2" type="noConversion"/>
  </si>
  <si>
    <t>25升DI</t>
    <phoneticPr fontId="2" type="noConversion"/>
  </si>
  <si>
    <t>32OzDI</t>
    <phoneticPr fontId="2" type="noConversion"/>
  </si>
  <si>
    <t>ROH-300BT-2W</t>
    <phoneticPr fontId="2" type="noConversion"/>
  </si>
  <si>
    <t>ROH-6BBT</t>
    <phoneticPr fontId="2" type="noConversion"/>
  </si>
  <si>
    <t>雙150大RODI</t>
    <phoneticPr fontId="2" type="noConversion"/>
  </si>
  <si>
    <t>100雙DI大RO</t>
    <phoneticPr fontId="2" type="noConversion"/>
  </si>
  <si>
    <t>ROH-6PH</t>
    <phoneticPr fontId="2" type="noConversion"/>
  </si>
  <si>
    <t>RQ-3002W</t>
    <phoneticPr fontId="2" type="noConversion"/>
  </si>
  <si>
    <t>100小RO鹹性</t>
    <phoneticPr fontId="2" type="noConversion"/>
  </si>
  <si>
    <t>100大RO鹹性</t>
    <phoneticPr fontId="2" type="noConversion"/>
  </si>
  <si>
    <t>雙出口雙150小RO+10吋DI</t>
    <phoneticPr fontId="2" type="noConversion"/>
  </si>
  <si>
    <t>RQ-4BM50</t>
    <phoneticPr fontId="2" type="noConversion"/>
  </si>
  <si>
    <t>4道50RODI</t>
    <phoneticPr fontId="2" type="noConversion"/>
  </si>
  <si>
    <t>RQ-5-100</t>
    <phoneticPr fontId="2" type="noConversion"/>
  </si>
  <si>
    <t>100小RO</t>
    <phoneticPr fontId="2" type="noConversion"/>
  </si>
  <si>
    <t>100小RO+前3+小T</t>
    <phoneticPr fontId="2" type="noConversion"/>
  </si>
  <si>
    <t>150小RO</t>
    <phoneticPr fontId="2" type="noConversion"/>
  </si>
  <si>
    <t>50小RO</t>
    <phoneticPr fontId="2" type="noConversion"/>
  </si>
  <si>
    <t>RQ5-5-100</t>
    <phoneticPr fontId="2" type="noConversion"/>
  </si>
  <si>
    <t>5吋100小RO</t>
    <phoneticPr fontId="2" type="noConversion"/>
  </si>
  <si>
    <t>5吋150小RO</t>
    <phoneticPr fontId="2" type="noConversion"/>
  </si>
  <si>
    <t>5吋50小RO</t>
    <phoneticPr fontId="2" type="noConversion"/>
  </si>
  <si>
    <t>RQ5-5B-100</t>
    <phoneticPr fontId="2" type="noConversion"/>
  </si>
  <si>
    <t>5吋100小RODI</t>
    <phoneticPr fontId="2" type="noConversion"/>
  </si>
  <si>
    <t>5吋150小RODI</t>
    <phoneticPr fontId="2" type="noConversion"/>
  </si>
  <si>
    <t>5吋50小RODI</t>
    <phoneticPr fontId="2" type="noConversion"/>
  </si>
  <si>
    <t>RQ5-5T-50</t>
    <phoneticPr fontId="2" type="noConversion"/>
  </si>
  <si>
    <t>RQ5-5-50</t>
    <phoneticPr fontId="2" type="noConversion"/>
  </si>
  <si>
    <t>5吋50大RO</t>
    <phoneticPr fontId="2" type="noConversion"/>
  </si>
  <si>
    <t>RQ-5B-100</t>
    <phoneticPr fontId="2" type="noConversion"/>
  </si>
  <si>
    <t>100小RODI</t>
    <phoneticPr fontId="2" type="noConversion"/>
  </si>
  <si>
    <t>100小RODI+前3+DI</t>
    <phoneticPr fontId="2" type="noConversion"/>
  </si>
  <si>
    <t>150小RODI</t>
    <phoneticPr fontId="2" type="noConversion"/>
  </si>
  <si>
    <t>50小RODI</t>
    <phoneticPr fontId="2" type="noConversion"/>
  </si>
  <si>
    <t>RQ-5BT2W-100</t>
    <phoneticPr fontId="2" type="noConversion"/>
  </si>
  <si>
    <t>雙出口100大RO+10吋DI</t>
    <phoneticPr fontId="2" type="noConversion"/>
  </si>
  <si>
    <t>雙出口150大RO+10吋DI</t>
    <phoneticPr fontId="2" type="noConversion"/>
  </si>
  <si>
    <t>RQ-5BT2W-150</t>
    <phoneticPr fontId="2" type="noConversion"/>
  </si>
  <si>
    <t>RQ-5T-100</t>
    <phoneticPr fontId="2" type="noConversion"/>
  </si>
  <si>
    <t>100大RO</t>
    <phoneticPr fontId="2" type="noConversion"/>
  </si>
  <si>
    <t>150大RO</t>
    <phoneticPr fontId="2" type="noConversion"/>
  </si>
  <si>
    <t>50大RO</t>
    <phoneticPr fontId="2" type="noConversion"/>
  </si>
  <si>
    <t>RQ-5T-50+3</t>
    <phoneticPr fontId="2" type="noConversion"/>
  </si>
  <si>
    <t>50大RO+前3</t>
    <phoneticPr fontId="2" type="noConversion"/>
  </si>
  <si>
    <t>50大RO+前3+小T</t>
    <phoneticPr fontId="2" type="noConversion"/>
  </si>
  <si>
    <t>全白100大RO+前3</t>
    <phoneticPr fontId="2" type="noConversion"/>
  </si>
  <si>
    <t>全白150大RO</t>
    <phoneticPr fontId="2" type="noConversion"/>
  </si>
  <si>
    <t>RQ-6B-100</t>
    <phoneticPr fontId="2" type="noConversion"/>
  </si>
  <si>
    <t>6道100小RODI</t>
    <phoneticPr fontId="2" type="noConversion"/>
  </si>
  <si>
    <t>6道100小RODI+前3+DI+小T</t>
    <phoneticPr fontId="2" type="noConversion"/>
  </si>
  <si>
    <t>6道150小RODI</t>
    <phoneticPr fontId="2" type="noConversion"/>
  </si>
  <si>
    <t>6道150小RODI+前3+DI+小T</t>
    <phoneticPr fontId="2" type="noConversion"/>
  </si>
  <si>
    <t>RQ-6B2W-100</t>
    <phoneticPr fontId="2" type="noConversion"/>
  </si>
  <si>
    <t>全白雙出6道100小RODI</t>
    <phoneticPr fontId="2" type="noConversion"/>
  </si>
  <si>
    <t>全白雙出6道100小RODI+前3+DI+小T</t>
    <phoneticPr fontId="2" type="noConversion"/>
  </si>
  <si>
    <t>全白雙出6道150小RODI</t>
    <phoneticPr fontId="2" type="noConversion"/>
  </si>
  <si>
    <t>全白雙出6道150小RODI+前3+DI+小T</t>
    <phoneticPr fontId="2" type="noConversion"/>
  </si>
  <si>
    <t>全白雙出6道50小RODI</t>
    <phoneticPr fontId="2" type="noConversion"/>
  </si>
  <si>
    <t>RQ-6B-50</t>
    <phoneticPr fontId="2" type="noConversion"/>
  </si>
  <si>
    <t>6道50小RODI</t>
    <phoneticPr fontId="2" type="noConversion"/>
  </si>
  <si>
    <t>6道50小RODI+前3+DI+小T</t>
    <phoneticPr fontId="2" type="noConversion"/>
  </si>
  <si>
    <t>RQ-6BB-100</t>
    <phoneticPr fontId="2" type="noConversion"/>
  </si>
  <si>
    <t>100小RO雙DI</t>
    <phoneticPr fontId="2" type="noConversion"/>
  </si>
  <si>
    <t>100小RO雙DI+前3+DI+小T</t>
    <phoneticPr fontId="2" type="noConversion"/>
  </si>
  <si>
    <t>150小RO雙DI</t>
    <phoneticPr fontId="2" type="noConversion"/>
  </si>
  <si>
    <t>150小RO雙DI+前3+DI+小T</t>
    <phoneticPr fontId="2" type="noConversion"/>
  </si>
  <si>
    <t>50小RO雙DI</t>
    <phoneticPr fontId="2" type="noConversion"/>
  </si>
  <si>
    <t>RQ-6BT-100</t>
    <phoneticPr fontId="2" type="noConversion"/>
  </si>
  <si>
    <t>6道100大RODI</t>
    <phoneticPr fontId="2" type="noConversion"/>
  </si>
  <si>
    <t>6道100大RODI+前3+DI+小T</t>
    <phoneticPr fontId="2" type="noConversion"/>
  </si>
  <si>
    <t>6道150大RODI</t>
    <phoneticPr fontId="2" type="noConversion"/>
  </si>
  <si>
    <t>6道150大RODI+前3+DI+小T</t>
    <phoneticPr fontId="2" type="noConversion"/>
  </si>
  <si>
    <t>6道50大RODI</t>
    <phoneticPr fontId="2" type="noConversion"/>
  </si>
  <si>
    <t>RQ-6BT2W-100</t>
    <phoneticPr fontId="2" type="noConversion"/>
  </si>
  <si>
    <t>雙出6道100大RODI</t>
    <phoneticPr fontId="2" type="noConversion"/>
  </si>
  <si>
    <t>RQ-7BB2W+6</t>
    <phoneticPr fontId="2" type="noConversion"/>
  </si>
  <si>
    <t>100小RO3DI</t>
    <phoneticPr fontId="2" type="noConversion"/>
  </si>
  <si>
    <t>150小RO3DI</t>
    <phoneticPr fontId="2" type="noConversion"/>
  </si>
  <si>
    <t>150小RO3DI+前3+3DI</t>
    <phoneticPr fontId="2" type="noConversion"/>
  </si>
  <si>
    <t>雙出7道100小RO2DI</t>
    <phoneticPr fontId="2" type="noConversion"/>
  </si>
  <si>
    <t>雙出7道100小RO2DI+前3+2DI+小T</t>
    <phoneticPr fontId="2" type="noConversion"/>
  </si>
  <si>
    <t>7道大RODI+UV</t>
    <phoneticPr fontId="2" type="noConversion"/>
  </si>
  <si>
    <t>RW-4CT-50</t>
    <phoneticPr fontId="2" type="noConversion"/>
  </si>
  <si>
    <t>WH3+50行RO+桶</t>
    <phoneticPr fontId="2" type="noConversion"/>
  </si>
  <si>
    <t>SO-001</t>
    <phoneticPr fontId="2" type="noConversion"/>
  </si>
  <si>
    <t>5套行2</t>
    <phoneticPr fontId="2" type="noConversion"/>
  </si>
  <si>
    <t>SO-002</t>
    <phoneticPr fontId="2" type="noConversion"/>
  </si>
  <si>
    <t>2套前2+5DI+150膜</t>
    <phoneticPr fontId="2" type="noConversion"/>
  </si>
  <si>
    <t>0404Q接頭</t>
    <phoneticPr fontId="2" type="noConversion"/>
  </si>
  <si>
    <t>1044接頭</t>
    <phoneticPr fontId="2" type="noConversion"/>
  </si>
  <si>
    <t>131Q接頭</t>
    <phoneticPr fontId="2" type="noConversion"/>
  </si>
  <si>
    <t>132Q接頭</t>
    <phoneticPr fontId="2" type="noConversion"/>
  </si>
  <si>
    <t>6pcs4040Q接頭</t>
    <phoneticPr fontId="2" type="noConversion"/>
  </si>
  <si>
    <t>4041Q接頭</t>
    <phoneticPr fontId="2" type="noConversion"/>
  </si>
  <si>
    <t>6044Q接頭</t>
    <phoneticPr fontId="2" type="noConversion"/>
  </si>
  <si>
    <t>702Q接頭</t>
    <phoneticPr fontId="2" type="noConversion"/>
  </si>
  <si>
    <t>7044Q接頭</t>
    <phoneticPr fontId="2" type="noConversion"/>
  </si>
  <si>
    <t>SP-aerator-M</t>
    <phoneticPr fontId="2" type="noConversion"/>
  </si>
  <si>
    <t>SP-aerator-p</t>
    <phoneticPr fontId="2" type="noConversion"/>
  </si>
  <si>
    <t>塑膠水口轉接頭</t>
    <phoneticPr fontId="2" type="noConversion"/>
  </si>
  <si>
    <t>SP-CRT</t>
    <phoneticPr fontId="2" type="noConversion"/>
  </si>
  <si>
    <t>SP-Q34A</t>
    <phoneticPr fontId="2" type="noConversion"/>
  </si>
  <si>
    <t>25呎2分藍管</t>
    <phoneticPr fontId="2" type="noConversion"/>
  </si>
  <si>
    <t>UG-100-200</t>
    <phoneticPr fontId="2" type="noConversion"/>
  </si>
  <si>
    <t>100RO升級200套件</t>
    <phoneticPr fontId="2" type="noConversion"/>
  </si>
  <si>
    <t>150RO升級300套件</t>
    <phoneticPr fontId="2" type="noConversion"/>
  </si>
  <si>
    <t>UG-50G</t>
    <phoneticPr fontId="2" type="noConversion"/>
  </si>
  <si>
    <t>50RO升級套件</t>
    <phoneticPr fontId="2" type="noConversion"/>
  </si>
  <si>
    <t>UG-RWTC-50</t>
    <phoneticPr fontId="2" type="noConversion"/>
  </si>
  <si>
    <t>WH升級50RO套件</t>
    <phoneticPr fontId="2" type="noConversion"/>
  </si>
  <si>
    <t>USPS郵資</t>
    <phoneticPr fontId="2" type="noConversion"/>
  </si>
  <si>
    <t>USPS-16</t>
    <phoneticPr fontId="2" type="noConversion"/>
  </si>
  <si>
    <t>WH-2</t>
    <phoneticPr fontId="2" type="noConversion"/>
  </si>
  <si>
    <t>全透WH2</t>
    <phoneticPr fontId="2" type="noConversion"/>
  </si>
  <si>
    <t>全透WH2+前2</t>
    <phoneticPr fontId="2" type="noConversion"/>
  </si>
  <si>
    <t>全透4分WH2</t>
    <phoneticPr fontId="2" type="noConversion"/>
  </si>
  <si>
    <t>全白4分WH2</t>
    <phoneticPr fontId="2" type="noConversion"/>
  </si>
  <si>
    <t>全白4分WH2+前2</t>
    <phoneticPr fontId="2" type="noConversion"/>
  </si>
  <si>
    <t>全白WH2</t>
    <phoneticPr fontId="2" type="noConversion"/>
  </si>
  <si>
    <t>全白WH2+前2</t>
    <phoneticPr fontId="2" type="noConversion"/>
  </si>
  <si>
    <t>透白WH2</t>
    <phoneticPr fontId="2" type="noConversion"/>
  </si>
  <si>
    <t>WH-2A610WT</t>
    <phoneticPr fontId="2" type="noConversion"/>
  </si>
  <si>
    <t>全白5吋WH2</t>
    <phoneticPr fontId="2" type="noConversion"/>
  </si>
  <si>
    <t>透白5吋WH2</t>
    <phoneticPr fontId="2" type="noConversion"/>
  </si>
  <si>
    <t>WH-3+3</t>
    <phoneticPr fontId="2" type="noConversion"/>
  </si>
  <si>
    <t>全透WH3+前3</t>
    <phoneticPr fontId="2" type="noConversion"/>
  </si>
  <si>
    <t>全透4分WH3+前3</t>
    <phoneticPr fontId="2" type="noConversion"/>
  </si>
  <si>
    <t>全透WH3</t>
    <phoneticPr fontId="2" type="noConversion"/>
  </si>
  <si>
    <t>全白WH3</t>
    <phoneticPr fontId="2" type="noConversion"/>
  </si>
  <si>
    <t>全白WH3+前3</t>
    <phoneticPr fontId="2" type="noConversion"/>
  </si>
  <si>
    <t>全透5吋WH3</t>
    <phoneticPr fontId="2" type="noConversion"/>
  </si>
  <si>
    <t>全白5吋WH3</t>
    <phoneticPr fontId="2" type="noConversion"/>
  </si>
  <si>
    <t>WH-4T</t>
    <phoneticPr fontId="2" type="noConversion"/>
  </si>
  <si>
    <t>透白WH3+小T</t>
    <phoneticPr fontId="2" type="noConversion"/>
  </si>
  <si>
    <t>WH-A610TC</t>
    <phoneticPr fontId="2" type="noConversion"/>
  </si>
  <si>
    <t>透WHCTO</t>
    <phoneticPr fontId="2" type="noConversion"/>
  </si>
  <si>
    <t>透WHPP</t>
    <phoneticPr fontId="2" type="noConversion"/>
  </si>
  <si>
    <t>白WHCTO</t>
    <phoneticPr fontId="2" type="noConversion"/>
  </si>
  <si>
    <t>白WHPP</t>
    <phoneticPr fontId="2" type="noConversion"/>
  </si>
  <si>
    <t>50-Filtration System</t>
    <phoneticPr fontId="2" type="noConversion"/>
  </si>
  <si>
    <t>68-Replacement</t>
    <phoneticPr fontId="2" type="noConversion"/>
  </si>
  <si>
    <t>65-Parts &amp; Tools</t>
    <phoneticPr fontId="2" type="noConversion"/>
  </si>
  <si>
    <t>FT-BKFB</t>
    <phoneticPr fontId="2" type="noConversion"/>
  </si>
  <si>
    <t>接頭扳手</t>
    <phoneticPr fontId="2" type="noConversion"/>
  </si>
  <si>
    <t>Shipping</t>
    <phoneticPr fontId="2" type="noConversion"/>
  </si>
  <si>
    <t>66-Housing</t>
    <phoneticPr fontId="2" type="noConversion"/>
  </si>
  <si>
    <t>FT-400UG</t>
    <phoneticPr fontId="2" type="noConversion"/>
  </si>
  <si>
    <t>84-Shipping</t>
    <phoneticPr fontId="2" type="noConversion"/>
  </si>
  <si>
    <t>79-Fittings</t>
    <phoneticPr fontId="2" type="noConversion"/>
  </si>
  <si>
    <t>80-Valves</t>
    <phoneticPr fontId="2" type="noConversion"/>
  </si>
  <si>
    <t>67-Feeders</t>
    <phoneticPr fontId="2" type="noConversion"/>
  </si>
  <si>
    <t>81-Faucet,Tank,Tubes</t>
    <phoneticPr fontId="2" type="noConversion"/>
  </si>
  <si>
    <t>82-Utilityes</t>
    <phoneticPr fontId="2" type="noConversion"/>
  </si>
  <si>
    <t>75-1/4~3/8 inch</t>
    <phoneticPr fontId="2" type="noConversion"/>
  </si>
  <si>
    <t>76-3/4 inch</t>
    <phoneticPr fontId="2" type="noConversion"/>
  </si>
  <si>
    <t>77-1/2 inch</t>
    <phoneticPr fontId="2" type="noConversion"/>
  </si>
  <si>
    <t>64-Ultra Violet</t>
    <phoneticPr fontId="2" type="noConversion"/>
  </si>
  <si>
    <t>74-Ultra Violet</t>
    <phoneticPr fontId="2" type="noConversion"/>
  </si>
  <si>
    <t>59-Whole House</t>
    <phoneticPr fontId="2" type="noConversion"/>
  </si>
  <si>
    <t>60-Standard</t>
    <phoneticPr fontId="2" type="noConversion"/>
  </si>
  <si>
    <t>61-0Ecnomical</t>
    <phoneticPr fontId="2" type="noConversion"/>
  </si>
  <si>
    <t>72-Menbranes</t>
    <phoneticPr fontId="2" type="noConversion"/>
  </si>
  <si>
    <t>73-Resin</t>
    <phoneticPr fontId="2" type="noConversion"/>
  </si>
  <si>
    <t>70-Combo Set</t>
    <phoneticPr fontId="2" type="noConversion"/>
  </si>
  <si>
    <t>71-Filters</t>
    <phoneticPr fontId="2" type="noConversion"/>
  </si>
  <si>
    <t>51-Revese Osmosis</t>
    <phoneticPr fontId="2" type="noConversion"/>
  </si>
  <si>
    <t>55-Portable RO</t>
    <phoneticPr fontId="2" type="noConversion"/>
  </si>
  <si>
    <t>52-Standard Flow 100 GPD</t>
    <phoneticPr fontId="2" type="noConversion"/>
  </si>
  <si>
    <t>53-High Flow 150+ GPD</t>
    <phoneticPr fontId="2" type="noConversion"/>
  </si>
  <si>
    <t>54-Low Flow 50 GPD</t>
    <phoneticPr fontId="2" type="noConversion"/>
  </si>
  <si>
    <t>NRO-5T+7</t>
    <phoneticPr fontId="2" type="noConversion"/>
  </si>
  <si>
    <t>56-Standard Flow 100 GPD</t>
    <phoneticPr fontId="2" type="noConversion"/>
  </si>
  <si>
    <t>57-High Flow 150+ GPD</t>
    <phoneticPr fontId="2" type="noConversion"/>
  </si>
  <si>
    <t>58-Low Flow 50 GPD</t>
    <phoneticPr fontId="2" type="noConversion"/>
  </si>
  <si>
    <t>RQ-7BUVT</t>
    <phoneticPr fontId="2" type="noConversion"/>
  </si>
  <si>
    <t>7道100大RODI+UV</t>
    <phoneticPr fontId="2" type="noConversion"/>
  </si>
  <si>
    <t>62-Drinking Water</t>
    <phoneticPr fontId="2" type="noConversion"/>
  </si>
  <si>
    <t>63-Aquarium</t>
    <phoneticPr fontId="2" type="noConversion"/>
  </si>
  <si>
    <t>POQ-RODI-50</t>
    <phoneticPr fontId="2" type="noConversion"/>
  </si>
  <si>
    <t>2道50行RODI</t>
    <phoneticPr fontId="2" type="noConversion"/>
  </si>
  <si>
    <t>Filtration System</t>
    <phoneticPr fontId="2"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</si>
  <si>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</si>
  <si>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</si>
  <si>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</si>
  <si>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</si>
  <si>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</si>
  <si>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</si>
  <si>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</si>
  <si>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</si>
  <si>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</si>
  <si>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</si>
  <si>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</si>
  <si>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</si>
  <si>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</si>
  <si>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</si>
  <si>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</si>
  <si>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</si>
  <si>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</si>
  <si>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</si>
  <si>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</si>
  <si>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</si>
  <si>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</si>
  <si>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</si>
  <si>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</si>
  <si>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</si>
  <si>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</si>
  <si>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</si>
  <si>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</si>
  <si>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2" type="noConversion"/>
  </si>
  <si>
    <t>Parts &amp; Tools</t>
    <phoneticPr fontId="2"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</si>
  <si>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</si>
  <si>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</si>
  <si>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</si>
  <si>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</si>
  <si>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</si>
  <si>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</si>
  <si>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</si>
  <si>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</si>
  <si>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2" type="noConversion"/>
  </si>
  <si>
    <t>Filtration System</t>
    <phoneticPr fontId="2" type="noConversion"/>
  </si>
  <si>
    <t>Replacement</t>
    <phoneticPr fontId="2" type="noConversion"/>
  </si>
  <si>
    <t>Drinking Water</t>
    <phoneticPr fontId="2" type="noConversion"/>
  </si>
  <si>
    <t>Ultra Violet</t>
    <phoneticPr fontId="2" type="noConversion"/>
  </si>
  <si>
    <t>Revese Osmosis</t>
    <phoneticPr fontId="2" type="noConversion"/>
  </si>
  <si>
    <t>Portable RO</t>
    <phoneticPr fontId="2" type="noConversion"/>
  </si>
  <si>
    <t>Whole House</t>
    <phoneticPr fontId="2" type="noConversion"/>
  </si>
  <si>
    <t>Aquarium</t>
    <phoneticPr fontId="2" type="noConversion"/>
  </si>
  <si>
    <t>FS-4BK</t>
    <phoneticPr fontId="2" type="noConversion"/>
  </si>
  <si>
    <t>Housing</t>
    <phoneticPr fontId="2" type="noConversion"/>
  </si>
  <si>
    <t>Parts &amp; Tools</t>
    <phoneticPr fontId="2" type="noConversion"/>
  </si>
  <si>
    <t>Feeders</t>
    <phoneticPr fontId="2" type="noConversion"/>
  </si>
  <si>
    <t>Fittings</t>
    <phoneticPr fontId="2" type="noConversion"/>
  </si>
  <si>
    <t>Valves</t>
    <phoneticPr fontId="2" type="noConversion"/>
  </si>
  <si>
    <t>Faucet-Tank-Tubes</t>
    <phoneticPr fontId="2" type="noConversion"/>
  </si>
  <si>
    <t>Utilityes</t>
    <phoneticPr fontId="2" type="noConversion"/>
  </si>
  <si>
    <t>Combo Set</t>
    <phoneticPr fontId="2" type="noConversion"/>
  </si>
  <si>
    <t>Filters</t>
    <phoneticPr fontId="2" type="noConversion"/>
  </si>
  <si>
    <t>Menbranes</t>
    <phoneticPr fontId="2" type="noConversion"/>
  </si>
  <si>
    <t>Resin</t>
    <phoneticPr fontId="2" type="noConversion"/>
  </si>
  <si>
    <t>Ultra Violet</t>
    <phoneticPr fontId="2" type="noConversion"/>
  </si>
  <si>
    <t>1/4~3/8 inch</t>
    <phoneticPr fontId="2" type="noConversion"/>
  </si>
  <si>
    <t>3/4 inch</t>
    <phoneticPr fontId="2" type="noConversion"/>
  </si>
  <si>
    <t>1/2 inch</t>
    <phoneticPr fontId="2" type="noConversion"/>
  </si>
  <si>
    <t>美紋紙手撕膠帶6mm*12m-紅</t>
    <phoneticPr fontId="58" type="noConversion"/>
  </si>
  <si>
    <t>美紋紙手撕膠帶6mm*12m-深綠</t>
    <phoneticPr fontId="58" type="noConversion"/>
  </si>
  <si>
    <t>美紋紙手撕膠帶6mm*12m-藍</t>
    <phoneticPr fontId="58" type="noConversion"/>
  </si>
  <si>
    <t>美紋紙手撕膠帶6mm*12m-淺藍</t>
    <phoneticPr fontId="58" type="noConversion"/>
  </si>
  <si>
    <t>美紋紙手撕膠帶6mm*12m-綠</t>
    <phoneticPr fontId="58" type="noConversion"/>
  </si>
  <si>
    <t>美紋紙手撕膠帶10mm*12m-紅</t>
    <phoneticPr fontId="2" type="noConversion"/>
  </si>
  <si>
    <t>美紋紙手撕膠帶10mm*12m-綠</t>
    <phoneticPr fontId="2" type="noConversion"/>
  </si>
  <si>
    <t>美紋紙手撕膠帶10mm*12m-藍</t>
    <phoneticPr fontId="2" type="noConversion"/>
  </si>
  <si>
    <t>美紋紙手撕膠帶10mm*12m-淺藍</t>
    <phoneticPr fontId="2" type="noConversion"/>
  </si>
  <si>
    <t>美紋紙手撕膠帶10mm*12m-深綠</t>
    <phoneticPr fontId="2" type="noConversion"/>
  </si>
  <si>
    <t>美紋紙手撕膠帶12mm*12m-紅</t>
    <phoneticPr fontId="2" type="noConversion"/>
  </si>
  <si>
    <t>美紋紙手撕膠帶12mm*12m-綠</t>
    <phoneticPr fontId="2" type="noConversion"/>
  </si>
  <si>
    <t>美紋紙手撕膠帶12mm*12m-藍</t>
    <phoneticPr fontId="2" type="noConversion"/>
  </si>
  <si>
    <t>美紋紙手撕膠帶12mm*12m-深綠</t>
    <phoneticPr fontId="2" type="noConversion"/>
  </si>
  <si>
    <t>美紋紙手撕膠帶20mm*12m-紅</t>
    <phoneticPr fontId="2" type="noConversion"/>
  </si>
  <si>
    <t>美紋紙手撕膠帶20mm*12m-綠</t>
    <phoneticPr fontId="2" type="noConversion"/>
  </si>
  <si>
    <t>美紋紙手撕膠帶20mm*12m-藍</t>
    <phoneticPr fontId="2" type="noConversion"/>
  </si>
  <si>
    <t>美紋紙手撕膠帶20mm*12m-淺藍</t>
    <phoneticPr fontId="2" type="noConversion"/>
  </si>
  <si>
    <t>美紋紙手撕膠帶20mm*12m-深綠</t>
    <phoneticPr fontId="2" type="noConversion"/>
  </si>
  <si>
    <t>美紋紙手撕膠帶24mm*12m-紅</t>
    <phoneticPr fontId="2" type="noConversion"/>
  </si>
  <si>
    <t>美紋紙手撕膠帶24mm*12m-綠</t>
    <phoneticPr fontId="2" type="noConversion"/>
  </si>
  <si>
    <t>美紋紙手撕膠帶24mm*12m-藍</t>
    <phoneticPr fontId="2" type="noConversion"/>
  </si>
  <si>
    <t>美紋紙手撕膠帶24mm*12m-淺藍</t>
    <phoneticPr fontId="2" type="noConversion"/>
  </si>
  <si>
    <t>美紋紙手撕膠帶24mm*12m-深綠</t>
    <phoneticPr fontId="2" type="noConversion"/>
  </si>
  <si>
    <t>美紋紙手撕膠帶50mm*12m-紅</t>
    <phoneticPr fontId="2" type="noConversion"/>
  </si>
  <si>
    <t>美紋紙手撕膠帶50mm*12m-綠</t>
    <phoneticPr fontId="2" type="noConversion"/>
  </si>
  <si>
    <t>美紋紙手撕膠帶50mm*12m-藍</t>
    <phoneticPr fontId="2" type="noConversion"/>
  </si>
  <si>
    <t>美紋紙手撕膠帶50mm*12m-淺藍</t>
    <phoneticPr fontId="2" type="noConversion"/>
  </si>
  <si>
    <t>美紋紙手撕膠帶50mm*12m-深綠</t>
    <phoneticPr fontId="2" type="noConversion"/>
  </si>
  <si>
    <t>Infeelme和紙膠帶1.5cm*7m隔壁花園-赤狐</t>
    <phoneticPr fontId="2" type="noConversion"/>
  </si>
  <si>
    <t>Infeelme和紙膠帶1.5cm*7m隔壁花園-多肉</t>
    <phoneticPr fontId="2" type="noConversion"/>
  </si>
  <si>
    <t>Infeelme和紙膠帶1.5cm*7m隔壁花園-黑貓</t>
    <phoneticPr fontId="2" type="noConversion"/>
  </si>
  <si>
    <t>Infeelme和紙膠帶1.5cm*7m隔壁花園-花匠</t>
    <phoneticPr fontId="2" type="noConversion"/>
  </si>
  <si>
    <t>Infeelme和紙膠帶1.5cm*7m隔壁花園-夏瓜</t>
    <phoneticPr fontId="2" type="noConversion"/>
  </si>
  <si>
    <t>Infeelme和紙膠帶1.5cm*7m歲花紀-椿</t>
    <phoneticPr fontId="2" type="noConversion"/>
  </si>
  <si>
    <t>Infeelme和紙膠帶1.5cm*7m歲花紀-丁香</t>
    <phoneticPr fontId="2" type="noConversion"/>
  </si>
  <si>
    <t>Infeelme和紙膠帶1.5cm*7m歲花紀-粉團</t>
    <phoneticPr fontId="2" type="noConversion"/>
  </si>
  <si>
    <t>Infeelme和紙膠帶1.5cm*7m歲花紀-黃梅</t>
    <phoneticPr fontId="2" type="noConversion"/>
  </si>
  <si>
    <t>Infeelme和紙膠帶1.5cm*7m歲花紀-琉璃</t>
    <phoneticPr fontId="2" type="noConversion"/>
  </si>
  <si>
    <t>Infeelme和紙膠帶1.5cm*7m歲花紀-山茶</t>
    <phoneticPr fontId="2" type="noConversion"/>
  </si>
  <si>
    <t>Infeelme和紙膠帶1.5cm*7m歲花紀-辛夷</t>
    <phoneticPr fontId="2" type="noConversion"/>
  </si>
  <si>
    <t>Infeelme和紙膠帶1.5cm*7m歲花紀-杏花</t>
    <phoneticPr fontId="2" type="noConversion"/>
  </si>
  <si>
    <t>Infeelme和紙膠帶1.5cm*7m歲花紀-櫻</t>
    <phoneticPr fontId="2" type="noConversion"/>
  </si>
  <si>
    <t>Infeelme和紙膠帶1.5cm*7m歲花紀-紺藍</t>
    <phoneticPr fontId="2" type="noConversion"/>
  </si>
  <si>
    <t>Infeelme和紙膠帶1.5cm*7m歲花紀-黛紫</t>
    <phoneticPr fontId="2" type="noConversion"/>
  </si>
  <si>
    <t>Infeelme和紙膠帶1.5cm*7m植覺-茶染</t>
    <phoneticPr fontId="2" type="noConversion"/>
  </si>
  <si>
    <t>Infeelme和紙膠帶1.5cm*7m植覺-朝露</t>
    <phoneticPr fontId="2" type="noConversion"/>
  </si>
  <si>
    <t>Infeelme和紙膠帶1.5cm*7m植覺-木槿</t>
    <phoneticPr fontId="2" type="noConversion"/>
  </si>
  <si>
    <t>Infeelme和紙膠帶1.5cm*7m植覺-新綠</t>
    <phoneticPr fontId="2" type="noConversion"/>
  </si>
  <si>
    <t>Infeelme和紙膠帶1.5cm*7m植覺-銀杏</t>
    <phoneticPr fontId="2" type="noConversion"/>
  </si>
  <si>
    <t>Infeelme和紙膠帶1.5cm*7m植覺-月玲子</t>
    <phoneticPr fontId="2" type="noConversion"/>
  </si>
  <si>
    <t>夜光膠帶10mm*1m-N橙黃</t>
    <phoneticPr fontId="58" type="noConversion"/>
  </si>
  <si>
    <t>夜光膠帶20mm*1m-N橙黃</t>
    <phoneticPr fontId="2" type="noConversion"/>
  </si>
  <si>
    <t>尼龍紮帶3*150mm*100pcs-白</t>
    <phoneticPr fontId="2" type="noConversion"/>
  </si>
  <si>
    <t>尼龍紮帶3*150mm*100pcs-黑</t>
    <phoneticPr fontId="2" type="noConversion"/>
  </si>
  <si>
    <t>尼龍紮帶3*150mm*100pcs-藍</t>
    <phoneticPr fontId="2" type="noConversion"/>
  </si>
  <si>
    <t>尼龍紮帶3*150mm*100pcs-紅</t>
    <phoneticPr fontId="2" type="noConversion"/>
  </si>
  <si>
    <t>尼龍紮帶3*150mm*100pcs-黃</t>
    <phoneticPr fontId="2" type="noConversion"/>
  </si>
  <si>
    <t>尼龍紮帶3*150mm*100pcs-綠</t>
    <phoneticPr fontId="2" type="noConversion"/>
  </si>
  <si>
    <t>尼龍紮帶3*150mm*100pcs-粉</t>
    <phoneticPr fontId="2" type="noConversion"/>
  </si>
  <si>
    <t>尼龍紮帶3*150mm*100pcs-草綠</t>
    <phoneticPr fontId="2" type="noConversion"/>
  </si>
  <si>
    <t>尼龍紮帶3*200mm*100pcs-白</t>
    <phoneticPr fontId="2" type="noConversion"/>
  </si>
  <si>
    <t>尼龍紮帶3*200mm*100pcs-黑</t>
    <phoneticPr fontId="2" type="noConversion"/>
  </si>
  <si>
    <t>尼龍紮帶3*200mm*100pcs-藍</t>
    <phoneticPr fontId="2" type="noConversion"/>
  </si>
  <si>
    <t>尼龍紮帶3*200mm*100pcs-紅</t>
    <phoneticPr fontId="2" type="noConversion"/>
  </si>
  <si>
    <t>尼龍紮帶3*200mm*100pcs-黃</t>
    <phoneticPr fontId="2" type="noConversion"/>
  </si>
  <si>
    <t>汽車輪胎防滑紮帶</t>
    <phoneticPr fontId="58" type="noConversion"/>
  </si>
  <si>
    <t>不鏽鋼紮帶4.6mm*150mm</t>
    <phoneticPr fontId="58" type="noConversion"/>
  </si>
  <si>
    <t>不鏽鋼紮帶4.6mm*200mm</t>
    <phoneticPr fontId="58" type="noConversion"/>
  </si>
  <si>
    <t>不鏽鋼紮帶4.6mm*300mm</t>
    <phoneticPr fontId="58" type="noConversion"/>
  </si>
  <si>
    <t>不鏽鋼紮帶4.6mm*400mm</t>
    <phoneticPr fontId="58" type="noConversion"/>
  </si>
  <si>
    <t>不鏽鋼紮帶4.6mm*450mm</t>
    <phoneticPr fontId="58" type="noConversion"/>
  </si>
  <si>
    <t>不鏽鋼紮帶4.6mm*500mm</t>
    <phoneticPr fontId="58" type="noConversion"/>
  </si>
  <si>
    <t>不鏽鋼紮帶4.6mm*700mm</t>
    <phoneticPr fontId="58" type="noConversion"/>
  </si>
  <si>
    <t>金屬紮絲4mm*10cm*400pcs-銀</t>
    <phoneticPr fontId="58" type="noConversion"/>
  </si>
  <si>
    <t>金屬紮絲4mm*10cm*400pcs-綠</t>
    <phoneticPr fontId="58" type="noConversion"/>
  </si>
  <si>
    <t>金屬紮絲4mm*10cm*400pcs-黑</t>
    <phoneticPr fontId="58" type="noConversion"/>
  </si>
  <si>
    <t>金屬紮絲4mm*10cm*400pcs-紫</t>
    <phoneticPr fontId="58" type="noConversion"/>
  </si>
  <si>
    <t>金屬紮絲4mm*10cm*400pcs-紅</t>
    <phoneticPr fontId="58" type="noConversion"/>
  </si>
  <si>
    <t>金屬紮絲4mm*10cm*400pcs-藍</t>
    <phoneticPr fontId="58" type="noConversion"/>
  </si>
  <si>
    <t>金屬紮絲4mm*10cm*400pcs-玫紅</t>
    <phoneticPr fontId="58" type="noConversion"/>
  </si>
  <si>
    <t>紙紮絲4mm*9cm*100pcs-白英文愛心</t>
    <phoneticPr fontId="58" type="noConversion"/>
  </si>
  <si>
    <t>紙紮絲4mm*9cm*100pcs-紅英文愛心</t>
    <phoneticPr fontId="58" type="noConversion"/>
  </si>
  <si>
    <t>紙紮絲4mm*9cm*100pcs-藍英文愛心</t>
    <phoneticPr fontId="58" type="noConversion"/>
  </si>
  <si>
    <t>紙紮絲4mm*9cm*100pcs-紫英文愛心</t>
    <phoneticPr fontId="58" type="noConversion"/>
  </si>
  <si>
    <t>紙紮絲4mm*9cm*100pcs-綠英文愛心</t>
    <phoneticPr fontId="58" type="noConversion"/>
  </si>
  <si>
    <t>紙紮絲4mm*9cm*100pcs-卡其英文愛心</t>
    <phoneticPr fontId="58" type="noConversion"/>
  </si>
  <si>
    <t>包塑紮絲4mm*9cm*100pcs-淺綠</t>
    <phoneticPr fontId="58" type="noConversion"/>
  </si>
  <si>
    <t>包塑紮絲4mm*9cm*100pcs-紅</t>
    <phoneticPr fontId="58" type="noConversion"/>
  </si>
  <si>
    <t>包塑紮絲4mm*9cm*100pcs-藍</t>
    <phoneticPr fontId="58" type="noConversion"/>
  </si>
  <si>
    <t>包塑紮絲4mm*9cm*100pcs-紫</t>
    <phoneticPr fontId="58" type="noConversion"/>
  </si>
  <si>
    <t>包塑紮絲4mm*9cm*100pcs-黃</t>
    <phoneticPr fontId="58" type="noConversion"/>
  </si>
  <si>
    <t>包塑紮絲4mm*9cm*100pcs-粉</t>
    <phoneticPr fontId="58" type="noConversion"/>
  </si>
  <si>
    <t>蝴蝶結紮絲4mm*8cm*20pcs-紅</t>
    <phoneticPr fontId="58" type="noConversion"/>
  </si>
  <si>
    <t>蝴蝶結紮絲4mm*8cm*20pcs-粉</t>
    <phoneticPr fontId="58" type="noConversion"/>
  </si>
  <si>
    <t>蝴蝶結紮絲4mm*8cm*20pcs-紫</t>
    <phoneticPr fontId="58" type="noConversion"/>
  </si>
  <si>
    <t>蝴蝶結紮絲4mm*8cm*20pcs-咖啡</t>
    <phoneticPr fontId="58" type="noConversion"/>
  </si>
  <si>
    <t>汽車保險絲盒取電器-迷你藍色端子</t>
    <phoneticPr fontId="58" type="noConversion"/>
  </si>
  <si>
    <t>汽車保險絲盒取電器-小藍色端子</t>
    <phoneticPr fontId="2" type="noConversion"/>
  </si>
  <si>
    <t>汽車保險絲盒取電器-中藍色端子</t>
    <phoneticPr fontId="2" type="noConversion"/>
  </si>
  <si>
    <t>汽車保險絲拔取器</t>
    <phoneticPr fontId="58" type="noConversion"/>
  </si>
  <si>
    <t>DC5.5*2.1mm-公轉螺絲綠接線端子</t>
    <phoneticPr fontId="2" type="noConversion"/>
  </si>
  <si>
    <t>DC5.5*2.1mm-母轉螺絲綠接線端子</t>
    <phoneticPr fontId="2" type="noConversion"/>
  </si>
  <si>
    <t>DC5.5*2.1mm-公轉按鈕紅接線端子</t>
    <phoneticPr fontId="2" type="noConversion"/>
  </si>
  <si>
    <t>DC5.5*2.1mm-母轉按鈕紅接線端子</t>
    <phoneticPr fontId="2" type="noConversion"/>
  </si>
  <si>
    <t>DC5.5*2.1mm-公轉帶黑紅線</t>
    <phoneticPr fontId="2" type="noConversion"/>
  </si>
  <si>
    <t>DC5.5*2.1mm-母轉帶黑紅線</t>
    <phoneticPr fontId="2" type="noConversion"/>
  </si>
  <si>
    <t>多孔位元轉換插座-2位元3孔轉扁2插帶開關K5</t>
    <phoneticPr fontId="2" type="noConversion"/>
  </si>
  <si>
    <t>多孔位元轉換插座-3位元3孔轉扁2插帶按鈕開關K2</t>
    <phoneticPr fontId="2" type="noConversion"/>
  </si>
  <si>
    <t>多孔位元轉換插座-3位元3孔轉扁2插帶船形開關K3</t>
    <phoneticPr fontId="2" type="noConversion"/>
  </si>
  <si>
    <t>多孔位元轉換插座-4位元3孔轉扁2插K8</t>
    <phoneticPr fontId="2" type="noConversion"/>
  </si>
  <si>
    <t>多孔位元轉換插座-可旋轉4位3孔轉扁2插K4</t>
    <phoneticPr fontId="2" type="noConversion"/>
  </si>
  <si>
    <t>HDMI線1米鍍金銅包鋼 hdmi高清線 機上盒電腦連接線 3D 1080P</t>
    <phoneticPr fontId="2" type="noConversion"/>
  </si>
  <si>
    <t>1.4版HDMI線1.8米 A/A鍍金 hdmi高清線機上盒連接線 1080P4K定做</t>
    <phoneticPr fontId="2" type="noConversion"/>
  </si>
  <si>
    <t>0.5米豬尾巴HDMI 三進一出切換器線hdmi一拖帶三分配器線4K定制顏色:黑色</t>
    <phoneticPr fontId="2" type="noConversion"/>
  </si>
  <si>
    <t>音頻線3.5mm-1分2白色公並2母175mm</t>
    <phoneticPr fontId="2" type="noConversion"/>
  </si>
  <si>
    <t>水龍頭掛袋-藍色#C05BJ</t>
    <phoneticPr fontId="58" type="noConversion"/>
  </si>
  <si>
    <t>水龍頭掛袋-綠色#C05BK</t>
    <phoneticPr fontId="58" type="noConversion"/>
  </si>
  <si>
    <t>水龍頭掛袋-北歐黃#C072H</t>
    <phoneticPr fontId="58" type="noConversion"/>
  </si>
  <si>
    <t>水龍頭掛袋-北歐藍#C072J</t>
    <phoneticPr fontId="58" type="noConversion"/>
  </si>
  <si>
    <t>水龍頭掛袋-北歐綠#C072K</t>
    <phoneticPr fontId="58" type="noConversion"/>
  </si>
  <si>
    <t>水龍頭置物架掛桿套-藍色#C09K7</t>
    <phoneticPr fontId="58" type="noConversion"/>
  </si>
  <si>
    <t>水龍頭濾芯-藍蓋活性炭濾水器#C06SC</t>
    <phoneticPr fontId="58" type="noConversion"/>
  </si>
  <si>
    <t>水龍頭濾芯-圓活性炭濾水器#C06SE</t>
    <phoneticPr fontId="58" type="noConversion"/>
  </si>
  <si>
    <t>水龍頭濾芯-麥飯石款粉色#YPHI-462-89-139</t>
    <phoneticPr fontId="58" type="noConversion"/>
  </si>
  <si>
    <t>水龍頭濾芯-麥飯石款藍色#YPHI-462-1-139</t>
    <phoneticPr fontId="58" type="noConversion"/>
  </si>
  <si>
    <t>水龍頭濾芯-麥飯石款白色#YPHI-462-3-139</t>
    <phoneticPr fontId="58" type="noConversion"/>
  </si>
  <si>
    <t>水龍頭水口-小風扇綠色#C07NR</t>
    <phoneticPr fontId="58" type="noConversion"/>
  </si>
  <si>
    <t>水龍頭水口-小風扇藍色#C07NQ</t>
    <phoneticPr fontId="58" type="noConversion"/>
  </si>
  <si>
    <t>水龍頭水口-短喇叭藍色#C08S3</t>
    <phoneticPr fontId="58" type="noConversion"/>
  </si>
  <si>
    <t>水龍頭水口-長喇叭藍色#C08S0</t>
    <phoneticPr fontId="58" type="noConversion"/>
  </si>
  <si>
    <t>306.09</t>
    <phoneticPr fontId="2" type="noConversion"/>
  </si>
  <si>
    <t>5mm*20mm*0.5mm厚黃銅鍍鎳保險管夾子</t>
    <phoneticPr fontId="2" type="noConversion"/>
  </si>
  <si>
    <t>六类透明爪子护套 水晶头护套 超六类水晶头保护套</t>
    <phoneticPr fontId="58" type="noConversion"/>
  </si>
  <si>
    <r>
      <t>水晶头保护套 六类护套 异形网线护套</t>
    </r>
    <r>
      <rPr>
        <sz val="10"/>
        <rFont val="宋体"/>
        <charset val="134"/>
      </rPr>
      <t>-紅</t>
    </r>
    <phoneticPr fontId="58" type="noConversion"/>
  </si>
  <si>
    <t>RJ45工程用网络接头 全铜镀金网线接头 金片0.35网络水晶头 301</t>
    <phoneticPr fontId="58" type="noConversion"/>
  </si>
  <si>
    <t>工厂直营超六类RJ45穿孔通孔网络 8P8C穿孔非屏蔽镀金水晶头 3210</t>
    <phoneticPr fontId="58" type="noConversion"/>
  </si>
  <si>
    <t>RJ45-Cat5e水晶頭-普通級</t>
    <phoneticPr fontId="2" type="noConversion"/>
  </si>
  <si>
    <t>RJ45-Cat5e水晶頭-全銅鍍金工程級</t>
    <phoneticPr fontId="2" type="noConversion"/>
  </si>
  <si>
    <t>RJ45-Cat5e穿孔水晶頭</t>
    <phoneticPr fontId="2" type="noConversion"/>
  </si>
  <si>
    <t>RJ45-Cat6e穿孔水晶頭</t>
    <phoneticPr fontId="2" type="noConversion"/>
  </si>
  <si>
    <t>RJ45-Cat6e水晶頭</t>
    <phoneticPr fontId="2"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</si>
  <si>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</si>
  <si>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</si>
  <si>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</si>
  <si>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</si>
  <si>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</si>
  <si>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</si>
  <si>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</si>
  <si>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</si>
  <si>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</si>
  <si>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</si>
  <si>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</si>
  <si>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</si>
  <si>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</si>
  <si>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</si>
  <si>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</si>
  <si>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</si>
  <si>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</si>
  <si>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</si>
  <si>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</si>
  <si>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</si>
  <si>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</si>
  <si>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8" type="noConversion"/>
  </si>
  <si>
    <t>RJ45接頭-公轉2母</t>
    <phoneticPr fontId="58" type="noConversion"/>
  </si>
  <si>
    <t>RJ45接頭-母轉2母帶晶片</t>
    <phoneticPr fontId="2" type="noConversion"/>
  </si>
  <si>
    <r>
      <t>尼龍曬衣繩1</t>
    </r>
    <r>
      <rPr>
        <sz val="10"/>
        <rFont val="宋体"/>
        <charset val="134"/>
      </rPr>
      <t>0m</t>
    </r>
    <phoneticPr fontId="58" type="noConversion"/>
  </si>
  <si>
    <r>
      <t>R</t>
    </r>
    <r>
      <rPr>
        <sz val="10"/>
        <rFont val="宋体"/>
        <family val="3"/>
        <charset val="134"/>
      </rPr>
      <t>J11-水</t>
    </r>
    <r>
      <rPr>
        <sz val="10"/>
        <rFont val="宋体"/>
        <charset val="134"/>
      </rPr>
      <t>晶頭</t>
    </r>
    <phoneticPr fontId="2" type="noConversion"/>
  </si>
  <si>
    <r>
      <t>R</t>
    </r>
    <r>
      <rPr>
        <sz val="10"/>
        <rFont val="宋体"/>
        <family val="3"/>
        <charset val="134"/>
      </rPr>
      <t>J11接頭-公轉2母</t>
    </r>
    <phoneticPr fontId="2" type="noConversion"/>
  </si>
  <si>
    <t>RJ11接頭-公帶線轉2母</t>
    <phoneticPr fontId="2" type="noConversion"/>
  </si>
  <si>
    <t>RJ11接頭-母轉2母</t>
    <phoneticPr fontId="2" type="noConversion"/>
  </si>
  <si>
    <t>RJ11接頭-母轉3母</t>
    <phoneticPr fontId="2" type="noConversion"/>
  </si>
  <si>
    <t>RJ11接頭-公帶線轉4母</t>
    <phoneticPr fontId="2" type="noConversion"/>
  </si>
  <si>
    <t>RJ11接頭-母轉4母</t>
    <phoneticPr fontId="2" type="noConversion"/>
  </si>
  <si>
    <t>RJ11接頭-公帶線轉5母</t>
    <phoneticPr fontId="2" type="noConversion"/>
  </si>
  <si>
    <t>RJ45接頭-母母Cat6直通帶晶片</t>
    <phoneticPr fontId="2" type="noConversion"/>
  </si>
  <si>
    <t>RJ11接頭-母母直通</t>
    <phoneticPr fontId="2" type="noConversion"/>
  </si>
  <si>
    <t>電話閃光鈴聲擴大器</t>
    <phoneticPr fontId="2" type="noConversion"/>
  </si>
  <si>
    <t>廢水比-400</t>
    <phoneticPr fontId="70"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</si>
  <si>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8" type="noConversion"/>
  </si>
  <si>
    <r>
      <t>15</t>
    </r>
    <r>
      <rPr>
        <sz val="10"/>
        <rFont val="宋体"/>
        <charset val="134"/>
      </rPr>
      <t>支紙吸管</t>
    </r>
    <r>
      <rPr>
        <sz val="10"/>
        <rFont val="宋体"/>
        <family val="3"/>
        <charset val="134"/>
      </rPr>
      <t>-綠星</t>
    </r>
    <phoneticPr fontId="58" type="noConversion"/>
  </si>
  <si>
    <r>
      <t>15</t>
    </r>
    <r>
      <rPr>
        <sz val="10"/>
        <rFont val="宋体"/>
        <charset val="134"/>
      </rPr>
      <t>支紙吸管</t>
    </r>
    <r>
      <rPr>
        <sz val="10"/>
        <rFont val="宋体"/>
        <family val="3"/>
        <charset val="134"/>
      </rPr>
      <t>-粉紅星</t>
    </r>
    <phoneticPr fontId="58" type="noConversion"/>
  </si>
  <si>
    <r>
      <t>15</t>
    </r>
    <r>
      <rPr>
        <sz val="10"/>
        <rFont val="宋体"/>
        <charset val="134"/>
      </rPr>
      <t>支紙吸管</t>
    </r>
    <r>
      <rPr>
        <sz val="10"/>
        <rFont val="宋体"/>
        <family val="3"/>
        <charset val="134"/>
      </rPr>
      <t>-紅白波浪紋</t>
    </r>
    <phoneticPr fontId="58" type="noConversion"/>
  </si>
  <si>
    <r>
      <t>15</t>
    </r>
    <r>
      <rPr>
        <sz val="10"/>
        <rFont val="宋体"/>
        <charset val="134"/>
      </rPr>
      <t>支紙吸管</t>
    </r>
    <r>
      <rPr>
        <sz val="10"/>
        <rFont val="宋体"/>
        <family val="3"/>
        <charset val="134"/>
      </rPr>
      <t>-</t>
    </r>
    <r>
      <rPr>
        <sz val="10"/>
        <rFont val="宋体"/>
        <charset val="134"/>
      </rPr>
      <t>黑白斜紋</t>
    </r>
    <phoneticPr fontId="58" type="noConversion"/>
  </si>
  <si>
    <r>
      <t>15</t>
    </r>
    <r>
      <rPr>
        <sz val="10"/>
        <rFont val="宋体"/>
        <charset val="134"/>
      </rPr>
      <t>支紙吸管</t>
    </r>
    <r>
      <rPr>
        <sz val="10"/>
        <rFont val="宋体"/>
        <family val="3"/>
        <charset val="134"/>
      </rPr>
      <t>-</t>
    </r>
    <r>
      <rPr>
        <sz val="10"/>
        <rFont val="宋体"/>
        <charset val="134"/>
      </rPr>
      <t>藍圓點</t>
    </r>
    <phoneticPr fontId="58" type="noConversion"/>
  </si>
  <si>
    <r>
      <t>25cm</t>
    </r>
    <r>
      <rPr>
        <sz val="10"/>
        <rFont val="宋体"/>
        <charset val="134"/>
      </rPr>
      <t>*25</t>
    </r>
    <r>
      <rPr>
        <sz val="10"/>
        <rFont val="宋体"/>
        <family val="3"/>
        <charset val="134"/>
      </rPr>
      <t>cm白色</t>
    </r>
    <r>
      <rPr>
        <sz val="10"/>
        <rFont val="宋体"/>
        <charset val="134"/>
      </rPr>
      <t>棉織無漿洗碗布</t>
    </r>
    <phoneticPr fontId="2" type="noConversion"/>
  </si>
  <si>
    <r>
      <t>26cm</t>
    </r>
    <r>
      <rPr>
        <sz val="10"/>
        <rFont val="宋体"/>
        <charset val="134"/>
      </rPr>
      <t>*2</t>
    </r>
    <r>
      <rPr>
        <sz val="10"/>
        <rFont val="宋体"/>
        <family val="3"/>
        <charset val="134"/>
      </rPr>
      <t>6cm白色</t>
    </r>
    <r>
      <rPr>
        <sz val="10"/>
        <rFont val="宋体"/>
        <charset val="134"/>
      </rPr>
      <t>不織布洗碗布</t>
    </r>
    <phoneticPr fontId="2" type="noConversion"/>
  </si>
  <si>
    <t>噴霧塑膠空瓶-透明100ml</t>
    <phoneticPr fontId="2" type="noConversion"/>
  </si>
  <si>
    <t>噴霧塑膠空瓶-透明50ml</t>
    <phoneticPr fontId="2" type="noConversion"/>
  </si>
  <si>
    <t>洗衣機漂浮濾毛器-粉紅</t>
    <phoneticPr fontId="58" type="noConversion"/>
  </si>
  <si>
    <t>洗衣機漂浮濾毛器-藍</t>
    <phoneticPr fontId="58" type="noConversion"/>
  </si>
  <si>
    <t>不銹鋼美工刀-小號平頭</t>
    <phoneticPr fontId="2" type="noConversion"/>
  </si>
  <si>
    <t>透明信用卡塑膠套</t>
    <phoneticPr fontId="2" type="noConversion"/>
  </si>
  <si>
    <t>厂家直销RCA公莲花头AV头视频头 绿色RCA端子公头接头 AV监控配件</t>
    <phoneticPr fontId="2" type="noConversion"/>
  </si>
  <si>
    <r>
      <t>106.0</t>
    </r>
    <r>
      <rPr>
        <sz val="10"/>
        <rFont val="宋体"/>
        <family val="3"/>
        <charset val="134"/>
      </rPr>
      <t>9</t>
    </r>
    <phoneticPr fontId="58" type="noConversion"/>
  </si>
  <si>
    <r>
      <t>106.0</t>
    </r>
    <r>
      <rPr>
        <sz val="10"/>
        <rFont val="宋体"/>
        <family val="3"/>
        <charset val="134"/>
      </rPr>
      <t>9</t>
    </r>
    <phoneticPr fontId="2" type="noConversion"/>
  </si>
  <si>
    <t>10絲白邊PE自封袋5cm*8cm+1.5cm</t>
    <phoneticPr fontId="58"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</si>
  <si>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</si>
  <si>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</si>
  <si>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</si>
  <si>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</si>
  <si>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</si>
  <si>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</si>
  <si>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8" type="noConversion"/>
  </si>
  <si>
    <t>107.20</t>
    <phoneticPr fontId="2" type="noConversion"/>
  </si>
  <si>
    <t>10絲白邊PE自封袋13cm*18cm</t>
    <phoneticPr fontId="58" type="noConversion"/>
  </si>
  <si>
    <t>10絲白邊PE自封袋15cm*22cm</t>
    <phoneticPr fontId="58" type="noConversion"/>
  </si>
  <si>
    <t>107.19</t>
    <phoneticPr fontId="2" type="noConversion"/>
  </si>
  <si>
    <r>
      <t>雙絞線傳輸器300m</t>
    </r>
    <r>
      <rPr>
        <sz val="10"/>
        <rFont val="宋体"/>
        <family val="3"/>
        <charset val="134"/>
      </rPr>
      <t>-</t>
    </r>
    <r>
      <rPr>
        <sz val="10"/>
        <rFont val="宋体"/>
        <charset val="134"/>
      </rPr>
      <t>1對-BNC公頭帶線</t>
    </r>
    <phoneticPr fontId="2" type="noConversion"/>
  </si>
  <si>
    <t>POE分離器1對-12V</t>
    <phoneticPr fontId="58" type="noConversion"/>
  </si>
  <si>
    <r>
      <t>香蕉頭插座4mm-鐵鍍鎳長圓柱型</t>
    </r>
    <r>
      <rPr>
        <sz val="10"/>
        <rFont val="宋体"/>
        <charset val="134"/>
      </rPr>
      <t>-黑紅1對</t>
    </r>
    <phoneticPr fontId="2" type="noConversion"/>
  </si>
  <si>
    <t>不銹鋼U型剪刀</t>
    <phoneticPr fontId="2" type="noConversion"/>
  </si>
  <si>
    <t>彩色長柄洗杯刷</t>
    <phoneticPr fontId="58" type="noConversion"/>
  </si>
  <si>
    <t>彩色帶透明蓋彈簧U型剪刀</t>
    <phoneticPr fontId="2" type="noConversion"/>
  </si>
  <si>
    <t>多孔位元轉換插座-3位元扁2插迷你彩色</t>
    <phoneticPr fontId="2" type="noConversion"/>
  </si>
  <si>
    <r>
      <t>RJ45接頭-母母</t>
    </r>
    <r>
      <rPr>
        <sz val="10"/>
        <rFont val="宋体"/>
        <charset val="134"/>
      </rPr>
      <t>彩色直通</t>
    </r>
    <phoneticPr fontId="2" type="noConversion"/>
  </si>
  <si>
    <t>音頻線3.5mm-公公金屬彩色殼鍍金頭編織線1m</t>
    <phoneticPr fontId="2" type="noConversion"/>
  </si>
  <si>
    <t>珠光膜氣泡信封11cm*11cm+4cm</t>
    <phoneticPr fontId="2" type="noConversion"/>
  </si>
  <si>
    <t>101.01</t>
    <phoneticPr fontId="2" type="noConversion"/>
  </si>
  <si>
    <t>101.10</t>
    <phoneticPr fontId="58" type="noConversion"/>
  </si>
  <si>
    <t>101.09</t>
    <phoneticPr fontId="2" type="noConversion"/>
  </si>
  <si>
    <t>珠光膜氣泡信封20cm*25cm+4cm</t>
    <phoneticPr fontId="2" type="noConversion"/>
  </si>
  <si>
    <t>美紋紙手撕膠帶6mm*12m-黑</t>
    <phoneticPr fontId="58" type="noConversion"/>
  </si>
  <si>
    <t>美紋紙手撕膠帶12mm*12m-淺藍</t>
    <phoneticPr fontId="2" type="noConversion"/>
  </si>
  <si>
    <t>鰐魚夾-測試線小48cm-5色套</t>
    <phoneticPr fontId="2" type="noConversion"/>
  </si>
  <si>
    <r>
      <t>香蕉頭2mm-純銅鍍金直針型</t>
    </r>
    <r>
      <rPr>
        <sz val="10"/>
        <rFont val="宋体"/>
        <charset val="134"/>
      </rPr>
      <t>-黑</t>
    </r>
    <phoneticPr fontId="2" type="noConversion"/>
  </si>
  <si>
    <t>金屬紮絲4mm*10cm*400pcs-金</t>
    <phoneticPr fontId="58" type="noConversion"/>
  </si>
  <si>
    <t>紙紮絲4mm*9cm*100pcs-白愛心</t>
    <phoneticPr fontId="58" type="noConversion"/>
  </si>
  <si>
    <t>蝴蝶結紮絲4mm*8cm*20pcs-藍</t>
    <phoneticPr fontId="58" type="noConversion"/>
  </si>
  <si>
    <t>尼龍紮帶3*100mm*100pcs-白</t>
    <phoneticPr fontId="2" type="noConversion"/>
  </si>
  <si>
    <t>抗UV尼龍紮帶3*100mm</t>
    <phoneticPr fontId="2" type="noConversion"/>
  </si>
  <si>
    <t>抗UV尼龍紮帶3*200mm</t>
    <phoneticPr fontId="2" type="noConversion"/>
  </si>
  <si>
    <t>抗UV尼龍紮帶4*250mm</t>
    <phoneticPr fontId="58" type="noConversion"/>
  </si>
  <si>
    <t>尼龍紮帶3*200mm*100pcs-綠</t>
    <phoneticPr fontId="2" type="noConversion"/>
  </si>
  <si>
    <t>尼龍紮帶3*100mm*100pcs-黑</t>
    <phoneticPr fontId="2" type="noConversion"/>
  </si>
  <si>
    <t>尼龍紮帶3*100mm*100pcs-藍</t>
    <phoneticPr fontId="2" type="noConversion"/>
  </si>
  <si>
    <t>尼龍紮帶3*100mm*100pcs-紅</t>
    <phoneticPr fontId="2" type="noConversion"/>
  </si>
  <si>
    <t>尼龍紮帶3*100mm*100pcs-黃</t>
    <phoneticPr fontId="2" type="noConversion"/>
  </si>
  <si>
    <t>尼龍紮帶3*100mm*100pcs-綠</t>
    <phoneticPr fontId="2" type="noConversion"/>
  </si>
  <si>
    <t>7絲自粘OPP袋3cm*4cm+2cm</t>
    <phoneticPr fontId="58" type="noConversion"/>
  </si>
  <si>
    <t>105.01</t>
    <phoneticPr fontId="2" type="noConversion"/>
  </si>
  <si>
    <t>8絲平口透明氣泡袋20cm*30cm</t>
    <phoneticPr fontId="58" type="noConversion"/>
  </si>
  <si>
    <t>13絲白快遞袋4*6"</t>
    <phoneticPr fontId="58"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</si>
  <si>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</si>
  <si>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</si>
  <si>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</si>
  <si>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</si>
  <si>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</si>
  <si>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</si>
  <si>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</si>
  <si>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</si>
  <si>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</si>
  <si>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</si>
  <si>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</si>
  <si>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</si>
  <si>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</si>
  <si>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</si>
  <si>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</si>
  <si>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2" type="noConversion"/>
  </si>
  <si>
    <t>背膠圓點魔術貼15mm*30對-黑</t>
    <phoneticPr fontId="2" type="noConversion"/>
  </si>
  <si>
    <t>地毯膠帶50mm*10m-黑</t>
    <phoneticPr fontId="58"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</si>
  <si>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8" type="noConversion"/>
  </si>
  <si>
    <t>10絲白邊PE自封袋13cm*18cm</t>
    <phoneticPr fontId="2" type="noConversion"/>
  </si>
  <si>
    <t>RJ45接頭-母轉2母</t>
    <phoneticPr fontId="58" type="noConversion"/>
  </si>
  <si>
    <r>
      <t>d</t>
    </r>
    <r>
      <rPr>
        <sz val="10"/>
        <rFont val="宋体"/>
        <charset val="134"/>
      </rPr>
      <t xml:space="preserve">esign print </t>
    </r>
    <r>
      <rPr>
        <sz val="10"/>
        <rFont val="宋体"/>
        <charset val="134"/>
      </rPr>
      <t>ziplock bag</t>
    </r>
    <phoneticPr fontId="2" type="noConversion"/>
  </si>
  <si>
    <r>
      <t>P</t>
    </r>
    <r>
      <rPr>
        <sz val="10"/>
        <rFont val="宋体"/>
        <charset val="134"/>
      </rPr>
      <t xml:space="preserve">ET </t>
    </r>
    <r>
      <rPr>
        <sz val="10"/>
        <rFont val="宋体"/>
        <charset val="134"/>
      </rPr>
      <t>high temperature tape</t>
    </r>
    <phoneticPr fontId="2"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</si>
  <si>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</si>
  <si>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</si>
  <si>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2"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</si>
  <si>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2" type="noConversion"/>
  </si>
  <si>
    <r>
      <t>magic n</t>
    </r>
    <r>
      <rPr>
        <sz val="10"/>
        <rFont val="宋体"/>
        <charset val="134"/>
      </rPr>
      <t xml:space="preserve">ano </t>
    </r>
    <r>
      <rPr>
        <sz val="10"/>
        <rFont val="宋体"/>
        <charset val="134"/>
      </rPr>
      <t>double sided tape</t>
    </r>
    <phoneticPr fontId="2" type="noConversion"/>
  </si>
  <si>
    <t>self fusing silicone double sided tape</t>
    <phoneticPr fontId="2"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</si>
  <si>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2"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</si>
  <si>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2" type="noConversion"/>
  </si>
  <si>
    <t>stainless cable ties</t>
    <phoneticPr fontId="2" type="noConversion"/>
  </si>
  <si>
    <t>cable ties</t>
    <phoneticPr fontId="2"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</si>
  <si>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2" type="noConversion"/>
  </si>
  <si>
    <r>
      <t>PVC</t>
    </r>
    <r>
      <rPr>
        <sz val="10"/>
        <rFont val="宋体"/>
        <charset val="134"/>
      </rPr>
      <t xml:space="preserve"> balloon chain</t>
    </r>
    <phoneticPr fontId="2" type="noConversion"/>
  </si>
  <si>
    <t>gift ribbon</t>
    <phoneticPr fontId="2" type="noConversion"/>
  </si>
  <si>
    <t>elastic cord</t>
    <phoneticPr fontId="2" type="noConversion"/>
  </si>
  <si>
    <t>繩索</t>
    <phoneticPr fontId="2" type="noConversion"/>
  </si>
  <si>
    <t>rope</t>
    <phoneticPr fontId="2" type="noConversion"/>
  </si>
  <si>
    <t>sports tape muscle care</t>
    <phoneticPr fontId="2" type="noConversion"/>
  </si>
  <si>
    <t>sports tape elastic bandage</t>
  </si>
  <si>
    <t>band grip type</t>
    <phoneticPr fontId="2" type="noConversion"/>
  </si>
  <si>
    <t xml:space="preserve">sports tape yoga </t>
    <phoneticPr fontId="2" type="noConversion"/>
  </si>
  <si>
    <t>sports tape band grip</t>
    <phoneticPr fontId="2" type="noConversion"/>
  </si>
  <si>
    <t>wire splice clip</t>
    <phoneticPr fontId="2" type="noConversion"/>
  </si>
  <si>
    <t>大類</t>
  </si>
  <si>
    <t>分類</t>
  </si>
  <si>
    <t>分類號</t>
  </si>
  <si>
    <t>小分類</t>
  </si>
  <si>
    <t>小分類號</t>
  </si>
  <si>
    <r>
      <t>e</t>
    </r>
    <r>
      <rPr>
        <sz val="10"/>
        <rFont val="宋体"/>
        <family val="3"/>
        <charset val="134"/>
      </rPr>
      <t>bay key word</t>
    </r>
  </si>
  <si>
    <t>珠光膜氣泡信封26cm*30cm+4cm</t>
    <phoneticPr fontId="2" type="noConversion"/>
  </si>
  <si>
    <t>8絲平口泡沫袋加厚6.5*8cm-2.5*3"</t>
    <phoneticPr fontId="58" type="noConversion"/>
  </si>
  <si>
    <t>8絲封口泡沫袋加厚5*8cm-2*3"</t>
    <phoneticPr fontId="58" type="noConversion"/>
  </si>
  <si>
    <r>
      <t>8絲平口透明氣泡袋8cm*</t>
    </r>
    <r>
      <rPr>
        <sz val="10"/>
        <rFont val="宋体"/>
        <charset val="134"/>
      </rPr>
      <t>8cm-3*3"</t>
    </r>
    <phoneticPr fontId="58" type="noConversion"/>
  </si>
  <si>
    <t>封口泡沫袋加厚</t>
    <phoneticPr fontId="58" type="noConversion"/>
  </si>
  <si>
    <t>平口泡沫袋加厚</t>
    <phoneticPr fontId="58" type="noConversion"/>
  </si>
  <si>
    <t>1688黃江龍盛</t>
    <phoneticPr fontId="58" type="noConversion"/>
  </si>
  <si>
    <t>8絲平口透明氣泡袋8cm*15cm</t>
    <phoneticPr fontId="58" type="noConversion"/>
  </si>
  <si>
    <t>平口透明氣泡袋</t>
    <phoneticPr fontId="2" type="noConversion"/>
  </si>
  <si>
    <t>迷你透明自封袋</t>
    <phoneticPr fontId="2" type="noConversion"/>
  </si>
  <si>
    <t>16絲鋁箔自封袋12cm*20cm-藍</t>
    <phoneticPr fontId="2" type="noConversion"/>
  </si>
  <si>
    <t>九頭鳥電器膠帶18mm*10m-黑</t>
    <phoneticPr fontId="58" type="noConversion"/>
  </si>
  <si>
    <t>磨砂防滑膠帶25mm*15m-透明</t>
    <phoneticPr fontId="58" type="noConversion"/>
  </si>
  <si>
    <t>磨砂防滑膠帶</t>
    <phoneticPr fontId="2" type="noConversion"/>
  </si>
  <si>
    <r>
      <t>花藝膠帶12mm*27m-31</t>
    </r>
    <r>
      <rPr>
        <sz val="10"/>
        <rFont val="宋体"/>
        <family val="3"/>
        <charset val="134"/>
      </rPr>
      <t>1</t>
    </r>
    <r>
      <rPr>
        <sz val="10"/>
        <rFont val="宋体"/>
        <charset val="134"/>
      </rPr>
      <t>秋</t>
    </r>
    <phoneticPr fontId="58" type="noConversion"/>
  </si>
  <si>
    <t>1688廣州千玥</t>
    <phoneticPr fontId="58" type="noConversion"/>
  </si>
  <si>
    <t>花藝膠帶12mm*27m-310黑</t>
    <phoneticPr fontId="58" type="noConversion"/>
  </si>
  <si>
    <r>
      <t>夜光膠帶20mm*1m-</t>
    </r>
    <r>
      <rPr>
        <sz val="10"/>
        <rFont val="宋体"/>
        <charset val="134"/>
      </rPr>
      <t>N橙紅</t>
    </r>
    <phoneticPr fontId="58" type="noConversion"/>
  </si>
  <si>
    <t>雙面膠帶-車用透明壓克力</t>
    <phoneticPr fontId="2" type="noConversion"/>
  </si>
  <si>
    <t>魔術貼-單面長條背膠</t>
    <phoneticPr fontId="2" type="noConversion"/>
  </si>
  <si>
    <t>魔術貼-圓點背膠</t>
    <phoneticPr fontId="2" type="noConversion"/>
  </si>
  <si>
    <t>魔術貼-縫布無膠</t>
    <phoneticPr fontId="2" type="noConversion"/>
  </si>
  <si>
    <t>魔術貼-雙面子母長條</t>
    <phoneticPr fontId="2" type="noConversion"/>
  </si>
  <si>
    <t>針N型雙面魔術貼11mm*110mm-黑</t>
    <phoneticPr fontId="2" type="noConversion"/>
  </si>
  <si>
    <t>尼龍紮帶3*150mm*100pcs-草綠</t>
    <phoneticPr fontId="2" type="noConversion"/>
  </si>
  <si>
    <r>
      <t>抗U</t>
    </r>
    <r>
      <rPr>
        <sz val="10"/>
        <rFont val="宋体"/>
        <family val="3"/>
        <charset val="134"/>
      </rPr>
      <t>V</t>
    </r>
    <r>
      <rPr>
        <sz val="10"/>
        <rFont val="宋体"/>
        <charset val="134"/>
      </rPr>
      <t>尼龍扎帶</t>
    </r>
    <phoneticPr fontId="2" type="noConversion"/>
  </si>
  <si>
    <t>1688樂清森美</t>
    <phoneticPr fontId="58"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</si>
  <si>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</si>
  <si>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</si>
  <si>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</si>
  <si>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</si>
  <si>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</si>
  <si>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</si>
  <si>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</si>
  <si>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</si>
  <si>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</si>
  <si>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</si>
  <si>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</si>
  <si>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</si>
  <si>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</si>
  <si>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</si>
  <si>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</si>
  <si>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</si>
  <si>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</si>
  <si>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2" type="noConversion"/>
  </si>
  <si>
    <t>透明水晶彈力線0.4mm*24m</t>
    <phoneticPr fontId="58" type="noConversion"/>
  </si>
  <si>
    <t>透明水晶彈力線</t>
  </si>
  <si>
    <t>扁形彈力線0.6mm*10m-咖啡</t>
    <phoneticPr fontId="58" type="noConversion"/>
  </si>
  <si>
    <t>扁形彈力線</t>
    <phoneticPr fontId="2" type="noConversion"/>
  </si>
  <si>
    <t>扁形彈力線0.6mm*10m-綠</t>
    <phoneticPr fontId="58" type="noConversion"/>
  </si>
  <si>
    <t>運動-瑜伽拉力圈</t>
    <phoneticPr fontId="2" type="noConversion"/>
  </si>
  <si>
    <t>運動-瑜伽拉力帶</t>
    <phoneticPr fontId="2" type="noConversion"/>
  </si>
  <si>
    <t>汽車保險絲盒取電器-迷你透明端子</t>
    <phoneticPr fontId="58" type="noConversion"/>
  </si>
  <si>
    <r>
      <t>汽車保險絲盒取電器-小透明端子</t>
    </r>
    <r>
      <rPr>
        <sz val="10"/>
        <rFont val="宋体"/>
        <family val="3"/>
        <charset val="134"/>
      </rPr>
      <t>(迷你透明端子)</t>
    </r>
    <phoneticPr fontId="58"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</si>
  <si>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</si>
  <si>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</si>
  <si>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</si>
  <si>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</si>
  <si>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</si>
  <si>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</si>
  <si>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</si>
  <si>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8"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</si>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</sst>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0">
    <font>
      <sz val="12"/>
      <name val="宋体"/>
      <charset val="134"/>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42" fillId="3" borderId="0" applyNumberFormat="0" applyBorder="0" applyAlignment="0" applyProtection="0"/>
    <xf numFmtId="0" fontId="43" fillId="20" borderId="1" applyNumberFormat="0" applyAlignment="0" applyProtection="0"/>
    <xf numFmtId="0" fontId="44" fillId="21" borderId="2"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7" fillId="7" borderId="1" applyNumberFormat="0" applyAlignment="0" applyProtection="0"/>
    <xf numFmtId="0" fontId="48" fillId="0" borderId="6" applyNumberFormat="0" applyFill="0" applyAlignment="0" applyProtection="0"/>
    <xf numFmtId="0" fontId="49" fillId="22" borderId="0" applyNumberFormat="0" applyBorder="0" applyAlignment="0" applyProtection="0"/>
    <xf numFmtId="0" fontId="40" fillId="23" borderId="7" applyNumberFormat="0" applyFont="0" applyAlignment="0" applyProtection="0"/>
    <xf numFmtId="0" fontId="50" fillId="20" borderId="8" applyNumberFormat="0" applyAlignment="0" applyProtection="0"/>
    <xf numFmtId="0" fontId="36"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5" fillId="0" borderId="0">
      <alignment vertical="center"/>
    </xf>
    <xf numFmtId="0" fontId="5" fillId="0" borderId="0">
      <alignment vertical="center"/>
    </xf>
    <xf numFmtId="176" fontId="29" fillId="0" borderId="0" applyFont="0" applyFill="0" applyBorder="0" applyAlignment="0" applyProtection="0"/>
    <xf numFmtId="43" fontId="5" fillId="0" borderId="0" applyFont="0" applyFill="0" applyBorder="0" applyAlignment="0" applyProtection="0">
      <alignment vertical="center"/>
    </xf>
    <xf numFmtId="0" fontId="20" fillId="20" borderId="1" applyNumberFormat="0" applyAlignment="0" applyProtection="0">
      <alignment vertical="center"/>
    </xf>
    <xf numFmtId="0" fontId="17" fillId="0" borderId="9" applyNumberFormat="0" applyFill="0" applyAlignment="0" applyProtection="0">
      <alignment vertical="center"/>
    </xf>
    <xf numFmtId="9" fontId="29" fillId="0" borderId="0" applyFont="0" applyFill="0" applyBorder="0" applyAlignment="0" applyProtection="0"/>
    <xf numFmtId="0" fontId="1" fillId="23"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3" borderId="0" applyNumberFormat="0" applyBorder="0" applyAlignment="0" applyProtection="0">
      <alignment vertical="center"/>
    </xf>
    <xf numFmtId="0" fontId="23" fillId="22" borderId="0" applyNumberFormat="0" applyBorder="0" applyAlignment="0" applyProtection="0">
      <alignment vertical="center"/>
    </xf>
    <xf numFmtId="0" fontId="76" fillId="0" borderId="0">
      <alignment vertical="center"/>
    </xf>
    <xf numFmtId="0" fontId="9" fillId="0" borderId="0"/>
    <xf numFmtId="0" fontId="16" fillId="21" borderId="2" applyNumberFormat="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24" fillId="0" borderId="6" applyNumberFormat="0" applyFill="0" applyAlignment="0" applyProtection="0">
      <alignment vertical="center"/>
    </xf>
    <xf numFmtId="0" fontId="18" fillId="0" borderId="0" applyNumberFormat="0" applyFill="0" applyBorder="0" applyAlignment="0" applyProtection="0">
      <alignment vertical="center"/>
    </xf>
    <xf numFmtId="0" fontId="21" fillId="7" borderId="1" applyNumberFormat="0" applyAlignment="0" applyProtection="0">
      <alignment vertical="center"/>
    </xf>
    <xf numFmtId="0" fontId="22" fillId="20" borderId="8" applyNumberFormat="0" applyAlignment="0" applyProtection="0">
      <alignment vertical="center"/>
    </xf>
    <xf numFmtId="0" fontId="19" fillId="0" borderId="0" applyNumberFormat="0" applyFill="0" applyBorder="0" applyAlignment="0" applyProtection="0">
      <alignment vertical="center"/>
    </xf>
    <xf numFmtId="176" fontId="1" fillId="0" borderId="0" applyFont="0" applyFill="0" applyBorder="0" applyAlignment="0" applyProtection="0"/>
    <xf numFmtId="9" fontId="1" fillId="0" borderId="0" applyFont="0" applyFill="0" applyBorder="0" applyAlignment="0" applyProtection="0"/>
    <xf numFmtId="0" fontId="82" fillId="0" borderId="0"/>
    <xf numFmtId="0" fontId="83" fillId="2" borderId="0" applyNumberFormat="0" applyBorder="0" applyAlignment="0" applyProtection="0">
      <alignment vertical="center"/>
    </xf>
    <xf numFmtId="0" fontId="83" fillId="3" borderId="0" applyNumberFormat="0" applyBorder="0" applyAlignment="0" applyProtection="0">
      <alignment vertical="center"/>
    </xf>
    <xf numFmtId="0" fontId="83" fillId="4" borderId="0" applyNumberFormat="0" applyBorder="0" applyAlignment="0" applyProtection="0">
      <alignment vertical="center"/>
    </xf>
    <xf numFmtId="0" fontId="83" fillId="5" borderId="0" applyNumberFormat="0" applyBorder="0" applyAlignment="0" applyProtection="0">
      <alignment vertical="center"/>
    </xf>
    <xf numFmtId="0" fontId="83" fillId="6" borderId="0" applyNumberFormat="0" applyBorder="0" applyAlignment="0" applyProtection="0">
      <alignment vertical="center"/>
    </xf>
    <xf numFmtId="0" fontId="83" fillId="7" borderId="0" applyNumberFormat="0" applyBorder="0" applyAlignment="0" applyProtection="0">
      <alignment vertical="center"/>
    </xf>
    <xf numFmtId="0" fontId="83" fillId="8" borderId="0" applyNumberFormat="0" applyBorder="0" applyAlignment="0" applyProtection="0">
      <alignment vertical="center"/>
    </xf>
    <xf numFmtId="0" fontId="83" fillId="9" borderId="0" applyNumberFormat="0" applyBorder="0" applyAlignment="0" applyProtection="0">
      <alignment vertical="center"/>
    </xf>
    <xf numFmtId="0" fontId="83" fillId="10" borderId="0" applyNumberFormat="0" applyBorder="0" applyAlignment="0" applyProtection="0">
      <alignment vertical="center"/>
    </xf>
    <xf numFmtId="0" fontId="83" fillId="5" borderId="0" applyNumberFormat="0" applyBorder="0" applyAlignment="0" applyProtection="0">
      <alignment vertical="center"/>
    </xf>
    <xf numFmtId="0" fontId="83" fillId="8" borderId="0" applyNumberFormat="0" applyBorder="0" applyAlignment="0" applyProtection="0">
      <alignment vertical="center"/>
    </xf>
    <xf numFmtId="0" fontId="83" fillId="11" borderId="0" applyNumberFormat="0" applyBorder="0" applyAlignment="0" applyProtection="0">
      <alignment vertical="center"/>
    </xf>
    <xf numFmtId="0" fontId="84" fillId="12"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5" borderId="0" applyNumberFormat="0" applyBorder="0" applyAlignment="0" applyProtection="0">
      <alignment vertical="center"/>
    </xf>
    <xf numFmtId="176" fontId="82" fillId="0" borderId="0" applyFont="0" applyFill="0" applyBorder="0" applyAlignment="0" applyProtection="0"/>
    <xf numFmtId="0" fontId="94" fillId="20" borderId="1" applyNumberFormat="0" applyAlignment="0" applyProtection="0">
      <alignment vertical="center"/>
    </xf>
    <xf numFmtId="0" fontId="91" fillId="0" borderId="9" applyNumberFormat="0" applyFill="0" applyAlignment="0" applyProtection="0">
      <alignment vertical="center"/>
    </xf>
    <xf numFmtId="9" fontId="82" fillId="0" borderId="0" applyFont="0" applyFill="0" applyBorder="0" applyAlignment="0" applyProtection="0"/>
    <xf numFmtId="0" fontId="82" fillId="23" borderId="7" applyNumberFormat="0" applyFont="0" applyAlignment="0" applyProtection="0">
      <alignment vertical="center"/>
    </xf>
    <xf numFmtId="0" fontId="86" fillId="0" borderId="0" applyNumberFormat="0" applyFill="0" applyBorder="0" applyAlignment="0" applyProtection="0">
      <alignment vertical="center"/>
    </xf>
    <xf numFmtId="0" fontId="87" fillId="0" borderId="3" applyNumberFormat="0" applyFill="0" applyAlignment="0" applyProtection="0">
      <alignment vertical="center"/>
    </xf>
    <xf numFmtId="0" fontId="88" fillId="0" borderId="4" applyNumberFormat="0" applyFill="0" applyAlignment="0" applyProtection="0">
      <alignment vertical="center"/>
    </xf>
    <xf numFmtId="0" fontId="89" fillId="0" borderId="5" applyNumberFormat="0" applyFill="0" applyAlignment="0" applyProtection="0">
      <alignment vertical="center"/>
    </xf>
    <xf numFmtId="0" fontId="89" fillId="0" borderId="0" applyNumberFormat="0" applyFill="0" applyBorder="0" applyAlignment="0" applyProtection="0">
      <alignment vertical="center"/>
    </xf>
    <xf numFmtId="0" fontId="85" fillId="3" borderId="0" applyNumberFormat="0" applyBorder="0" applyAlignment="0" applyProtection="0">
      <alignment vertical="center"/>
    </xf>
    <xf numFmtId="0" fontId="97" fillId="22" borderId="0" applyNumberFormat="0" applyBorder="0" applyAlignment="0" applyProtection="0">
      <alignment vertical="center"/>
    </xf>
    <xf numFmtId="0" fontId="99" fillId="0" borderId="0">
      <alignment vertical="center"/>
    </xf>
    <xf numFmtId="0" fontId="90" fillId="21" borderId="2" applyNumberFormat="0" applyAlignment="0" applyProtection="0">
      <alignment vertical="center"/>
    </xf>
    <xf numFmtId="0" fontId="84" fillId="16" borderId="0" applyNumberFormat="0" applyBorder="0" applyAlignment="0" applyProtection="0">
      <alignment vertical="center"/>
    </xf>
    <xf numFmtId="0" fontId="84" fillId="17" borderId="0" applyNumberFormat="0" applyBorder="0" applyAlignment="0" applyProtection="0">
      <alignment vertical="center"/>
    </xf>
    <xf numFmtId="0" fontId="84" fillId="18" borderId="0" applyNumberFormat="0" applyBorder="0" applyAlignment="0" applyProtection="0">
      <alignment vertical="center"/>
    </xf>
    <xf numFmtId="0" fontId="84" fillId="13" borderId="0" applyNumberFormat="0" applyBorder="0" applyAlignment="0" applyProtection="0">
      <alignment vertical="center"/>
    </xf>
    <xf numFmtId="0" fontId="84" fillId="14" borderId="0" applyNumberFormat="0" applyBorder="0" applyAlignment="0" applyProtection="0">
      <alignment vertical="center"/>
    </xf>
    <xf numFmtId="0" fontId="84" fillId="19" borderId="0" applyNumberFormat="0" applyBorder="0" applyAlignment="0" applyProtection="0">
      <alignment vertical="center"/>
    </xf>
    <xf numFmtId="0" fontId="98" fillId="0" borderId="6" applyNumberFormat="0" applyFill="0" applyAlignment="0" applyProtection="0">
      <alignment vertical="center"/>
    </xf>
    <xf numFmtId="0" fontId="92" fillId="0" borderId="0" applyNumberFormat="0" applyFill="0" applyBorder="0" applyAlignment="0" applyProtection="0">
      <alignment vertical="center"/>
    </xf>
    <xf numFmtId="0" fontId="95" fillId="7" borderId="1" applyNumberFormat="0" applyAlignment="0" applyProtection="0">
      <alignment vertical="center"/>
    </xf>
    <xf numFmtId="0" fontId="96" fillId="20" borderId="8" applyNumberFormat="0" applyAlignment="0" applyProtection="0">
      <alignment vertical="center"/>
    </xf>
    <xf numFmtId="0" fontId="93" fillId="0" borderId="0" applyNumberFormat="0" applyFill="0" applyBorder="0" applyAlignment="0" applyProtection="0">
      <alignment vertical="center"/>
    </xf>
  </cellStyleXfs>
  <cellXfs count="219">
    <xf numFmtId="0" fontId="0" fillId="0" borderId="0" xfId="0"/>
    <xf numFmtId="0" fontId="3" fillId="0" borderId="0" xfId="0" applyFont="1" applyFill="1"/>
    <xf numFmtId="1" fontId="3" fillId="0" borderId="0" xfId="0" applyNumberFormat="1" applyFont="1" applyFill="1"/>
    <xf numFmtId="0" fontId="3" fillId="0" borderId="0" xfId="0" applyFont="1" applyFill="1" applyAlignment="1">
      <alignment horizontal="center"/>
    </xf>
    <xf numFmtId="0" fontId="3" fillId="24" borderId="0" xfId="0" applyFont="1" applyFill="1"/>
    <xf numFmtId="0" fontId="3" fillId="24" borderId="0" xfId="0" applyFont="1" applyFill="1" applyAlignment="1">
      <alignment horizontal="center"/>
    </xf>
    <xf numFmtId="2" fontId="3" fillId="0" borderId="0" xfId="0" applyNumberFormat="1" applyFont="1" applyFill="1"/>
    <xf numFmtId="0" fontId="3" fillId="0" borderId="0" xfId="0" applyFont="1"/>
    <xf numFmtId="0" fontId="4" fillId="0" borderId="0" xfId="0" applyFont="1" applyAlignment="1">
      <alignment horizontal="center"/>
    </xf>
    <xf numFmtId="0" fontId="3" fillId="0" borderId="0" xfId="0" applyFont="1" applyAlignment="1">
      <alignment horizontal="center"/>
    </xf>
    <xf numFmtId="14" fontId="3" fillId="0" borderId="0" xfId="0" applyNumberFormat="1" applyFont="1"/>
    <xf numFmtId="0" fontId="3" fillId="0" borderId="0" xfId="0" applyFont="1" applyAlignment="1"/>
    <xf numFmtId="14" fontId="3" fillId="24" borderId="0" xfId="0" applyNumberFormat="1" applyFont="1" applyFill="1"/>
    <xf numFmtId="0" fontId="3" fillId="24" borderId="0" xfId="0" applyFont="1" applyFill="1" applyAlignment="1"/>
    <xf numFmtId="0" fontId="3" fillId="0" borderId="0" xfId="0" applyFont="1" applyFill="1" applyBorder="1"/>
    <xf numFmtId="0" fontId="3" fillId="25" borderId="0" xfId="0" applyFont="1" applyFill="1"/>
    <xf numFmtId="0" fontId="7" fillId="0" borderId="0" xfId="0" applyFont="1" applyFill="1" applyAlignment="1">
      <alignment horizontal="left" vertical="center"/>
    </xf>
    <xf numFmtId="1" fontId="7" fillId="0" borderId="0" xfId="0" applyNumberFormat="1" applyFont="1" applyFill="1" applyAlignment="1">
      <alignment vertical="center"/>
    </xf>
    <xf numFmtId="0" fontId="7" fillId="0" borderId="0" xfId="61" applyFont="1" applyFill="1" applyBorder="1" applyAlignment="1">
      <alignment vertical="center"/>
    </xf>
    <xf numFmtId="1" fontId="3"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3" fillId="0" borderId="0" xfId="0" applyNumberFormat="1" applyFont="1" applyFill="1"/>
    <xf numFmtId="2" fontId="3" fillId="24" borderId="0" xfId="0" applyNumberFormat="1" applyFont="1" applyFill="1"/>
    <xf numFmtId="0" fontId="7" fillId="0" borderId="0" xfId="0" applyFont="1" applyAlignment="1">
      <alignment horizontal="right"/>
    </xf>
    <xf numFmtId="14" fontId="3" fillId="0" borderId="0" xfId="0" applyNumberFormat="1" applyFont="1" applyFill="1"/>
    <xf numFmtId="0" fontId="3" fillId="26" borderId="0" xfId="0" applyFont="1" applyFill="1"/>
    <xf numFmtId="14" fontId="7" fillId="0" borderId="0" xfId="0" applyNumberFormat="1" applyFont="1"/>
    <xf numFmtId="0" fontId="3" fillId="0" borderId="0" xfId="0" applyFont="1" applyAlignment="1">
      <alignment horizontal="left"/>
    </xf>
    <xf numFmtId="14" fontId="3" fillId="25" borderId="0" xfId="0" applyNumberFormat="1" applyFont="1" applyFill="1"/>
    <xf numFmtId="0" fontId="3" fillId="0" borderId="0" xfId="0" quotePrefix="1" applyFont="1" applyFill="1"/>
    <xf numFmtId="0" fontId="3" fillId="0" borderId="0" xfId="0" quotePrefix="1" applyFont="1" applyFill="1" applyAlignment="1">
      <alignment horizontal="center"/>
    </xf>
    <xf numFmtId="0" fontId="3" fillId="0" borderId="0" xfId="0" applyFont="1" applyFill="1" applyAlignment="1"/>
    <xf numFmtId="0" fontId="26" fillId="0" borderId="0" xfId="0" applyFont="1" applyAlignment="1">
      <alignment wrapText="1"/>
    </xf>
    <xf numFmtId="0" fontId="0" fillId="0" borderId="0" xfId="0" applyFill="1" applyBorder="1" applyAlignment="1">
      <alignment vertical="center"/>
    </xf>
    <xf numFmtId="0" fontId="27" fillId="25" borderId="0" xfId="0" applyFont="1" applyFill="1"/>
    <xf numFmtId="0" fontId="3" fillId="0" borderId="0" xfId="0" applyFont="1" applyFill="1" applyBorder="1" applyAlignment="1"/>
    <xf numFmtId="0" fontId="3" fillId="0" borderId="0" xfId="0" applyFont="1" applyBorder="1" applyAlignment="1"/>
    <xf numFmtId="0" fontId="77" fillId="0" borderId="0" xfId="0" applyFont="1" applyFill="1"/>
    <xf numFmtId="0" fontId="7" fillId="0" borderId="0" xfId="0" applyFont="1" applyAlignment="1" applyProtection="1">
      <alignment horizontal="left" vertical="center"/>
    </xf>
    <xf numFmtId="0" fontId="34" fillId="0" borderId="0" xfId="0" applyFont="1"/>
    <xf numFmtId="0" fontId="33" fillId="0" borderId="0" xfId="0" applyFont="1" applyFill="1"/>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3" fillId="0" borderId="0" xfId="0" applyFont="1" applyBorder="1" applyAlignment="1">
      <alignment horizontal="left"/>
    </xf>
    <xf numFmtId="0" fontId="3" fillId="0" borderId="0" xfId="0" applyFont="1" applyFill="1" applyBorder="1" applyAlignment="1">
      <alignment horizontal="left"/>
    </xf>
    <xf numFmtId="0" fontId="28" fillId="0" borderId="12" xfId="0" applyFont="1" applyBorder="1" applyAlignment="1">
      <alignment horizontal="center" vertical="center" wrapText="1"/>
    </xf>
    <xf numFmtId="0" fontId="77" fillId="0" borderId="0" xfId="0" applyFont="1" applyBorder="1" applyAlignment="1"/>
    <xf numFmtId="0" fontId="3" fillId="28" borderId="0" xfId="0" applyFont="1" applyFill="1"/>
    <xf numFmtId="0" fontId="3" fillId="29" borderId="0" xfId="0" applyFont="1" applyFill="1"/>
    <xf numFmtId="0" fontId="3" fillId="27" borderId="0" xfId="0" applyFont="1" applyFill="1"/>
    <xf numFmtId="2" fontId="3" fillId="24" borderId="0" xfId="0" applyNumberFormat="1" applyFont="1" applyFill="1" applyAlignment="1">
      <alignment horizontal="center"/>
    </xf>
    <xf numFmtId="0" fontId="3" fillId="30" borderId="0" xfId="0" applyFont="1" applyFill="1"/>
    <xf numFmtId="2" fontId="3" fillId="0" borderId="0" xfId="0" applyNumberFormat="1" applyFont="1"/>
    <xf numFmtId="0" fontId="3" fillId="27" borderId="0" xfId="0" applyFont="1" applyFill="1" applyAlignment="1">
      <alignment horizontal="right"/>
    </xf>
    <xf numFmtId="0" fontId="77" fillId="0" borderId="0" xfId="0" applyFont="1"/>
    <xf numFmtId="0" fontId="28" fillId="0" borderId="11" xfId="0" applyFont="1" applyBorder="1" applyAlignment="1">
      <alignment horizontal="center" vertical="center"/>
    </xf>
    <xf numFmtId="0" fontId="3" fillId="24" borderId="0" xfId="0" applyFont="1" applyFill="1" applyAlignment="1">
      <alignment horizontal="center" vertical="center"/>
    </xf>
    <xf numFmtId="0" fontId="3" fillId="27" borderId="0" xfId="0" quotePrefix="1" applyFont="1" applyFill="1" applyAlignment="1">
      <alignment horizontal="center"/>
    </xf>
    <xf numFmtId="0" fontId="54" fillId="0" borderId="0" xfId="0" applyFont="1" applyFill="1"/>
    <xf numFmtId="0" fontId="3" fillId="0" borderId="0" xfId="0" quotePrefix="1" applyFont="1" applyFill="1" applyAlignment="1">
      <alignment horizontal="left"/>
    </xf>
    <xf numFmtId="0" fontId="3" fillId="0" borderId="0" xfId="0" applyFont="1" applyFill="1" applyAlignment="1">
      <alignment horizontal="left"/>
    </xf>
    <xf numFmtId="0" fontId="3" fillId="30" borderId="0" xfId="0" applyFont="1" applyFill="1" applyAlignment="1">
      <alignment horizontal="center"/>
    </xf>
    <xf numFmtId="0" fontId="55" fillId="0" borderId="0" xfId="0" applyFont="1"/>
    <xf numFmtId="0" fontId="55" fillId="0" borderId="0" xfId="0" applyFont="1" applyAlignment="1"/>
    <xf numFmtId="0" fontId="55" fillId="30" borderId="0" xfId="0" applyFont="1" applyFill="1"/>
    <xf numFmtId="0" fontId="55" fillId="30" borderId="0" xfId="0" applyFont="1" applyFill="1" applyAlignment="1">
      <alignment horizontal="center"/>
    </xf>
    <xf numFmtId="0" fontId="55" fillId="30" borderId="0" xfId="0" applyFont="1" applyFill="1" applyAlignment="1"/>
    <xf numFmtId="0" fontId="55" fillId="0" borderId="0" xfId="0" applyFont="1" applyFill="1"/>
    <xf numFmtId="0" fontId="55" fillId="24" borderId="0" xfId="0" applyFont="1" applyFill="1" applyAlignment="1"/>
    <xf numFmtId="0" fontId="61" fillId="0" borderId="0" xfId="0" applyFont="1" applyFill="1"/>
    <xf numFmtId="0" fontId="55" fillId="0" borderId="0" xfId="0" applyFont="1" applyFill="1" applyAlignment="1">
      <alignment horizontal="center"/>
    </xf>
    <xf numFmtId="0" fontId="55" fillId="0" borderId="0" xfId="0" applyFont="1" applyFill="1" applyAlignment="1"/>
    <xf numFmtId="0" fontId="62" fillId="0" borderId="0" xfId="0" applyFont="1" applyFill="1" applyAlignment="1">
      <alignment horizontal="right"/>
    </xf>
    <xf numFmtId="14" fontId="3" fillId="30" borderId="0" xfId="0" applyNumberFormat="1" applyFont="1" applyFill="1"/>
    <xf numFmtId="0" fontId="3" fillId="30" borderId="0" xfId="0" applyFont="1" applyFill="1" applyAlignment="1"/>
    <xf numFmtId="0" fontId="3" fillId="0" borderId="0" xfId="0" quotePrefix="1" applyFont="1"/>
    <xf numFmtId="177" fontId="3" fillId="0" borderId="0" xfId="0" applyNumberFormat="1" applyFont="1"/>
    <xf numFmtId="0" fontId="63" fillId="0" borderId="0" xfId="0" applyFont="1" applyFill="1"/>
    <xf numFmtId="0" fontId="63" fillId="24" borderId="0" xfId="0" applyFont="1" applyFill="1" applyAlignment="1"/>
    <xf numFmtId="0" fontId="60" fillId="0" borderId="0" xfId="0" applyFont="1" applyFill="1"/>
    <xf numFmtId="0" fontId="59" fillId="0" borderId="0" xfId="0" applyFont="1" applyFill="1"/>
    <xf numFmtId="0" fontId="57" fillId="0" borderId="0" xfId="0" applyFont="1" applyFill="1"/>
    <xf numFmtId="14" fontId="55" fillId="0" borderId="0" xfId="0" applyNumberFormat="1" applyFont="1" applyFill="1"/>
    <xf numFmtId="0" fontId="3" fillId="0" borderId="0" xfId="0" quotePrefix="1" applyFont="1" applyFill="1" applyAlignment="1">
      <alignment horizontal="right"/>
    </xf>
    <xf numFmtId="180" fontId="62" fillId="0" borderId="0" xfId="0" applyNumberFormat="1" applyFont="1" applyFill="1" applyAlignment="1">
      <alignment horizontal="center"/>
    </xf>
    <xf numFmtId="0" fontId="62" fillId="0" borderId="0" xfId="0" applyFont="1" applyFill="1" applyAlignment="1">
      <alignment horizontal="center"/>
    </xf>
    <xf numFmtId="0" fontId="62" fillId="0" borderId="0" xfId="0" quotePrefix="1" applyFont="1" applyFill="1" applyAlignment="1">
      <alignment horizontal="right"/>
    </xf>
    <xf numFmtId="58" fontId="62" fillId="0" borderId="0" xfId="0" quotePrefix="1" applyNumberFormat="1" applyFont="1" applyFill="1" applyAlignment="1">
      <alignment horizontal="right"/>
    </xf>
    <xf numFmtId="0" fontId="64" fillId="0" borderId="0" xfId="0" applyFont="1"/>
    <xf numFmtId="0" fontId="55" fillId="0" borderId="0" xfId="0" applyFont="1" applyFill="1" applyAlignment="1">
      <alignment horizontal="left"/>
    </xf>
    <xf numFmtId="0" fontId="63"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9" fillId="0" borderId="0" xfId="0" applyFont="1" applyFill="1" applyAlignment="1">
      <alignment horizontal="left"/>
    </xf>
    <xf numFmtId="0" fontId="57" fillId="0" borderId="0" xfId="0" applyFont="1" applyFill="1" applyAlignment="1">
      <alignment horizontal="left"/>
    </xf>
    <xf numFmtId="0" fontId="55" fillId="30" borderId="0" xfId="0" applyFont="1" applyFill="1" applyAlignment="1">
      <alignment horizontal="left"/>
    </xf>
    <xf numFmtId="0" fontId="63" fillId="0" borderId="0" xfId="0" quotePrefix="1" applyFont="1" applyFill="1" applyAlignment="1">
      <alignment horizontal="left"/>
    </xf>
    <xf numFmtId="0" fontId="65" fillId="0" borderId="0" xfId="0" applyFont="1" applyFill="1"/>
    <xf numFmtId="0" fontId="3" fillId="32" borderId="0" xfId="0" applyFont="1" applyFill="1"/>
    <xf numFmtId="49" fontId="3" fillId="0" borderId="0" xfId="0" applyNumberFormat="1" applyFont="1" applyAlignment="1">
      <alignment horizontal="center"/>
    </xf>
    <xf numFmtId="179" fontId="3" fillId="0" borderId="0" xfId="0" applyNumberFormat="1" applyFont="1"/>
    <xf numFmtId="179" fontId="3" fillId="0" borderId="0" xfId="0" applyNumberFormat="1" applyFont="1" applyFill="1"/>
    <xf numFmtId="178" fontId="3" fillId="0" borderId="0" xfId="0" applyNumberFormat="1" applyFont="1"/>
    <xf numFmtId="2" fontId="3" fillId="0" borderId="0" xfId="0" applyNumberFormat="1" applyFont="1" applyAlignment="1">
      <alignment horizontal="center"/>
    </xf>
    <xf numFmtId="1" fontId="3" fillId="24" borderId="0" xfId="0" applyNumberFormat="1" applyFont="1" applyFill="1" applyAlignment="1">
      <alignment horizontal="center"/>
    </xf>
    <xf numFmtId="180" fontId="3" fillId="0" borderId="0" xfId="0" applyNumberFormat="1" applyFont="1"/>
    <xf numFmtId="49" fontId="3" fillId="0" borderId="0" xfId="0" applyNumberFormat="1" applyFont="1" applyFill="1" applyAlignment="1">
      <alignment horizontal="center"/>
    </xf>
    <xf numFmtId="49" fontId="3" fillId="24" borderId="0" xfId="0" applyNumberFormat="1" applyFont="1" applyFill="1" applyAlignment="1">
      <alignment horizontal="center"/>
    </xf>
    <xf numFmtId="49" fontId="3" fillId="31" borderId="0" xfId="0" applyNumberFormat="1" applyFont="1" applyFill="1" applyAlignment="1">
      <alignment horizontal="center"/>
    </xf>
    <xf numFmtId="49" fontId="3" fillId="0" borderId="0" xfId="0" quotePrefix="1" applyNumberFormat="1" applyFont="1" applyFill="1" applyAlignment="1">
      <alignment horizontal="center"/>
    </xf>
    <xf numFmtId="49" fontId="3" fillId="31" borderId="0" xfId="0" quotePrefix="1" applyNumberFormat="1" applyFont="1" applyFill="1" applyAlignment="1">
      <alignment horizontal="center"/>
    </xf>
    <xf numFmtId="49" fontId="3" fillId="30" borderId="0" xfId="0" applyNumberFormat="1" applyFont="1" applyFill="1" applyAlignment="1">
      <alignment horizontal="center"/>
    </xf>
    <xf numFmtId="49" fontId="3" fillId="33" borderId="0" xfId="0" applyNumberFormat="1" applyFont="1" applyFill="1" applyAlignment="1">
      <alignment horizontal="center"/>
    </xf>
    <xf numFmtId="49" fontId="3" fillId="33" borderId="0" xfId="0" quotePrefix="1" applyNumberFormat="1" applyFont="1" applyFill="1" applyAlignment="1">
      <alignment horizontal="center"/>
    </xf>
    <xf numFmtId="0" fontId="3" fillId="33" borderId="0" xfId="0" applyFont="1" applyFill="1"/>
    <xf numFmtId="0" fontId="3" fillId="31" borderId="0" xfId="0" applyFont="1" applyFill="1" applyAlignment="1">
      <alignment horizontal="center"/>
    </xf>
    <xf numFmtId="0" fontId="3" fillId="34" borderId="0" xfId="0" applyFont="1" applyFill="1"/>
    <xf numFmtId="180" fontId="3" fillId="0" borderId="0" xfId="0" applyNumberFormat="1" applyFont="1" applyAlignment="1">
      <alignment horizontal="center"/>
    </xf>
    <xf numFmtId="2" fontId="3" fillId="33" borderId="0" xfId="0" applyNumberFormat="1" applyFont="1" applyFill="1" applyAlignment="1">
      <alignment horizontal="center"/>
    </xf>
    <xf numFmtId="0" fontId="3" fillId="35" borderId="0" xfId="0" applyFont="1" applyFill="1" applyAlignment="1">
      <alignment horizontal="center"/>
    </xf>
    <xf numFmtId="2" fontId="3" fillId="32" borderId="0" xfId="0" applyNumberFormat="1" applyFont="1" applyFill="1"/>
    <xf numFmtId="49" fontId="3" fillId="27" borderId="0" xfId="0" applyNumberFormat="1" applyFont="1" applyFill="1" applyAlignment="1">
      <alignment horizontal="center"/>
    </xf>
    <xf numFmtId="1" fontId="3" fillId="0" borderId="0" xfId="0" applyNumberFormat="1" applyFont="1"/>
    <xf numFmtId="1" fontId="3" fillId="32" borderId="0" xfId="0" applyNumberFormat="1" applyFont="1" applyFill="1" applyAlignment="1">
      <alignment horizontal="center"/>
    </xf>
    <xf numFmtId="179" fontId="3" fillId="32" borderId="0" xfId="0" applyNumberFormat="1" applyFont="1" applyFill="1"/>
    <xf numFmtId="0" fontId="66" fillId="0" borderId="0" xfId="0" applyFont="1" applyAlignment="1">
      <alignment horizontal="center"/>
    </xf>
    <xf numFmtId="0" fontId="66" fillId="30" borderId="0" xfId="0" applyFont="1" applyFill="1" applyAlignment="1">
      <alignment horizontal="center"/>
    </xf>
    <xf numFmtId="0" fontId="66" fillId="0" borderId="0" xfId="0" applyFont="1"/>
    <xf numFmtId="0" fontId="66" fillId="32" borderId="0" xfId="0" applyFont="1" applyFill="1"/>
    <xf numFmtId="49" fontId="3" fillId="27" borderId="0" xfId="0" quotePrefix="1" applyNumberFormat="1" applyFont="1" applyFill="1" applyAlignment="1">
      <alignment horizontal="center"/>
    </xf>
    <xf numFmtId="0" fontId="66" fillId="0" borderId="0" xfId="0" applyFont="1" applyFill="1"/>
    <xf numFmtId="0" fontId="67" fillId="0" borderId="0" xfId="0" applyFont="1" applyAlignment="1">
      <alignment horizontal="left"/>
    </xf>
    <xf numFmtId="0" fontId="78" fillId="0" borderId="0" xfId="0" applyFont="1" applyAlignment="1">
      <alignment horizontal="left"/>
    </xf>
    <xf numFmtId="0" fontId="67" fillId="0" borderId="0" xfId="0" applyFont="1"/>
    <xf numFmtId="0" fontId="67" fillId="30" borderId="0" xfId="0" applyFont="1" applyFill="1"/>
    <xf numFmtId="0" fontId="67" fillId="0" borderId="0" xfId="0" applyFont="1" applyFill="1"/>
    <xf numFmtId="2" fontId="67" fillId="0" borderId="0" xfId="0" applyNumberFormat="1" applyFont="1"/>
    <xf numFmtId="180" fontId="67" fillId="0" borderId="0" xfId="0" applyNumberFormat="1" applyFont="1"/>
    <xf numFmtId="0" fontId="78" fillId="30" borderId="0" xfId="0" applyFont="1" applyFill="1" applyAlignment="1">
      <alignment horizontal="left"/>
    </xf>
    <xf numFmtId="0" fontId="78" fillId="0" borderId="0" xfId="0" applyFont="1" applyFill="1" applyAlignment="1">
      <alignment horizontal="left"/>
    </xf>
    <xf numFmtId="0" fontId="67" fillId="30" borderId="0" xfId="0" applyFont="1" applyFill="1" applyAlignment="1">
      <alignment horizontal="left"/>
    </xf>
    <xf numFmtId="49" fontId="67" fillId="0" borderId="0" xfId="0" applyNumberFormat="1" applyFont="1" applyAlignment="1">
      <alignment horizontal="center"/>
    </xf>
    <xf numFmtId="49" fontId="67" fillId="30" borderId="0" xfId="0" applyNumberFormat="1" applyFont="1" applyFill="1" applyAlignment="1">
      <alignment horizontal="center"/>
    </xf>
    <xf numFmtId="49" fontId="67" fillId="36" borderId="0" xfId="0" applyNumberFormat="1" applyFont="1" applyFill="1" applyAlignment="1">
      <alignment horizontal="center"/>
    </xf>
    <xf numFmtId="49" fontId="3" fillId="36" borderId="0" xfId="0" applyNumberFormat="1" applyFont="1" applyFill="1" applyAlignment="1">
      <alignment horizontal="center"/>
    </xf>
    <xf numFmtId="49" fontId="67" fillId="28" borderId="0" xfId="0" applyNumberFormat="1" applyFont="1" applyFill="1" applyAlignment="1">
      <alignment horizontal="center"/>
    </xf>
    <xf numFmtId="0" fontId="67" fillId="34" borderId="0" xfId="0" applyFont="1" applyFill="1"/>
    <xf numFmtId="0" fontId="69" fillId="37" borderId="0" xfId="0" applyFont="1" applyFill="1" applyAlignment="1">
      <alignment horizontal="center"/>
    </xf>
    <xf numFmtId="0" fontId="71" fillId="0" borderId="0" xfId="0" applyFont="1" applyAlignment="1">
      <alignment horizontal="center"/>
    </xf>
    <xf numFmtId="0" fontId="71" fillId="27" borderId="0" xfId="0" applyFont="1" applyFill="1" applyAlignment="1">
      <alignment horizontal="center"/>
    </xf>
    <xf numFmtId="0" fontId="69" fillId="27" borderId="0" xfId="0" applyFont="1" applyFill="1"/>
    <xf numFmtId="0" fontId="0" fillId="27" borderId="0" xfId="0" applyFill="1"/>
    <xf numFmtId="0" fontId="69" fillId="0" borderId="0" xfId="0" applyFont="1" applyFill="1"/>
    <xf numFmtId="0" fontId="69" fillId="0" borderId="0" xfId="0" applyFont="1" applyAlignment="1">
      <alignment horizontal="left"/>
    </xf>
    <xf numFmtId="0" fontId="69" fillId="27" borderId="0" xfId="0" applyFont="1" applyFill="1" applyAlignment="1">
      <alignment horizontal="left"/>
    </xf>
    <xf numFmtId="0" fontId="69" fillId="30" borderId="0" xfId="0" applyFont="1" applyFill="1" applyAlignment="1">
      <alignment horizontal="left"/>
    </xf>
    <xf numFmtId="0" fontId="69" fillId="0" borderId="0" xfId="0" applyFont="1" applyFill="1" applyAlignment="1">
      <alignment horizontal="left"/>
    </xf>
    <xf numFmtId="49" fontId="69" fillId="0" borderId="0" xfId="0" quotePrefix="1" applyNumberFormat="1" applyFont="1"/>
    <xf numFmtId="49" fontId="69" fillId="31" borderId="0" xfId="0" quotePrefix="1" applyNumberFormat="1" applyFont="1" applyFill="1"/>
    <xf numFmtId="49" fontId="3" fillId="31" borderId="0" xfId="0" quotePrefix="1" applyNumberFormat="1" applyFont="1" applyFill="1"/>
    <xf numFmtId="0" fontId="72" fillId="0" borderId="0" xfId="0" applyFont="1"/>
    <xf numFmtId="0" fontId="72" fillId="0" borderId="0" xfId="0" applyFont="1" applyAlignment="1">
      <alignment horizontal="center"/>
    </xf>
    <xf numFmtId="0" fontId="78" fillId="0" borderId="0" xfId="0" applyFont="1" applyAlignment="1">
      <alignment horizontal="left"/>
    </xf>
    <xf numFmtId="49" fontId="67" fillId="31" borderId="0" xfId="0" applyNumberFormat="1" applyFont="1" applyFill="1" applyAlignment="1">
      <alignment horizontal="center"/>
    </xf>
    <xf numFmtId="0" fontId="3" fillId="34" borderId="0" xfId="0" applyFont="1" applyFill="1" applyAlignment="1">
      <alignment horizontal="center"/>
    </xf>
    <xf numFmtId="0" fontId="78" fillId="30" borderId="0" xfId="0" applyFont="1" applyFill="1" applyAlignment="1">
      <alignment horizontal="left"/>
    </xf>
    <xf numFmtId="49" fontId="72" fillId="0" borderId="0" xfId="0" applyNumberFormat="1" applyFont="1" applyAlignment="1">
      <alignment horizontal="center"/>
    </xf>
    <xf numFmtId="49" fontId="72" fillId="31" borderId="0" xfId="0" applyNumberFormat="1" applyFont="1" applyFill="1" applyAlignment="1">
      <alignment horizontal="center"/>
    </xf>
    <xf numFmtId="49" fontId="67" fillId="31" borderId="0" xfId="0" quotePrefix="1" applyNumberFormat="1" applyFont="1" applyFill="1" applyAlignment="1">
      <alignment horizontal="center"/>
    </xf>
    <xf numFmtId="0" fontId="78" fillId="0" borderId="0" xfId="0" applyFont="1" applyFill="1" applyAlignment="1">
      <alignment horizontal="left"/>
    </xf>
    <xf numFmtId="0" fontId="74" fillId="0" borderId="0" xfId="0" applyFont="1" applyFill="1"/>
    <xf numFmtId="0" fontId="74" fillId="30" borderId="0" xfId="0" applyFont="1" applyFill="1"/>
    <xf numFmtId="0" fontId="3" fillId="31" borderId="0" xfId="0" quotePrefix="1" applyFont="1" applyFill="1" applyAlignment="1">
      <alignment horizontal="center"/>
    </xf>
    <xf numFmtId="0" fontId="3" fillId="38" borderId="0" xfId="0" quotePrefix="1" applyFont="1" applyFill="1" applyAlignment="1">
      <alignment horizontal="center"/>
    </xf>
    <xf numFmtId="26" fontId="3" fillId="0" borderId="0" xfId="0" applyNumberFormat="1" applyFont="1" applyFill="1"/>
    <xf numFmtId="9" fontId="3" fillId="0" borderId="0" xfId="0" applyNumberFormat="1" applyFont="1" applyFill="1"/>
    <xf numFmtId="181" fontId="28" fillId="0" borderId="12" xfId="0" applyNumberFormat="1" applyFont="1" applyBorder="1" applyAlignment="1">
      <alignment horizontal="center" vertical="center" wrapText="1"/>
    </xf>
    <xf numFmtId="0" fontId="28" fillId="0" borderId="0" xfId="0" applyFont="1" applyBorder="1" applyAlignment="1">
      <alignment horizontal="center" vertical="center" wrapText="1"/>
    </xf>
    <xf numFmtId="0" fontId="75" fillId="0" borderId="0" xfId="0" applyFont="1" applyFill="1"/>
    <xf numFmtId="0" fontId="3" fillId="0" borderId="0" xfId="0" applyFont="1" applyAlignment="1">
      <alignment horizontal="right"/>
    </xf>
    <xf numFmtId="0" fontId="3" fillId="0" borderId="0" xfId="0" applyFont="1" applyFill="1" applyAlignment="1">
      <alignment horizontal="right"/>
    </xf>
    <xf numFmtId="0" fontId="3" fillId="32" borderId="0" xfId="0" applyFont="1" applyFill="1" applyAlignment="1">
      <alignment horizontal="right"/>
    </xf>
    <xf numFmtId="0" fontId="3" fillId="34" borderId="0" xfId="0" applyFont="1" applyFill="1" applyAlignment="1">
      <alignment horizontal="right"/>
    </xf>
    <xf numFmtId="0" fontId="3" fillId="28" borderId="0" xfId="0" applyFont="1" applyFill="1" applyAlignment="1">
      <alignment horizontal="right"/>
    </xf>
    <xf numFmtId="0" fontId="3" fillId="31" borderId="0" xfId="0" applyFont="1" applyFill="1" applyAlignment="1">
      <alignment horizontal="right"/>
    </xf>
    <xf numFmtId="49" fontId="69" fillId="31" borderId="0" xfId="0" quotePrefix="1" applyNumberFormat="1" applyFont="1" applyFill="1" applyAlignment="1">
      <alignment horizontal="center"/>
    </xf>
    <xf numFmtId="49" fontId="69" fillId="0" borderId="0" xfId="0" quotePrefix="1" applyNumberFormat="1" applyFont="1" applyAlignment="1">
      <alignment horizontal="center"/>
    </xf>
    <xf numFmtId="180" fontId="72" fillId="0" borderId="0" xfId="0" applyNumberFormat="1" applyFont="1" applyAlignment="1">
      <alignment horizontal="center"/>
    </xf>
    <xf numFmtId="1" fontId="72" fillId="0" borderId="0" xfId="0" applyNumberFormat="1" applyFont="1" applyAlignment="1">
      <alignment horizontal="center"/>
    </xf>
    <xf numFmtId="49" fontId="3"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0" fillId="0" borderId="0" xfId="0" applyFont="1" applyFill="1"/>
    <xf numFmtId="0" fontId="81" fillId="0" borderId="0" xfId="0" applyFont="1" applyAlignment="1">
      <alignment horizontal="left"/>
    </xf>
    <xf numFmtId="0" fontId="80" fillId="0" borderId="0" xfId="0" applyFont="1"/>
    <xf numFmtId="0" fontId="80" fillId="27" borderId="0" xfId="0" applyFont="1" applyFill="1" applyAlignment="1">
      <alignment horizontal="left"/>
    </xf>
    <xf numFmtId="49" fontId="80" fillId="31" borderId="0" xfId="0" applyNumberFormat="1" applyFont="1" applyFill="1" applyAlignment="1">
      <alignment horizontal="center"/>
    </xf>
    <xf numFmtId="49" fontId="80" fillId="34" borderId="0" xfId="0" applyNumberFormat="1" applyFont="1" applyFill="1" applyAlignment="1">
      <alignment horizontal="center"/>
    </xf>
    <xf numFmtId="2" fontId="3" fillId="34" borderId="0" xfId="0" applyNumberFormat="1" applyFont="1" applyFill="1" applyAlignment="1">
      <alignment horizontal="center"/>
    </xf>
    <xf numFmtId="177" fontId="3" fillId="34" borderId="0" xfId="0" applyNumberFormat="1" applyFont="1" applyFill="1"/>
    <xf numFmtId="0" fontId="80" fillId="34" borderId="0" xfId="0" applyFont="1" applyFill="1"/>
    <xf numFmtId="2" fontId="3" fillId="34" borderId="0" xfId="0" applyNumberFormat="1" applyFont="1" applyFill="1"/>
    <xf numFmtId="49" fontId="67" fillId="34" borderId="0" xfId="0" applyNumberFormat="1" applyFont="1" applyFill="1" applyAlignment="1">
      <alignment horizontal="center"/>
    </xf>
    <xf numFmtId="0" fontId="3" fillId="0" borderId="0" xfId="0" applyFont="1" applyFill="1" applyAlignment="1">
      <alignment horizontal="left"/>
    </xf>
    <xf numFmtId="0" fontId="80" fillId="0" borderId="0" xfId="0" applyFont="1" applyFill="1" applyAlignment="1">
      <alignment horizontal="center"/>
    </xf>
    <xf numFmtId="0" fontId="80" fillId="0" borderId="0" xfId="92" applyFont="1" applyFill="1" applyAlignment="1">
      <alignment horizontal="center"/>
    </xf>
    <xf numFmtId="0" fontId="80" fillId="28" borderId="0" xfId="0" applyFont="1" applyFill="1"/>
    <xf numFmtId="0" fontId="3" fillId="31" borderId="0" xfId="0" applyFont="1" applyFill="1"/>
    <xf numFmtId="0" fontId="80" fillId="31" borderId="0" xfId="0" applyFont="1" applyFill="1"/>
    <xf numFmtId="0" fontId="78" fillId="31" borderId="0" xfId="0" applyFont="1" applyFill="1" applyAlignment="1">
      <alignment horizontal="left"/>
    </xf>
    <xf numFmtId="0" fontId="80" fillId="0" borderId="0" xfId="0" applyFont="1" applyFill="1" applyAlignment="1">
      <alignment horizontal="left"/>
    </xf>
    <xf numFmtId="0" fontId="69" fillId="31" borderId="0" xfId="0" applyFont="1" applyFill="1" applyAlignment="1">
      <alignment horizontal="left"/>
    </xf>
    <xf numFmtId="0" fontId="81" fillId="31" borderId="0" xfId="0" applyFont="1" applyFill="1" applyAlignment="1">
      <alignment horizontal="left"/>
    </xf>
    <xf numFmtId="0" fontId="63" fillId="34" borderId="0" xfId="0" applyFont="1" applyFill="1" applyAlignment="1">
      <alignment horizontal="left"/>
    </xf>
    <xf numFmtId="0" fontId="80" fillId="34" borderId="0" xfId="0" quotePrefix="1" applyFont="1" applyFill="1" applyAlignment="1">
      <alignment horizontal="left"/>
    </xf>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2"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2"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90"/>
  <sheetViews>
    <sheetView zoomScale="120" zoomScaleNormal="120" workbookViewId="0">
      <pane ySplit="1" topLeftCell="A740" activePane="bottomLeft" state="frozen"/>
      <selection pane="bottomLeft" activeCell="A748" sqref="A74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3.5" style="7" customWidth="1"/>
    <col min="7" max="7" width="26.875" style="7" customWidth="1"/>
    <col min="8" max="11" width="9" style="7"/>
    <col min="12" max="12" width="8.375" style="7" customWidth="1"/>
    <col min="13" max="16384" width="9" style="7"/>
  </cols>
  <sheetData>
    <row r="1" spans="1:18" s="9" customFormat="1" ht="14.25" customHeight="1">
      <c r="A1" s="103" t="s">
        <v>2885</v>
      </c>
      <c r="B1" s="9" t="s">
        <v>1346</v>
      </c>
      <c r="C1" s="9" t="s">
        <v>1119</v>
      </c>
      <c r="D1" s="183" t="s">
        <v>1120</v>
      </c>
      <c r="E1" s="9" t="s">
        <v>1121</v>
      </c>
    </row>
    <row r="2" spans="1:18" s="4" customFormat="1" ht="14.25" customHeight="1">
      <c r="A2" s="110" t="s">
        <v>5955</v>
      </c>
      <c r="B2" s="9">
        <v>2.2999999999999998</v>
      </c>
      <c r="C2" s="211" t="s">
        <v>5954</v>
      </c>
      <c r="D2" s="184">
        <f>1*950</f>
        <v>950</v>
      </c>
      <c r="E2" s="105">
        <v>5.2631578947368418E-2</v>
      </c>
      <c r="F2" s="9"/>
      <c r="G2" s="211" t="s">
        <v>5954</v>
      </c>
      <c r="H2" s="7"/>
      <c r="I2" s="7"/>
      <c r="J2" s="7"/>
      <c r="K2" s="7"/>
      <c r="L2" s="7"/>
      <c r="M2" s="7"/>
      <c r="N2" s="7"/>
      <c r="O2" s="7"/>
      <c r="P2" s="7"/>
      <c r="Q2" s="7"/>
      <c r="R2" s="7"/>
    </row>
    <row r="3" spans="1:18" ht="14.25" customHeight="1">
      <c r="A3" s="110">
        <v>101.02</v>
      </c>
      <c r="B3" s="9">
        <v>2.6</v>
      </c>
      <c r="C3" s="1" t="s">
        <v>3324</v>
      </c>
      <c r="D3" s="184">
        <f>1*800</f>
        <v>800</v>
      </c>
      <c r="E3" s="105">
        <v>6.25E-2</v>
      </c>
      <c r="F3" s="9"/>
    </row>
    <row r="4" spans="1:18" ht="14.25" customHeight="1">
      <c r="A4" s="125">
        <v>101.03</v>
      </c>
      <c r="B4" s="9">
        <f>15.4/5</f>
        <v>3.08</v>
      </c>
      <c r="C4" s="1" t="s">
        <v>3325</v>
      </c>
      <c r="D4" s="184">
        <f>2*700</f>
        <v>1400</v>
      </c>
      <c r="E4" s="105">
        <v>7.1428571428571425E-2</v>
      </c>
      <c r="F4" s="9"/>
      <c r="R4" s="4"/>
    </row>
    <row r="5" spans="1:18" ht="14.25" customHeight="1">
      <c r="A5" s="110">
        <v>101.04</v>
      </c>
      <c r="B5" s="9">
        <v>4.9000000000000004</v>
      </c>
      <c r="C5" s="1" t="s">
        <v>3326</v>
      </c>
      <c r="D5" s="184">
        <f>2*450</f>
        <v>900</v>
      </c>
      <c r="E5" s="105">
        <v>0.1111111111111111</v>
      </c>
      <c r="F5" s="9"/>
    </row>
    <row r="6" spans="1:18" s="4" customFormat="1" ht="14.25" customHeight="1">
      <c r="A6" s="110">
        <v>101.05</v>
      </c>
      <c r="B6" s="9">
        <v>3.8</v>
      </c>
      <c r="C6" s="1" t="s">
        <v>3327</v>
      </c>
      <c r="D6" s="184">
        <f>3*550</f>
        <v>1650</v>
      </c>
      <c r="E6" s="105">
        <v>9.0909090909090912E-2</v>
      </c>
      <c r="F6" s="9"/>
      <c r="G6" s="7"/>
      <c r="H6" s="7"/>
      <c r="I6" s="7"/>
      <c r="J6" s="7"/>
      <c r="K6" s="7"/>
      <c r="L6" s="7"/>
      <c r="M6" s="7"/>
      <c r="N6" s="7"/>
      <c r="O6" s="7"/>
      <c r="P6" s="7"/>
      <c r="Q6" s="7"/>
      <c r="R6" s="7"/>
    </row>
    <row r="7" spans="1:18" ht="14.25" customHeight="1">
      <c r="A7" s="110">
        <v>101.06</v>
      </c>
      <c r="B7" s="9">
        <v>4.7</v>
      </c>
      <c r="C7" s="1" t="s">
        <v>3328</v>
      </c>
      <c r="D7" s="184">
        <f>12*450</f>
        <v>5400</v>
      </c>
      <c r="E7" s="105">
        <v>0.1111111111111111</v>
      </c>
      <c r="F7" s="9"/>
    </row>
    <row r="8" spans="1:18" s="4" customFormat="1" ht="14.25" customHeight="1">
      <c r="A8" s="110">
        <v>101.07</v>
      </c>
      <c r="B8" s="65">
        <v>4.5</v>
      </c>
      <c r="C8" s="211" t="s">
        <v>3329</v>
      </c>
      <c r="D8" s="184">
        <f>1*470</f>
        <v>470</v>
      </c>
      <c r="E8" s="105">
        <v>0.10638297872340426</v>
      </c>
      <c r="F8" s="9"/>
      <c r="G8" s="211" t="s">
        <v>3329</v>
      </c>
      <c r="H8" s="7"/>
      <c r="I8" s="7"/>
      <c r="J8" s="7"/>
      <c r="K8" s="7"/>
      <c r="L8" s="7"/>
      <c r="M8" s="7"/>
      <c r="N8" s="7"/>
      <c r="O8" s="7"/>
      <c r="P8" s="7"/>
      <c r="Q8" s="7"/>
    </row>
    <row r="9" spans="1:18" ht="14.25" customHeight="1">
      <c r="A9" s="125">
        <v>101.08</v>
      </c>
      <c r="B9" s="9">
        <v>7</v>
      </c>
      <c r="C9" s="1" t="s">
        <v>3330</v>
      </c>
      <c r="D9" s="184">
        <f>38*300</f>
        <v>11400</v>
      </c>
      <c r="E9" s="105">
        <v>0.16666666666666666</v>
      </c>
      <c r="F9" s="9"/>
    </row>
    <row r="10" spans="1:18"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row>
    <row r="11" spans="1:18" ht="14.25" customHeight="1">
      <c r="A11" s="113" t="s">
        <v>2979</v>
      </c>
      <c r="B11" s="9">
        <v>10.199999999999999</v>
      </c>
      <c r="C11" s="1" t="s">
        <v>3332</v>
      </c>
      <c r="D11" s="184">
        <f>9*190</f>
        <v>1710</v>
      </c>
      <c r="E11" s="105">
        <v>0.26315789473684209</v>
      </c>
      <c r="F11" s="9"/>
    </row>
    <row r="12" spans="1:18" s="4" customFormat="1" ht="14.25" customHeight="1">
      <c r="A12" s="125">
        <v>101.11</v>
      </c>
      <c r="B12" s="9">
        <v>13.5</v>
      </c>
      <c r="C12" s="1" t="s">
        <v>6031</v>
      </c>
      <c r="D12" s="184">
        <f>24*160</f>
        <v>3840</v>
      </c>
      <c r="E12" s="105">
        <v>0.3125</v>
      </c>
      <c r="F12" s="9"/>
      <c r="G12" s="7"/>
      <c r="H12" s="7"/>
      <c r="I12" s="7"/>
      <c r="J12" s="7"/>
      <c r="K12" s="7"/>
      <c r="L12" s="7"/>
      <c r="M12" s="7"/>
      <c r="N12" s="7"/>
      <c r="O12" s="7"/>
      <c r="P12" s="7"/>
      <c r="Q12" s="7"/>
      <c r="R12" s="7"/>
    </row>
    <row r="13" spans="1:18" ht="14.25" customHeight="1">
      <c r="A13" s="110">
        <v>102.01</v>
      </c>
      <c r="B13" s="9">
        <v>10.8</v>
      </c>
      <c r="C13" s="211" t="s">
        <v>3318</v>
      </c>
      <c r="D13" s="184">
        <f>1*354</f>
        <v>354</v>
      </c>
      <c r="E13" s="105">
        <f t="shared" ref="E13:E19" si="0">65/D13</f>
        <v>0.18361581920903955</v>
      </c>
      <c r="G13" s="211" t="s">
        <v>3318</v>
      </c>
      <c r="R13" s="4"/>
    </row>
    <row r="14" spans="1:18"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row>
    <row r="15" spans="1:18" ht="14.25" customHeight="1">
      <c r="A15" s="110">
        <v>102.03</v>
      </c>
      <c r="B15" s="9">
        <v>9.3000000000000007</v>
      </c>
      <c r="C15" s="1" t="s">
        <v>3320</v>
      </c>
      <c r="D15" s="184">
        <f>1*383</f>
        <v>383</v>
      </c>
      <c r="E15" s="105">
        <f t="shared" si="0"/>
        <v>0.16971279373368145</v>
      </c>
      <c r="R15" s="4"/>
    </row>
    <row r="16" spans="1:18" ht="14.25" customHeight="1">
      <c r="A16" s="110">
        <v>102.04</v>
      </c>
      <c r="B16" s="9">
        <v>5.9</v>
      </c>
      <c r="C16" s="1" t="s">
        <v>4136</v>
      </c>
      <c r="D16" s="184">
        <f>1*650</f>
        <v>650</v>
      </c>
      <c r="E16" s="105">
        <f t="shared" si="0"/>
        <v>0.1</v>
      </c>
    </row>
    <row r="17" spans="1:18" ht="14.25" customHeight="1">
      <c r="A17" s="110">
        <v>102.05</v>
      </c>
      <c r="B17" s="9">
        <v>15.1</v>
      </c>
      <c r="C17" s="1" t="s">
        <v>3321</v>
      </c>
      <c r="D17" s="184">
        <f>1*250</f>
        <v>250</v>
      </c>
      <c r="E17" s="105">
        <f t="shared" si="0"/>
        <v>0.26</v>
      </c>
      <c r="R17" s="4"/>
    </row>
    <row r="18" spans="1:18" ht="14.25" customHeight="1">
      <c r="A18" s="110">
        <v>102.06</v>
      </c>
      <c r="B18" s="9">
        <v>4.0999999999999996</v>
      </c>
      <c r="C18" s="174" t="s">
        <v>4137</v>
      </c>
      <c r="D18" s="184">
        <f>1*880</f>
        <v>880</v>
      </c>
      <c r="E18" s="105">
        <f t="shared" si="0"/>
        <v>7.3863636363636367E-2</v>
      </c>
    </row>
    <row r="19" spans="1:18" ht="14.25" customHeight="1">
      <c r="A19" s="110">
        <v>102.07</v>
      </c>
      <c r="B19" s="9">
        <v>25.8</v>
      </c>
      <c r="C19" s="1" t="s">
        <v>3322</v>
      </c>
      <c r="D19" s="184">
        <f>1*145</f>
        <v>145</v>
      </c>
      <c r="E19" s="105">
        <f t="shared" si="0"/>
        <v>0.44827586206896552</v>
      </c>
      <c r="F19" s="9"/>
    </row>
    <row r="20" spans="1:18" ht="14.25" customHeight="1">
      <c r="A20" s="125">
        <v>103.01</v>
      </c>
      <c r="B20" s="9">
        <v>0.8</v>
      </c>
      <c r="C20" s="211" t="s">
        <v>6032</v>
      </c>
      <c r="D20" s="183">
        <v>2000</v>
      </c>
      <c r="E20" s="7">
        <v>4.8000000000000001E-2</v>
      </c>
      <c r="G20" s="211" t="s">
        <v>6032</v>
      </c>
    </row>
    <row r="21" spans="1:18"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row>
    <row r="22" spans="1:18" ht="14.25" customHeight="1">
      <c r="A22" s="125">
        <v>103.03</v>
      </c>
      <c r="B22" s="9">
        <v>1.5</v>
      </c>
      <c r="C22" s="7" t="s">
        <v>1755</v>
      </c>
      <c r="D22" s="183">
        <v>2000</v>
      </c>
      <c r="E22" s="7">
        <v>0.06</v>
      </c>
    </row>
    <row r="23" spans="1:18" ht="14.25" customHeight="1">
      <c r="A23" s="125">
        <v>103.04</v>
      </c>
      <c r="B23" s="9">
        <v>1</v>
      </c>
      <c r="C23" s="211" t="s">
        <v>2886</v>
      </c>
      <c r="D23" s="183">
        <v>2000</v>
      </c>
      <c r="E23" s="7">
        <v>0.08</v>
      </c>
      <c r="G23" s="211" t="s">
        <v>2886</v>
      </c>
    </row>
    <row r="24" spans="1:18" ht="14.25" customHeight="1">
      <c r="A24" s="125">
        <v>103.05</v>
      </c>
      <c r="B24" s="9">
        <v>1.8</v>
      </c>
      <c r="C24" s="7" t="s">
        <v>2887</v>
      </c>
      <c r="D24" s="183">
        <v>2000</v>
      </c>
      <c r="E24" s="7">
        <v>0.08</v>
      </c>
      <c r="R24" s="4"/>
    </row>
    <row r="25" spans="1:18" ht="14.25" customHeight="1">
      <c r="A25" s="125" t="s">
        <v>4093</v>
      </c>
      <c r="B25" s="9">
        <v>2.5</v>
      </c>
      <c r="C25" s="7" t="s">
        <v>2888</v>
      </c>
      <c r="D25" s="183">
        <v>2000</v>
      </c>
      <c r="E25" s="7">
        <v>0.08</v>
      </c>
    </row>
    <row r="26" spans="1:18" ht="14.25" customHeight="1">
      <c r="A26" s="103">
        <v>103.07</v>
      </c>
      <c r="B26" s="9">
        <v>1.7</v>
      </c>
      <c r="C26" s="55" t="s">
        <v>6033</v>
      </c>
      <c r="D26" s="183">
        <v>2000</v>
      </c>
      <c r="E26" s="7">
        <v>0.08</v>
      </c>
    </row>
    <row r="27" spans="1:18" ht="14.25" customHeight="1">
      <c r="A27" s="110">
        <v>103.09</v>
      </c>
      <c r="B27" s="9">
        <v>1.4</v>
      </c>
      <c r="C27" s="55" t="s">
        <v>6034</v>
      </c>
      <c r="D27" s="184">
        <v>1000</v>
      </c>
      <c r="E27" s="6">
        <v>0.05</v>
      </c>
    </row>
    <row r="28" spans="1:18" s="4" customFormat="1" ht="14.25" customHeight="1">
      <c r="A28" s="113" t="s">
        <v>4087</v>
      </c>
      <c r="B28" s="9">
        <v>1.6</v>
      </c>
      <c r="C28" s="211" t="s">
        <v>6038</v>
      </c>
      <c r="D28" s="184">
        <v>500</v>
      </c>
      <c r="E28" s="6">
        <v>0.05</v>
      </c>
      <c r="F28" s="7"/>
      <c r="G28" s="211" t="s">
        <v>6038</v>
      </c>
      <c r="H28" s="7"/>
      <c r="I28" s="7"/>
      <c r="J28" s="7"/>
      <c r="K28" s="7"/>
      <c r="L28" s="7"/>
      <c r="M28" s="7"/>
      <c r="N28" s="7"/>
      <c r="O28" s="7"/>
      <c r="P28" s="7"/>
      <c r="Q28" s="7"/>
    </row>
    <row r="29" spans="1:18" ht="14.25" customHeight="1">
      <c r="A29" s="113" t="s">
        <v>2967</v>
      </c>
      <c r="B29" s="9">
        <f>3.5/2</f>
        <v>1.75</v>
      </c>
      <c r="C29" s="1" t="s">
        <v>1788</v>
      </c>
      <c r="D29" s="184">
        <v>500</v>
      </c>
      <c r="E29" s="6">
        <v>0.06</v>
      </c>
    </row>
    <row r="30" spans="1:18" ht="14.25" customHeight="1">
      <c r="A30" s="113" t="s">
        <v>2968</v>
      </c>
      <c r="B30" s="9">
        <v>2.1</v>
      </c>
      <c r="C30" s="1" t="s">
        <v>1776</v>
      </c>
      <c r="D30" s="184">
        <v>500</v>
      </c>
      <c r="E30" s="6">
        <v>0.06</v>
      </c>
    </row>
    <row r="31" spans="1:18" ht="14.25" customHeight="1">
      <c r="A31" s="113" t="s">
        <v>2969</v>
      </c>
      <c r="B31" s="9">
        <f>4.5/2</f>
        <v>2.25</v>
      </c>
      <c r="C31" s="1" t="s">
        <v>1775</v>
      </c>
      <c r="D31" s="184">
        <v>500</v>
      </c>
      <c r="E31" s="6">
        <v>0.06</v>
      </c>
    </row>
    <row r="32" spans="1:18" ht="14.25" customHeight="1">
      <c r="A32" s="113" t="s">
        <v>2970</v>
      </c>
      <c r="B32" s="9">
        <v>3.1</v>
      </c>
      <c r="C32" s="1" t="s">
        <v>1782</v>
      </c>
      <c r="D32" s="184">
        <v>500</v>
      </c>
      <c r="E32" s="6">
        <v>7.0000000000000007E-2</v>
      </c>
    </row>
    <row r="33" spans="1:18" ht="14.25" customHeight="1">
      <c r="A33" s="113" t="s">
        <v>2971</v>
      </c>
      <c r="B33" s="9">
        <v>3.9</v>
      </c>
      <c r="C33" s="1" t="s">
        <v>1785</v>
      </c>
      <c r="D33" s="184">
        <v>500</v>
      </c>
      <c r="E33" s="6">
        <v>0.1</v>
      </c>
    </row>
    <row r="34" spans="1:18" ht="14.25" customHeight="1">
      <c r="A34" s="113" t="s">
        <v>2972</v>
      </c>
      <c r="B34" s="9">
        <v>2.5</v>
      </c>
      <c r="C34" s="1" t="s">
        <v>1789</v>
      </c>
      <c r="D34" s="184">
        <v>500</v>
      </c>
      <c r="E34" s="6">
        <v>7.0000000000000007E-2</v>
      </c>
      <c r="R34" s="4"/>
    </row>
    <row r="35" spans="1:18" ht="14.25" customHeight="1">
      <c r="A35" s="113" t="s">
        <v>4101</v>
      </c>
      <c r="B35" s="9">
        <v>3.4</v>
      </c>
      <c r="C35" s="1" t="s">
        <v>1787</v>
      </c>
      <c r="D35" s="184">
        <v>500</v>
      </c>
      <c r="E35" s="6">
        <v>0.08</v>
      </c>
    </row>
    <row r="36" spans="1:18" ht="14.25" customHeight="1">
      <c r="A36" s="113" t="s">
        <v>2973</v>
      </c>
      <c r="B36" s="9">
        <v>4.7</v>
      </c>
      <c r="C36" s="1" t="s">
        <v>1784</v>
      </c>
      <c r="D36" s="184">
        <v>500</v>
      </c>
      <c r="E36" s="6">
        <v>0.12</v>
      </c>
    </row>
    <row r="37" spans="1:18" ht="14.25" customHeight="1">
      <c r="A37" s="113" t="s">
        <v>4100</v>
      </c>
      <c r="B37" s="9">
        <v>6.3</v>
      </c>
      <c r="C37" s="1" t="s">
        <v>1778</v>
      </c>
      <c r="D37" s="184">
        <v>50</v>
      </c>
      <c r="E37" s="6">
        <v>0.15</v>
      </c>
    </row>
    <row r="38" spans="1:18" ht="14.25" customHeight="1">
      <c r="A38" s="113" t="s">
        <v>2974</v>
      </c>
      <c r="B38" s="9">
        <v>6.2</v>
      </c>
      <c r="C38" s="1" t="s">
        <v>1777</v>
      </c>
      <c r="D38" s="184">
        <v>50</v>
      </c>
      <c r="E38" s="6">
        <v>0.18</v>
      </c>
    </row>
    <row r="39" spans="1:18" ht="14.25" customHeight="1">
      <c r="A39" s="113" t="s">
        <v>4086</v>
      </c>
      <c r="B39" s="9">
        <v>6.6</v>
      </c>
      <c r="C39" s="1" t="s">
        <v>1781</v>
      </c>
      <c r="D39" s="184">
        <v>50</v>
      </c>
      <c r="E39" s="6">
        <v>0.2</v>
      </c>
    </row>
    <row r="40" spans="1:18" ht="14.25" customHeight="1">
      <c r="A40" s="113" t="s">
        <v>2975</v>
      </c>
      <c r="B40" s="9">
        <v>8.4</v>
      </c>
      <c r="C40" s="1" t="s">
        <v>1779</v>
      </c>
      <c r="D40" s="184">
        <v>50</v>
      </c>
      <c r="E40" s="6">
        <v>0.24</v>
      </c>
    </row>
    <row r="41" spans="1:18" ht="14.25" customHeight="1">
      <c r="A41" s="113" t="s">
        <v>2976</v>
      </c>
      <c r="B41" s="9">
        <v>11</v>
      </c>
      <c r="C41" s="1" t="s">
        <v>1774</v>
      </c>
      <c r="D41" s="184">
        <v>50</v>
      </c>
      <c r="E41" s="6">
        <v>0.26</v>
      </c>
      <c r="R41" s="4"/>
    </row>
    <row r="42" spans="1:18" ht="14.25" customHeight="1">
      <c r="A42" s="113" t="s">
        <v>4092</v>
      </c>
      <c r="B42" s="9">
        <v>12</v>
      </c>
      <c r="C42" s="1" t="s">
        <v>1780</v>
      </c>
      <c r="D42" s="184">
        <v>50</v>
      </c>
      <c r="E42" s="6">
        <v>0.32</v>
      </c>
    </row>
    <row r="43" spans="1:18" ht="14.25" customHeight="1">
      <c r="A43" s="112">
        <v>104.01</v>
      </c>
      <c r="B43" s="9">
        <v>2.5</v>
      </c>
      <c r="C43" s="211" t="s">
        <v>2981</v>
      </c>
      <c r="D43" s="184">
        <v>100</v>
      </c>
      <c r="E43" s="6">
        <v>0.08</v>
      </c>
      <c r="G43" s="211" t="s">
        <v>2981</v>
      </c>
    </row>
    <row r="44" spans="1:18" ht="14.25" customHeight="1">
      <c r="A44" s="112">
        <v>104.02</v>
      </c>
      <c r="B44" s="9">
        <v>3.1</v>
      </c>
      <c r="C44" s="1" t="s">
        <v>2982</v>
      </c>
      <c r="D44" s="184">
        <v>100</v>
      </c>
      <c r="E44" s="6">
        <v>0.13</v>
      </c>
    </row>
    <row r="45" spans="1:18" ht="14.25" customHeight="1">
      <c r="A45" s="112">
        <v>104.03</v>
      </c>
      <c r="B45" s="9">
        <v>5.8</v>
      </c>
      <c r="C45" s="1" t="s">
        <v>2983</v>
      </c>
      <c r="D45" s="184">
        <v>100</v>
      </c>
      <c r="E45" s="6">
        <v>0.12</v>
      </c>
    </row>
    <row r="46" spans="1:18" ht="14.25" customHeight="1">
      <c r="A46" s="112">
        <v>104.04</v>
      </c>
      <c r="B46" s="9">
        <v>7.5</v>
      </c>
      <c r="C46" s="1" t="s">
        <v>2984</v>
      </c>
      <c r="D46" s="184">
        <v>100</v>
      </c>
      <c r="E46" s="6">
        <v>0.14000000000000001</v>
      </c>
    </row>
    <row r="47" spans="1:18" ht="14.25" customHeight="1">
      <c r="A47" s="112">
        <v>104.05</v>
      </c>
      <c r="B47" s="9">
        <f>49.7-41</f>
        <v>8.7000000000000028</v>
      </c>
      <c r="C47" s="1" t="s">
        <v>2985</v>
      </c>
      <c r="D47" s="184">
        <v>100</v>
      </c>
      <c r="E47" s="6">
        <v>0.19</v>
      </c>
      <c r="R47" s="4"/>
    </row>
    <row r="48" spans="1:18" ht="14.25" customHeight="1">
      <c r="A48" s="112">
        <v>104.06</v>
      </c>
      <c r="B48" s="9">
        <v>9.6</v>
      </c>
      <c r="C48" s="1" t="s">
        <v>2986</v>
      </c>
      <c r="D48" s="184">
        <v>100</v>
      </c>
      <c r="E48" s="6">
        <v>0.22</v>
      </c>
    </row>
    <row r="49" spans="1:7" ht="14.25" customHeight="1">
      <c r="A49" s="112">
        <v>104.07</v>
      </c>
      <c r="B49" s="9">
        <v>11.3</v>
      </c>
      <c r="C49" s="1" t="s">
        <v>2987</v>
      </c>
      <c r="D49" s="184">
        <v>100</v>
      </c>
      <c r="E49" s="6">
        <v>0.33</v>
      </c>
    </row>
    <row r="50" spans="1:7" ht="14.25" customHeight="1">
      <c r="A50" s="112">
        <v>104.08</v>
      </c>
      <c r="B50" s="9">
        <v>20.7</v>
      </c>
      <c r="C50" s="1" t="s">
        <v>2988</v>
      </c>
      <c r="D50" s="184">
        <v>100</v>
      </c>
      <c r="E50" s="6">
        <v>0.47</v>
      </c>
    </row>
    <row r="51" spans="1:7" ht="14.25" customHeight="1">
      <c r="A51" s="112">
        <v>104.09</v>
      </c>
      <c r="B51" s="9">
        <v>37</v>
      </c>
      <c r="C51" s="1" t="s">
        <v>2989</v>
      </c>
      <c r="D51" s="184">
        <v>50</v>
      </c>
      <c r="E51" s="6">
        <v>0.75</v>
      </c>
    </row>
    <row r="52" spans="1:7" ht="14.25" customHeight="1">
      <c r="A52" s="114" t="s">
        <v>2990</v>
      </c>
      <c r="B52" s="9">
        <v>46.6</v>
      </c>
      <c r="C52" s="1" t="s">
        <v>2991</v>
      </c>
      <c r="D52" s="184">
        <v>50</v>
      </c>
      <c r="E52" s="6">
        <v>0.96</v>
      </c>
    </row>
    <row r="53" spans="1:7" ht="14.25" customHeight="1">
      <c r="A53" s="112" t="s">
        <v>5977</v>
      </c>
      <c r="B53" s="9">
        <f>70/1000</f>
        <v>7.0000000000000007E-2</v>
      </c>
      <c r="C53" s="211" t="s">
        <v>1702</v>
      </c>
      <c r="D53" s="183">
        <f>10*1000</f>
        <v>10000</v>
      </c>
      <c r="E53" s="104">
        <f>6/1000</f>
        <v>6.0000000000000001E-3</v>
      </c>
      <c r="G53" s="211" t="s">
        <v>1702</v>
      </c>
    </row>
    <row r="54" spans="1:7" ht="14.25" customHeight="1">
      <c r="A54" s="112">
        <v>105.02</v>
      </c>
      <c r="B54" s="107">
        <f>118/1000</f>
        <v>0.11799999999999999</v>
      </c>
      <c r="C54" s="7" t="s">
        <v>1701</v>
      </c>
      <c r="D54" s="183">
        <f>10*1000</f>
        <v>10000</v>
      </c>
      <c r="E54" s="104">
        <f>7/1000</f>
        <v>7.0000000000000001E-3</v>
      </c>
    </row>
    <row r="55" spans="1:7" ht="14.25" customHeight="1">
      <c r="A55" s="112">
        <v>105.03</v>
      </c>
      <c r="B55" s="107">
        <f>282/2000</f>
        <v>0.14099999999999999</v>
      </c>
      <c r="C55" s="7" t="s">
        <v>1706</v>
      </c>
      <c r="D55" s="183">
        <f>2*1000</f>
        <v>2000</v>
      </c>
      <c r="E55" s="104">
        <f>9/1000</f>
        <v>8.9999999999999993E-3</v>
      </c>
    </row>
    <row r="56" spans="1:7" ht="14.25" customHeight="1">
      <c r="A56" s="112">
        <v>105.04</v>
      </c>
      <c r="B56" s="107">
        <f>466/1000</f>
        <v>0.46600000000000003</v>
      </c>
      <c r="C56" s="7" t="s">
        <v>1705</v>
      </c>
      <c r="D56" s="183">
        <f>15*100</f>
        <v>1500</v>
      </c>
      <c r="E56" s="104">
        <f>2/100</f>
        <v>0.02</v>
      </c>
    </row>
    <row r="57" spans="1:7" ht="14.25" customHeight="1">
      <c r="A57" s="112">
        <v>105.05</v>
      </c>
      <c r="B57" s="107">
        <f>290/1000</f>
        <v>0.28999999999999998</v>
      </c>
      <c r="C57" s="7" t="s">
        <v>1703</v>
      </c>
      <c r="D57" s="183">
        <f>15*100</f>
        <v>1500</v>
      </c>
      <c r="E57" s="104">
        <f>2.5/100</f>
        <v>2.5000000000000001E-2</v>
      </c>
    </row>
    <row r="58" spans="1:7" ht="14.25" customHeight="1">
      <c r="A58" s="112">
        <v>105.06</v>
      </c>
      <c r="B58" s="107">
        <f>360/1000</f>
        <v>0.36</v>
      </c>
      <c r="C58" s="7" t="s">
        <v>1704</v>
      </c>
      <c r="D58" s="183">
        <f>10*100</f>
        <v>1000</v>
      </c>
      <c r="E58" s="104">
        <f>1.5/100</f>
        <v>1.4999999999999999E-2</v>
      </c>
    </row>
    <row r="59" spans="1:7" ht="14.25" customHeight="1">
      <c r="A59" s="112">
        <v>105.07</v>
      </c>
      <c r="B59" s="107">
        <f>169.4-41.1</f>
        <v>128.30000000000001</v>
      </c>
      <c r="C59" s="7" t="s">
        <v>1724</v>
      </c>
      <c r="D59" s="183">
        <f>10*200</f>
        <v>2000</v>
      </c>
      <c r="E59" s="106">
        <f>3.95/200</f>
        <v>1.975E-2</v>
      </c>
    </row>
    <row r="60" spans="1:7" ht="14.25" customHeight="1">
      <c r="A60" s="116" t="s">
        <v>2755</v>
      </c>
      <c r="B60" s="107">
        <v>0.24</v>
      </c>
      <c r="C60" s="7" t="s">
        <v>1684</v>
      </c>
      <c r="D60" s="183">
        <f>50*100</f>
        <v>5000</v>
      </c>
      <c r="E60" s="104">
        <f>0.77/100</f>
        <v>7.7000000000000002E-3</v>
      </c>
    </row>
    <row r="61" spans="1:7" ht="14.25" customHeight="1">
      <c r="A61" s="116">
        <v>105.09</v>
      </c>
      <c r="B61" s="107">
        <v>0.432</v>
      </c>
      <c r="C61" s="7" t="s">
        <v>1691</v>
      </c>
      <c r="D61" s="183">
        <f>50*100</f>
        <v>5000</v>
      </c>
      <c r="E61" s="104">
        <f>1.05/100</f>
        <v>1.0500000000000001E-2</v>
      </c>
    </row>
    <row r="62" spans="1:7" ht="14.25" customHeight="1">
      <c r="A62" s="117" t="s">
        <v>2943</v>
      </c>
      <c r="B62" s="107">
        <v>0.624</v>
      </c>
      <c r="C62" s="7" t="s">
        <v>1686</v>
      </c>
      <c r="D62" s="183">
        <f>30*100</f>
        <v>3000</v>
      </c>
      <c r="E62" s="104">
        <f>1.41/100</f>
        <v>1.41E-2</v>
      </c>
    </row>
    <row r="63" spans="1:7" ht="14.25" customHeight="1">
      <c r="A63" s="117" t="s">
        <v>2944</v>
      </c>
      <c r="B63" s="122">
        <f>313/500</f>
        <v>0.626</v>
      </c>
      <c r="C63" s="7" t="s">
        <v>1689</v>
      </c>
      <c r="D63" s="183">
        <f>50*100</f>
        <v>5000</v>
      </c>
      <c r="E63" s="104">
        <f>1.45/100</f>
        <v>1.4499999999999999E-2</v>
      </c>
    </row>
    <row r="64" spans="1:7" ht="14.25" customHeight="1">
      <c r="A64" s="117" t="s">
        <v>2945</v>
      </c>
      <c r="B64" s="122">
        <f>5.7/5</f>
        <v>1.1400000000000001</v>
      </c>
      <c r="C64" s="7" t="s">
        <v>1695</v>
      </c>
      <c r="D64" s="183">
        <f>30*100</f>
        <v>3000</v>
      </c>
      <c r="E64" s="104">
        <f>2.09/100</f>
        <v>2.0899999999999998E-2</v>
      </c>
    </row>
    <row r="65" spans="1:18" ht="14.25" customHeight="1">
      <c r="A65" s="117" t="s">
        <v>2946</v>
      </c>
      <c r="B65" s="122">
        <f>6/5</f>
        <v>1.2</v>
      </c>
      <c r="C65" s="1" t="s">
        <v>1699</v>
      </c>
      <c r="D65" s="183">
        <f>10*100-22</f>
        <v>978</v>
      </c>
      <c r="E65" s="104">
        <f>2.44/100</f>
        <v>2.4399999999999998E-2</v>
      </c>
    </row>
    <row r="66" spans="1:18" ht="14.25" customHeight="1">
      <c r="A66" s="117" t="s">
        <v>2947</v>
      </c>
      <c r="B66" s="107">
        <v>1.51</v>
      </c>
      <c r="C66" s="211" t="s">
        <v>1692</v>
      </c>
      <c r="D66" s="183">
        <f>7*100</f>
        <v>700</v>
      </c>
      <c r="E66" s="104">
        <f>2.94/100</f>
        <v>2.9399999999999999E-2</v>
      </c>
      <c r="G66" s="211" t="s">
        <v>1692</v>
      </c>
    </row>
    <row r="67" spans="1:18" ht="14.25" customHeight="1">
      <c r="A67" s="117" t="s">
        <v>2948</v>
      </c>
      <c r="B67" s="122">
        <f>18.1/10</f>
        <v>1.81</v>
      </c>
      <c r="C67" s="7" t="s">
        <v>1685</v>
      </c>
      <c r="D67" s="184">
        <f>20*100-30</f>
        <v>1970</v>
      </c>
      <c r="E67" s="105">
        <f>3.39/100/1970*2000</f>
        <v>3.4416243654822334E-2</v>
      </c>
    </row>
    <row r="68" spans="1:18" ht="14.25" customHeight="1">
      <c r="A68" s="117" t="s">
        <v>2949</v>
      </c>
      <c r="B68" s="107">
        <v>2.3519999999999999</v>
      </c>
      <c r="C68" s="7" t="s">
        <v>1693</v>
      </c>
      <c r="D68" s="183">
        <f>5*100</f>
        <v>500</v>
      </c>
      <c r="E68" s="104">
        <f>4.25/100</f>
        <v>4.2500000000000003E-2</v>
      </c>
    </row>
    <row r="69" spans="1:18" ht="14.25" customHeight="1">
      <c r="A69" s="117" t="s">
        <v>3124</v>
      </c>
      <c r="B69" s="107">
        <v>2.16</v>
      </c>
      <c r="C69" s="7" t="s">
        <v>1698</v>
      </c>
      <c r="D69" s="183">
        <f>10*100</f>
        <v>1000</v>
      </c>
      <c r="E69" s="104">
        <f>3.97/100</f>
        <v>3.9699999999999999E-2</v>
      </c>
    </row>
    <row r="70" spans="1:18" ht="14.25" customHeight="1">
      <c r="A70" s="117" t="s">
        <v>2950</v>
      </c>
      <c r="B70" s="107">
        <v>3.5640000000000001</v>
      </c>
      <c r="C70" s="7" t="s">
        <v>1697</v>
      </c>
      <c r="D70" s="183">
        <f>4*100</f>
        <v>400</v>
      </c>
      <c r="E70" s="104">
        <f>6.16/100</f>
        <v>6.1600000000000002E-2</v>
      </c>
    </row>
    <row r="71" spans="1:18" ht="14.25" customHeight="1">
      <c r="A71" s="117" t="s">
        <v>2951</v>
      </c>
      <c r="B71" s="107">
        <v>3.6</v>
      </c>
      <c r="C71" s="7" t="s">
        <v>1690</v>
      </c>
      <c r="D71" s="183">
        <f>4*100</f>
        <v>400</v>
      </c>
      <c r="E71" s="104">
        <f>6.02/100</f>
        <v>6.0199999999999997E-2</v>
      </c>
    </row>
    <row r="72" spans="1:18" ht="14.25" customHeight="1">
      <c r="A72" s="117" t="s">
        <v>2952</v>
      </c>
      <c r="B72" s="107">
        <v>4.08</v>
      </c>
      <c r="C72" s="7" t="s">
        <v>1696</v>
      </c>
      <c r="D72" s="183">
        <f>3*100</f>
        <v>300</v>
      </c>
      <c r="E72" s="104">
        <f>6.77/100</f>
        <v>6.7699999999999996E-2</v>
      </c>
    </row>
    <row r="73" spans="1:18" ht="14.25" customHeight="1">
      <c r="A73" s="117" t="s">
        <v>2953</v>
      </c>
      <c r="B73" s="107">
        <v>4.968</v>
      </c>
      <c r="C73" s="7" t="s">
        <v>1683</v>
      </c>
      <c r="D73" s="183">
        <f>3*100</f>
        <v>300</v>
      </c>
      <c r="E73" s="104">
        <f>8.4/100</f>
        <v>8.4000000000000005E-2</v>
      </c>
    </row>
    <row r="74" spans="1:18" ht="14.25" customHeight="1">
      <c r="A74" s="117" t="s">
        <v>2954</v>
      </c>
      <c r="B74" s="122">
        <f>25.8/5</f>
        <v>5.16</v>
      </c>
      <c r="C74" s="7" t="s">
        <v>1694</v>
      </c>
      <c r="D74" s="183">
        <f>3*100</f>
        <v>300</v>
      </c>
      <c r="E74" s="104">
        <f>8.9/100</f>
        <v>8.900000000000001E-2</v>
      </c>
    </row>
    <row r="75" spans="1:18" ht="14.25" customHeight="1">
      <c r="A75" s="117" t="s">
        <v>2955</v>
      </c>
      <c r="B75" s="107">
        <v>7.56</v>
      </c>
      <c r="C75" s="7" t="s">
        <v>1687</v>
      </c>
      <c r="D75" s="183">
        <f>2*100</f>
        <v>200</v>
      </c>
      <c r="E75" s="104">
        <f>12.39/100</f>
        <v>0.12390000000000001</v>
      </c>
    </row>
    <row r="76" spans="1:18" ht="14.25" customHeight="1">
      <c r="A76" s="117" t="s">
        <v>2956</v>
      </c>
      <c r="B76" s="107">
        <v>15.36</v>
      </c>
      <c r="C76" s="7" t="s">
        <v>1688</v>
      </c>
      <c r="D76" s="183">
        <f>1*100</f>
        <v>100</v>
      </c>
      <c r="E76" s="104">
        <f>24.61/100</f>
        <v>0.24609999999999999</v>
      </c>
    </row>
    <row r="77" spans="1:18" ht="14.25" customHeight="1">
      <c r="A77" s="112">
        <v>106.01</v>
      </c>
      <c r="B77" s="107">
        <f>294.7/1000</f>
        <v>0.29469999999999996</v>
      </c>
      <c r="C77" s="211" t="s">
        <v>1717</v>
      </c>
      <c r="D77" s="183">
        <f>20*100</f>
        <v>2000</v>
      </c>
      <c r="E77" s="104">
        <f>0.98/100</f>
        <v>9.7999999999999997E-3</v>
      </c>
      <c r="G77" s="211" t="s">
        <v>1717</v>
      </c>
    </row>
    <row r="78" spans="1:18" ht="14.25" customHeight="1">
      <c r="A78" s="112">
        <v>106.02</v>
      </c>
      <c r="B78" s="107">
        <f>388.3/1000</f>
        <v>0.38830000000000003</v>
      </c>
      <c r="C78" s="7" t="s">
        <v>1713</v>
      </c>
      <c r="D78" s="183">
        <f>20*100</f>
        <v>2000</v>
      </c>
      <c r="E78" s="104">
        <f>0.98/100</f>
        <v>9.7999999999999997E-3</v>
      </c>
    </row>
    <row r="79" spans="1:18" ht="14.25" customHeight="1">
      <c r="A79" s="112">
        <v>106.03</v>
      </c>
      <c r="B79" s="107">
        <f>416.8/1000</f>
        <v>0.4168</v>
      </c>
      <c r="C79" s="7" t="s">
        <v>1709</v>
      </c>
      <c r="D79" s="183">
        <f>8*100</f>
        <v>800</v>
      </c>
      <c r="E79" s="104">
        <f>1.38/100</f>
        <v>1.38E-2</v>
      </c>
    </row>
    <row r="80" spans="1:18"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row>
    <row r="81" spans="1:18" ht="14.25" customHeight="1">
      <c r="A81" s="112">
        <v>106.05</v>
      </c>
      <c r="B81" s="107">
        <f>85.3/100</f>
        <v>0.85299999999999998</v>
      </c>
      <c r="C81" s="211" t="s">
        <v>1708</v>
      </c>
      <c r="D81" s="183">
        <f>10*100</f>
        <v>1000</v>
      </c>
      <c r="E81" s="104">
        <f>1.88/100</f>
        <v>1.8799999999999997E-2</v>
      </c>
      <c r="G81" s="211" t="s">
        <v>1708</v>
      </c>
    </row>
    <row r="82" spans="1:18" ht="14.25" customHeight="1">
      <c r="A82" s="112">
        <v>106.06</v>
      </c>
      <c r="B82" s="107">
        <f>239/200</f>
        <v>1.1950000000000001</v>
      </c>
      <c r="C82" s="7" t="s">
        <v>1714</v>
      </c>
      <c r="D82" s="183">
        <f>10*100</f>
        <v>1000</v>
      </c>
      <c r="E82" s="104">
        <f>2.78/100</f>
        <v>2.7799999999999998E-2</v>
      </c>
    </row>
    <row r="83" spans="1:18" ht="14.25" customHeight="1">
      <c r="A83" s="112">
        <v>106.07</v>
      </c>
      <c r="B83" s="9">
        <f>15.3/10</f>
        <v>1.53</v>
      </c>
      <c r="C83" s="7" t="s">
        <v>1715</v>
      </c>
      <c r="D83" s="183">
        <f>5*100</f>
        <v>500</v>
      </c>
      <c r="E83" s="104">
        <f>3.18/100</f>
        <v>3.1800000000000002E-2</v>
      </c>
    </row>
    <row r="84" spans="1:18" ht="14.25" customHeight="1">
      <c r="A84" s="112">
        <v>106.08</v>
      </c>
      <c r="B84" s="9">
        <f>16.5/10</f>
        <v>1.65</v>
      </c>
      <c r="C84" s="7" t="s">
        <v>1719</v>
      </c>
      <c r="D84" s="183">
        <f>8*100</f>
        <v>800</v>
      </c>
      <c r="E84" s="104">
        <f>3.38/100</f>
        <v>3.3799999999999997E-2</v>
      </c>
    </row>
    <row r="85" spans="1:18" ht="14.25" customHeight="1">
      <c r="A85" s="201" t="s">
        <v>5932</v>
      </c>
      <c r="B85" s="3">
        <f>18.4/10</f>
        <v>1.8399999999999999</v>
      </c>
      <c r="C85" s="7" t="s">
        <v>1720</v>
      </c>
      <c r="D85" s="183">
        <f>3*100</f>
        <v>300</v>
      </c>
      <c r="E85" s="104">
        <f>3.88/100</f>
        <v>3.8800000000000001E-2</v>
      </c>
    </row>
    <row r="86" spans="1:18" ht="14.25" customHeight="1">
      <c r="A86" s="114" t="s">
        <v>2960</v>
      </c>
      <c r="B86" s="107">
        <f>197.6/400</f>
        <v>0.49399999999999999</v>
      </c>
      <c r="C86" s="7" t="s">
        <v>1709</v>
      </c>
      <c r="D86" s="183">
        <f>2*200</f>
        <v>400</v>
      </c>
      <c r="E86" s="104">
        <f>3.6/200</f>
        <v>1.8000000000000002E-2</v>
      </c>
    </row>
    <row r="87" spans="1:18" ht="14.25" customHeight="1">
      <c r="A87" s="112">
        <v>106.11</v>
      </c>
      <c r="B87" s="107">
        <f>208.5/400</f>
        <v>0.52124999999999999</v>
      </c>
      <c r="C87" s="1" t="s">
        <v>1727</v>
      </c>
      <c r="D87" s="183">
        <f>2*200</f>
        <v>400</v>
      </c>
      <c r="E87" s="104">
        <f>3.2/200</f>
        <v>1.6E-2</v>
      </c>
    </row>
    <row r="88" spans="1:18" ht="14.25" customHeight="1">
      <c r="A88" s="112">
        <v>106.12</v>
      </c>
      <c r="B88" s="107">
        <f>257.9/800</f>
        <v>0.32237499999999997</v>
      </c>
      <c r="C88" s="7" t="s">
        <v>1726</v>
      </c>
      <c r="D88" s="183">
        <f>4*200</f>
        <v>800</v>
      </c>
      <c r="E88" s="104">
        <f>2.4/200</f>
        <v>1.2E-2</v>
      </c>
    </row>
    <row r="89" spans="1:18" ht="14.25" customHeight="1">
      <c r="A89" s="112">
        <v>106.13</v>
      </c>
      <c r="B89" s="107">
        <f>311.5/400</f>
        <v>0.77875000000000005</v>
      </c>
      <c r="C89" s="7" t="s">
        <v>1725</v>
      </c>
      <c r="D89" s="183">
        <f>2*200</f>
        <v>400</v>
      </c>
      <c r="E89" s="104">
        <f>4/200</f>
        <v>0.02</v>
      </c>
    </row>
    <row r="90" spans="1:18" ht="14.25" customHeight="1">
      <c r="A90" s="112">
        <v>106.14</v>
      </c>
      <c r="B90" s="107">
        <f>396.2/400</f>
        <v>0.99049999999999994</v>
      </c>
      <c r="C90" s="7" t="s">
        <v>2343</v>
      </c>
      <c r="D90" s="183">
        <f>2*200</f>
        <v>400</v>
      </c>
      <c r="E90" s="104">
        <f>5/200</f>
        <v>2.5000000000000001E-2</v>
      </c>
    </row>
    <row r="91" spans="1:18" ht="14.25" customHeight="1">
      <c r="A91" s="112">
        <v>106.15</v>
      </c>
      <c r="B91" s="107">
        <f>358.5/400</f>
        <v>0.89624999999999999</v>
      </c>
      <c r="C91" s="1" t="s">
        <v>1728</v>
      </c>
      <c r="D91" s="183">
        <f>2*200</f>
        <v>400</v>
      </c>
      <c r="E91" s="104">
        <f>4.5/200</f>
        <v>2.2499999999999999E-2</v>
      </c>
    </row>
    <row r="92" spans="1:18" ht="14.25" customHeight="1">
      <c r="A92" s="112">
        <v>106.16</v>
      </c>
      <c r="B92" s="107">
        <f>260/2000</f>
        <v>0.13</v>
      </c>
      <c r="C92" s="1" t="s">
        <v>1731</v>
      </c>
      <c r="D92" s="184">
        <f>20*100</f>
        <v>2000</v>
      </c>
      <c r="E92" s="25">
        <f>0.7/100</f>
        <v>6.9999999999999993E-3</v>
      </c>
    </row>
    <row r="93" spans="1:18" ht="14.25" customHeight="1">
      <c r="A93" s="112">
        <v>106.17</v>
      </c>
      <c r="B93" s="107">
        <f>170.5/2000</f>
        <v>8.5250000000000006E-2</v>
      </c>
      <c r="C93" s="1" t="s">
        <v>2344</v>
      </c>
      <c r="D93" s="184">
        <f>10*100</f>
        <v>1000</v>
      </c>
      <c r="E93" s="25">
        <f>0.8/100</f>
        <v>8.0000000000000002E-3</v>
      </c>
    </row>
    <row r="94" spans="1:18" ht="14.25" customHeight="1">
      <c r="A94" s="112">
        <v>106.18</v>
      </c>
      <c r="B94" s="107">
        <f>445/1000</f>
        <v>0.44500000000000001</v>
      </c>
      <c r="C94" s="1" t="s">
        <v>1732</v>
      </c>
      <c r="D94" s="184">
        <f>10*100</f>
        <v>1000</v>
      </c>
      <c r="E94" s="25">
        <f>1.1/100</f>
        <v>1.1000000000000001E-2</v>
      </c>
    </row>
    <row r="95" spans="1:18" s="4" customFormat="1" ht="14.25" customHeight="1">
      <c r="A95" s="112">
        <v>106.19</v>
      </c>
      <c r="B95" s="9">
        <f>3.4/5</f>
        <v>0.67999999999999994</v>
      </c>
      <c r="C95" s="1" t="s">
        <v>1733</v>
      </c>
      <c r="D95" s="184">
        <f>10*100</f>
        <v>1000</v>
      </c>
      <c r="E95" s="25">
        <f>1.5/100</f>
        <v>1.4999999999999999E-2</v>
      </c>
      <c r="F95" s="7"/>
      <c r="G95" s="7"/>
      <c r="H95" s="7"/>
      <c r="I95" s="7"/>
      <c r="J95" s="7"/>
      <c r="K95" s="7"/>
      <c r="L95" s="7"/>
      <c r="M95" s="7"/>
      <c r="N95" s="7"/>
      <c r="O95" s="7"/>
      <c r="P95" s="7"/>
      <c r="Q95" s="7"/>
      <c r="R95" s="7"/>
    </row>
    <row r="96" spans="1:18" ht="14.25" customHeight="1">
      <c r="A96" s="114" t="s">
        <v>2962</v>
      </c>
      <c r="B96" s="9">
        <f>43.4-41.1</f>
        <v>2.2999999999999972</v>
      </c>
      <c r="C96" s="1" t="s">
        <v>1734</v>
      </c>
      <c r="D96" s="184">
        <f>2*100</f>
        <v>200</v>
      </c>
      <c r="E96" s="25">
        <f>4.7/100</f>
        <v>4.7E-2</v>
      </c>
    </row>
    <row r="97" spans="1:18" s="4" customFormat="1" ht="14.25" customHeight="1">
      <c r="A97" s="112">
        <v>106.21</v>
      </c>
      <c r="B97" s="9">
        <f>44.2-41.1</f>
        <v>3.1000000000000014</v>
      </c>
      <c r="C97" s="1" t="s">
        <v>1735</v>
      </c>
      <c r="D97" s="184">
        <f>2*100</f>
        <v>200</v>
      </c>
      <c r="E97" s="25">
        <f>6/100</f>
        <v>0.06</v>
      </c>
      <c r="F97" s="7"/>
      <c r="G97" s="7"/>
      <c r="H97" s="7"/>
      <c r="I97" s="7"/>
      <c r="J97" s="7"/>
      <c r="K97" s="7"/>
      <c r="L97" s="7"/>
      <c r="M97" s="7"/>
      <c r="N97" s="7"/>
      <c r="O97" s="7"/>
      <c r="P97" s="7"/>
      <c r="Q97" s="7"/>
      <c r="R97" s="7"/>
    </row>
    <row r="98" spans="1:18" ht="14.25" customHeight="1">
      <c r="A98" s="112">
        <v>106.22</v>
      </c>
      <c r="B98" s="9">
        <f>44.9-41.1</f>
        <v>3.7999999999999972</v>
      </c>
      <c r="C98" s="1" t="s">
        <v>1736</v>
      </c>
      <c r="D98" s="184">
        <f>2*100</f>
        <v>200</v>
      </c>
      <c r="E98" s="25">
        <f>7.7/100</f>
        <v>7.6999999999999999E-2</v>
      </c>
    </row>
    <row r="99" spans="1:18" ht="14.25" customHeight="1">
      <c r="A99" s="112">
        <v>107.01</v>
      </c>
      <c r="B99" s="107">
        <f>3.4/100</f>
        <v>3.4000000000000002E-2</v>
      </c>
      <c r="C99" s="211" t="s">
        <v>1772</v>
      </c>
      <c r="D99" s="184">
        <v>5000</v>
      </c>
      <c r="E99" s="105">
        <f>0.78/100</f>
        <v>7.8000000000000005E-3</v>
      </c>
      <c r="G99" s="211" t="s">
        <v>1772</v>
      </c>
    </row>
    <row r="100" spans="1:18" ht="14.25" customHeight="1">
      <c r="A100" s="110" t="s">
        <v>2756</v>
      </c>
      <c r="B100" s="9">
        <f>51/100</f>
        <v>0.51</v>
      </c>
      <c r="C100" s="1" t="s">
        <v>3995</v>
      </c>
      <c r="D100" s="184">
        <v>50000</v>
      </c>
      <c r="E100" s="25">
        <f>0.014</f>
        <v>1.4E-2</v>
      </c>
    </row>
    <row r="101" spans="1:18" ht="14.25" customHeight="1">
      <c r="A101" s="110" t="s">
        <v>3286</v>
      </c>
      <c r="B101" s="107">
        <f>132.6/100</f>
        <v>1.3259999999999998</v>
      </c>
      <c r="C101" s="1" t="s">
        <v>3996</v>
      </c>
      <c r="D101" s="184">
        <v>30000</v>
      </c>
      <c r="E101" s="25">
        <f>0.027</f>
        <v>2.7E-2</v>
      </c>
    </row>
    <row r="102" spans="1:18" s="4" customFormat="1" ht="14.25" customHeight="1">
      <c r="A102" s="116" t="s">
        <v>2801</v>
      </c>
      <c r="B102" s="107">
        <f>27.8/100</f>
        <v>0.27800000000000002</v>
      </c>
      <c r="C102" s="1" t="s">
        <v>1765</v>
      </c>
      <c r="D102" s="184">
        <f>50*100+100</f>
        <v>5100</v>
      </c>
      <c r="E102" s="25">
        <f>0.65/100</f>
        <v>6.5000000000000006E-3</v>
      </c>
      <c r="F102" s="7"/>
      <c r="G102" s="7"/>
      <c r="H102" s="7"/>
      <c r="I102" s="7"/>
      <c r="J102" s="7"/>
      <c r="K102" s="7"/>
      <c r="L102" s="7"/>
      <c r="M102" s="7"/>
      <c r="N102" s="7"/>
      <c r="O102" s="7"/>
      <c r="P102" s="7"/>
      <c r="Q102" s="7"/>
      <c r="R102" s="7"/>
    </row>
    <row r="103" spans="1:18" ht="14.25" customHeight="1">
      <c r="A103" s="116" t="s">
        <v>2802</v>
      </c>
      <c r="B103" s="107">
        <f>36.5/100</f>
        <v>0.36499999999999999</v>
      </c>
      <c r="C103" s="1" t="s">
        <v>1764</v>
      </c>
      <c r="D103" s="184">
        <f>100*100+100</f>
        <v>10100</v>
      </c>
      <c r="E103" s="25">
        <f>1/100</f>
        <v>0.01</v>
      </c>
    </row>
    <row r="104" spans="1:18" ht="14.25" customHeight="1">
      <c r="A104" s="116" t="s">
        <v>2803</v>
      </c>
      <c r="B104" s="107">
        <f>98.6/100</f>
        <v>0.98599999999999999</v>
      </c>
      <c r="C104" s="1" t="s">
        <v>1763</v>
      </c>
      <c r="D104" s="184">
        <f>100*100+100</f>
        <v>10100</v>
      </c>
      <c r="E104" s="25">
        <f>2.2/100</f>
        <v>2.2000000000000002E-2</v>
      </c>
    </row>
    <row r="105" spans="1:18" ht="14.25" customHeight="1">
      <c r="A105" s="116" t="s">
        <v>2804</v>
      </c>
      <c r="B105" s="107">
        <f>172.7/100</f>
        <v>1.7269999999999999</v>
      </c>
      <c r="C105" s="1" t="s">
        <v>1758</v>
      </c>
      <c r="D105" s="184">
        <f>5*100+100</f>
        <v>600</v>
      </c>
      <c r="E105" s="25">
        <f>4.62/100</f>
        <v>4.6199999999999998E-2</v>
      </c>
    </row>
    <row r="106" spans="1:18" ht="14.25" customHeight="1">
      <c r="A106" s="125" t="s">
        <v>2805</v>
      </c>
      <c r="B106" s="107">
        <v>2.1</v>
      </c>
      <c r="C106" s="211" t="s">
        <v>1762</v>
      </c>
      <c r="D106" s="184">
        <f>50*100+400+200</f>
        <v>5600</v>
      </c>
      <c r="E106" s="25">
        <f>3/100</f>
        <v>0.03</v>
      </c>
      <c r="G106" s="211" t="s">
        <v>1762</v>
      </c>
    </row>
    <row r="107" spans="1:18" ht="14.25" customHeight="1">
      <c r="A107" s="116" t="s">
        <v>2806</v>
      </c>
      <c r="B107" s="107">
        <f>227/100</f>
        <v>2.27</v>
      </c>
      <c r="C107" s="1" t="s">
        <v>1760</v>
      </c>
      <c r="D107" s="184">
        <f>50*100+100</f>
        <v>5100</v>
      </c>
      <c r="E107" s="25">
        <f>4/100</f>
        <v>0.04</v>
      </c>
    </row>
    <row r="108" spans="1:18" ht="14.25" customHeight="1">
      <c r="A108" s="114" t="s">
        <v>2994</v>
      </c>
      <c r="B108" s="9">
        <f>37.1/10</f>
        <v>3.71</v>
      </c>
      <c r="C108" s="1" t="s">
        <v>1766</v>
      </c>
      <c r="D108" s="184">
        <v>300</v>
      </c>
      <c r="E108" s="105">
        <f>6.6/100</f>
        <v>6.6000000000000003E-2</v>
      </c>
    </row>
    <row r="109" spans="1:18" ht="14.25" customHeight="1">
      <c r="A109" s="116" t="s">
        <v>2808</v>
      </c>
      <c r="B109" s="107">
        <f>329.4/100</f>
        <v>3.2939999999999996</v>
      </c>
      <c r="C109" s="1" t="s">
        <v>1759</v>
      </c>
      <c r="D109" s="184">
        <f>5*100+300</f>
        <v>800</v>
      </c>
      <c r="E109" s="25">
        <f>6.1/100</f>
        <v>6.0999999999999999E-2</v>
      </c>
    </row>
    <row r="110" spans="1:18" ht="14.25" customHeight="1">
      <c r="A110" s="116" t="s">
        <v>2809</v>
      </c>
      <c r="B110" s="107">
        <f>43.9/100</f>
        <v>0.439</v>
      </c>
      <c r="C110" s="1" t="s">
        <v>5939</v>
      </c>
      <c r="D110" s="184">
        <f t="shared" ref="D110:D115" si="1">5*100</f>
        <v>500</v>
      </c>
      <c r="E110" s="25">
        <f>1.9/100</f>
        <v>1.9E-2</v>
      </c>
    </row>
    <row r="111" spans="1:18" ht="14.25" customHeight="1">
      <c r="A111" s="116" t="s">
        <v>2810</v>
      </c>
      <c r="B111" s="107">
        <f>22.7/100</f>
        <v>0.22699999999999998</v>
      </c>
      <c r="C111" s="1" t="s">
        <v>5937</v>
      </c>
      <c r="D111" s="184">
        <f t="shared" si="1"/>
        <v>500</v>
      </c>
      <c r="E111" s="25">
        <f>1.7/100</f>
        <v>1.7000000000000001E-2</v>
      </c>
    </row>
    <row r="112" spans="1:18" ht="14.25" customHeight="1">
      <c r="A112" s="116" t="s">
        <v>2811</v>
      </c>
      <c r="B112" s="107">
        <f>11.7/100</f>
        <v>0.11699999999999999</v>
      </c>
      <c r="C112" s="1" t="s">
        <v>5934</v>
      </c>
      <c r="D112" s="184">
        <f t="shared" si="1"/>
        <v>500</v>
      </c>
      <c r="E112" s="25">
        <f>1.4/100</f>
        <v>1.3999999999999999E-2</v>
      </c>
    </row>
    <row r="113" spans="1:18" ht="14.25" customHeight="1">
      <c r="A113" s="116" t="s">
        <v>2812</v>
      </c>
      <c r="B113" s="107">
        <f>32.1/100</f>
        <v>0.32100000000000001</v>
      </c>
      <c r="C113" s="1" t="s">
        <v>5938</v>
      </c>
      <c r="D113" s="184">
        <f t="shared" si="1"/>
        <v>500</v>
      </c>
      <c r="E113" s="25">
        <f>1.8/100</f>
        <v>1.8000000000000002E-2</v>
      </c>
    </row>
    <row r="114" spans="1:18" ht="14.25" customHeight="1">
      <c r="A114" s="116" t="s">
        <v>2813</v>
      </c>
      <c r="B114" s="107">
        <f>15.1/100</f>
        <v>0.151</v>
      </c>
      <c r="C114" s="1" t="s">
        <v>5935</v>
      </c>
      <c r="D114" s="184">
        <f t="shared" si="1"/>
        <v>500</v>
      </c>
      <c r="E114" s="25">
        <f>1.5/100</f>
        <v>1.4999999999999999E-2</v>
      </c>
    </row>
    <row r="115" spans="1:18" ht="14.25" customHeight="1">
      <c r="A115" s="116" t="s">
        <v>2814</v>
      </c>
      <c r="B115" s="107">
        <f>22.4/100</f>
        <v>0.22399999999999998</v>
      </c>
      <c r="C115" s="1" t="s">
        <v>5936</v>
      </c>
      <c r="D115" s="184">
        <f t="shared" si="1"/>
        <v>500</v>
      </c>
      <c r="E115" s="25">
        <f>1.6/100</f>
        <v>1.6E-2</v>
      </c>
    </row>
    <row r="116" spans="1:18" s="120" customFormat="1" ht="14.25" customHeight="1">
      <c r="A116" s="201" t="s">
        <v>5944</v>
      </c>
      <c r="B116" s="202">
        <f>276.7/100</f>
        <v>2.7669999999999999</v>
      </c>
      <c r="C116" s="120" t="s">
        <v>5999</v>
      </c>
      <c r="D116" s="186">
        <f>5*100+200</f>
        <v>700</v>
      </c>
      <c r="E116" s="203">
        <f>5/100</f>
        <v>0.05</v>
      </c>
    </row>
    <row r="117" spans="1:18" s="120" customFormat="1" ht="14.25" customHeight="1">
      <c r="A117" s="201" t="s">
        <v>5941</v>
      </c>
      <c r="B117" s="168">
        <f>2.4/10</f>
        <v>0.24</v>
      </c>
      <c r="C117" s="204" t="s">
        <v>5998</v>
      </c>
      <c r="D117" s="186">
        <v>10000</v>
      </c>
      <c r="E117" s="203">
        <v>1.2999999999999999E-2</v>
      </c>
    </row>
    <row r="118" spans="1:18" s="4" customFormat="1" ht="14.25" customHeight="1">
      <c r="A118" s="148" t="s">
        <v>3235</v>
      </c>
      <c r="B118" s="9">
        <f t="shared" ref="B118:B123" si="2">52/50</f>
        <v>1.04</v>
      </c>
      <c r="C118" s="211" t="s">
        <v>1796</v>
      </c>
      <c r="D118" s="184">
        <v>100</v>
      </c>
      <c r="E118" s="6">
        <f t="shared" ref="E118:E123" si="3">6/100</f>
        <v>0.06</v>
      </c>
      <c r="F118" s="7"/>
      <c r="G118" s="211" t="s">
        <v>1796</v>
      </c>
      <c r="H118" s="7"/>
      <c r="I118" s="7"/>
      <c r="J118" s="7"/>
      <c r="K118" s="7"/>
      <c r="L118" s="7"/>
      <c r="M118" s="7"/>
      <c r="N118" s="7"/>
      <c r="O118" s="7"/>
      <c r="P118" s="7"/>
      <c r="Q118" s="7"/>
      <c r="R118" s="7"/>
    </row>
    <row r="119" spans="1:18" ht="14.25" customHeight="1">
      <c r="A119" s="148" t="s">
        <v>3236</v>
      </c>
      <c r="B119" s="9">
        <f t="shared" si="2"/>
        <v>1.04</v>
      </c>
      <c r="C119" s="1" t="s">
        <v>1797</v>
      </c>
      <c r="D119" s="184">
        <v>100</v>
      </c>
      <c r="E119" s="6">
        <f t="shared" si="3"/>
        <v>0.06</v>
      </c>
    </row>
    <row r="120" spans="1:18" ht="14.25" customHeight="1">
      <c r="A120" s="148" t="s">
        <v>3237</v>
      </c>
      <c r="B120" s="9">
        <f t="shared" si="2"/>
        <v>1.04</v>
      </c>
      <c r="C120" s="1" t="s">
        <v>1798</v>
      </c>
      <c r="D120" s="184">
        <v>100</v>
      </c>
      <c r="E120" s="6">
        <f t="shared" si="3"/>
        <v>0.06</v>
      </c>
    </row>
    <row r="121" spans="1:18" ht="14.25" customHeight="1">
      <c r="A121" s="148" t="s">
        <v>3238</v>
      </c>
      <c r="B121" s="9">
        <f t="shared" si="2"/>
        <v>1.04</v>
      </c>
      <c r="C121" s="1" t="s">
        <v>1799</v>
      </c>
      <c r="D121" s="184">
        <v>100</v>
      </c>
      <c r="E121" s="6">
        <f t="shared" si="3"/>
        <v>0.06</v>
      </c>
    </row>
    <row r="122" spans="1:18" ht="14.25" customHeight="1">
      <c r="A122" s="148" t="s">
        <v>3239</v>
      </c>
      <c r="B122" s="9">
        <f t="shared" si="2"/>
        <v>1.04</v>
      </c>
      <c r="C122" s="1" t="s">
        <v>1800</v>
      </c>
      <c r="D122" s="184">
        <v>100</v>
      </c>
      <c r="E122" s="6">
        <f t="shared" si="3"/>
        <v>0.06</v>
      </c>
    </row>
    <row r="123" spans="1:18" ht="14.25" customHeight="1">
      <c r="A123" s="148" t="s">
        <v>3240</v>
      </c>
      <c r="B123" s="9">
        <f t="shared" si="2"/>
        <v>1.04</v>
      </c>
      <c r="C123" s="1" t="s">
        <v>1801</v>
      </c>
      <c r="D123" s="184">
        <v>100</v>
      </c>
      <c r="E123" s="6">
        <f t="shared" si="3"/>
        <v>0.06</v>
      </c>
    </row>
    <row r="124" spans="1:18" s="4" customFormat="1" ht="14.25" customHeight="1">
      <c r="A124" s="148" t="s">
        <v>3241</v>
      </c>
      <c r="B124" s="9">
        <v>2</v>
      </c>
      <c r="C124" s="211" t="s">
        <v>3231</v>
      </c>
      <c r="D124" s="184">
        <v>100</v>
      </c>
      <c r="E124" s="6">
        <f t="shared" ref="E124:E129" si="4">9/100</f>
        <v>0.09</v>
      </c>
      <c r="F124" s="7"/>
      <c r="G124" s="211" t="s">
        <v>3231</v>
      </c>
      <c r="H124" s="7"/>
      <c r="I124" s="7"/>
      <c r="J124" s="7"/>
      <c r="K124" s="7"/>
      <c r="L124" s="7"/>
      <c r="M124" s="7"/>
      <c r="N124" s="7"/>
      <c r="O124" s="7"/>
      <c r="P124" s="7"/>
      <c r="Q124" s="7"/>
      <c r="R124" s="7"/>
    </row>
    <row r="125" spans="1:18" ht="14.25" customHeight="1">
      <c r="A125" s="148" t="s">
        <v>3242</v>
      </c>
      <c r="B125" s="9">
        <v>2</v>
      </c>
      <c r="C125" s="1" t="s">
        <v>1791</v>
      </c>
      <c r="D125" s="184">
        <v>100</v>
      </c>
      <c r="E125" s="6">
        <f t="shared" si="4"/>
        <v>0.09</v>
      </c>
    </row>
    <row r="126" spans="1:18" ht="14.25" customHeight="1">
      <c r="A126" s="148" t="s">
        <v>3243</v>
      </c>
      <c r="B126" s="9">
        <v>2</v>
      </c>
      <c r="C126" s="1" t="s">
        <v>1792</v>
      </c>
      <c r="D126" s="184">
        <v>100</v>
      </c>
      <c r="E126" s="6">
        <f t="shared" si="4"/>
        <v>0.09</v>
      </c>
    </row>
    <row r="127" spans="1:18" ht="14.25" customHeight="1">
      <c r="A127" s="148" t="s">
        <v>3244</v>
      </c>
      <c r="B127" s="9">
        <v>2</v>
      </c>
      <c r="C127" s="1" t="s">
        <v>1793</v>
      </c>
      <c r="D127" s="184">
        <v>100</v>
      </c>
      <c r="E127" s="6">
        <f t="shared" si="4"/>
        <v>0.09</v>
      </c>
    </row>
    <row r="128" spans="1:18" ht="14.25" customHeight="1">
      <c r="A128" s="148" t="s">
        <v>3245</v>
      </c>
      <c r="B128" s="9">
        <v>2</v>
      </c>
      <c r="C128" s="1" t="s">
        <v>1794</v>
      </c>
      <c r="D128" s="184">
        <v>100</v>
      </c>
      <c r="E128" s="6">
        <f t="shared" si="4"/>
        <v>0.09</v>
      </c>
    </row>
    <row r="129" spans="1:18" ht="14.25" customHeight="1">
      <c r="A129" s="148" t="s">
        <v>3246</v>
      </c>
      <c r="B129" s="9">
        <v>2</v>
      </c>
      <c r="C129" s="1" t="s">
        <v>1795</v>
      </c>
      <c r="D129" s="184">
        <v>100</v>
      </c>
      <c r="E129" s="6">
        <f t="shared" si="4"/>
        <v>0.09</v>
      </c>
    </row>
    <row r="130" spans="1:18" ht="14.25" customHeight="1">
      <c r="A130" s="148" t="s">
        <v>3247</v>
      </c>
      <c r="B130" s="9">
        <v>4.9000000000000004</v>
      </c>
      <c r="C130" s="212" t="s">
        <v>6041</v>
      </c>
      <c r="D130" s="184">
        <v>100</v>
      </c>
      <c r="E130" s="6">
        <f>18/100</f>
        <v>0.18</v>
      </c>
      <c r="G130" s="212" t="s">
        <v>6041</v>
      </c>
    </row>
    <row r="131" spans="1:18"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row>
    <row r="132" spans="1:18" ht="14.25" customHeight="1">
      <c r="A132" s="148" t="s">
        <v>3249</v>
      </c>
      <c r="B132" s="107">
        <f>27.2/100</f>
        <v>0.27200000000000002</v>
      </c>
      <c r="C132" s="211" t="s">
        <v>3256</v>
      </c>
      <c r="D132" s="184">
        <f>100+100</f>
        <v>200</v>
      </c>
      <c r="E132" s="6">
        <v>0.05</v>
      </c>
      <c r="G132" s="211" t="s">
        <v>3256</v>
      </c>
    </row>
    <row r="133" spans="1:18" ht="14.25" customHeight="1">
      <c r="A133" s="148" t="s">
        <v>3250</v>
      </c>
      <c r="B133" s="107">
        <f>28.3/100</f>
        <v>0.28300000000000003</v>
      </c>
      <c r="C133" s="211" t="s">
        <v>3261</v>
      </c>
      <c r="D133" s="184">
        <v>200</v>
      </c>
      <c r="E133" s="6">
        <v>0.05</v>
      </c>
      <c r="G133" s="211" t="s">
        <v>3261</v>
      </c>
    </row>
    <row r="134" spans="1:18" ht="14.25" customHeight="1">
      <c r="A134" s="148" t="s">
        <v>3251</v>
      </c>
      <c r="B134" s="107">
        <f>29.2/100</f>
        <v>0.29199999999999998</v>
      </c>
      <c r="C134" s="211" t="s">
        <v>3262</v>
      </c>
      <c r="D134" s="184">
        <v>200</v>
      </c>
      <c r="E134" s="6">
        <v>0.05</v>
      </c>
      <c r="G134" s="211" t="s">
        <v>3262</v>
      </c>
    </row>
    <row r="135" spans="1:18" ht="14.25" customHeight="1">
      <c r="A135" s="125" t="s">
        <v>3254</v>
      </c>
      <c r="B135" s="107">
        <f>23.7/100</f>
        <v>0.23699999999999999</v>
      </c>
      <c r="C135" s="211" t="s">
        <v>3257</v>
      </c>
      <c r="D135" s="184">
        <v>100</v>
      </c>
      <c r="E135" s="6">
        <v>0.05</v>
      </c>
      <c r="G135" s="211" t="s">
        <v>3257</v>
      </c>
    </row>
    <row r="136" spans="1:18" ht="14.25" customHeight="1">
      <c r="A136" s="125" t="s">
        <v>3252</v>
      </c>
      <c r="B136" s="107">
        <f>18/100</f>
        <v>0.18</v>
      </c>
      <c r="C136" s="211" t="s">
        <v>3258</v>
      </c>
      <c r="D136" s="184">
        <v>100</v>
      </c>
      <c r="E136" s="6">
        <v>0.05</v>
      </c>
      <c r="G136" s="211" t="s">
        <v>3258</v>
      </c>
    </row>
    <row r="137" spans="1:18" ht="14.25" customHeight="1">
      <c r="A137" s="125" t="s">
        <v>3253</v>
      </c>
      <c r="B137" s="107">
        <f>21.2/100</f>
        <v>0.21199999999999999</v>
      </c>
      <c r="C137" s="211" t="s">
        <v>3259</v>
      </c>
      <c r="D137" s="184">
        <v>200</v>
      </c>
      <c r="E137" s="6">
        <f>0.05*100/200</f>
        <v>2.5000000000000001E-2</v>
      </c>
      <c r="G137" s="211" t="s">
        <v>3259</v>
      </c>
    </row>
    <row r="138" spans="1:18" ht="14.25" customHeight="1">
      <c r="A138" s="125" t="s">
        <v>3255</v>
      </c>
      <c r="B138" s="107">
        <f>37.5/100</f>
        <v>0.375</v>
      </c>
      <c r="C138" s="211" t="s">
        <v>3260</v>
      </c>
      <c r="D138" s="184">
        <v>100</v>
      </c>
      <c r="E138" s="6">
        <v>0.05</v>
      </c>
      <c r="G138" s="211" t="s">
        <v>3260</v>
      </c>
    </row>
    <row r="139" spans="1:18" ht="14.25" customHeight="1">
      <c r="A139" s="125">
        <v>201.01</v>
      </c>
      <c r="B139" s="9">
        <v>118</v>
      </c>
      <c r="C139" s="211" t="s">
        <v>1564</v>
      </c>
      <c r="D139" s="183">
        <f>60*3+60*2</f>
        <v>300</v>
      </c>
      <c r="E139" s="56">
        <v>1.42</v>
      </c>
      <c r="G139" s="211" t="s">
        <v>1564</v>
      </c>
    </row>
    <row r="140" spans="1:18" ht="14.25" customHeight="1">
      <c r="A140" s="125" t="s">
        <v>4075</v>
      </c>
      <c r="B140" s="9">
        <v>101</v>
      </c>
      <c r="C140" s="211" t="s">
        <v>1403</v>
      </c>
      <c r="D140" s="183">
        <f>72*2</f>
        <v>144</v>
      </c>
      <c r="E140" s="7">
        <v>1.2250000000000001</v>
      </c>
      <c r="G140" s="211" t="s">
        <v>1403</v>
      </c>
    </row>
    <row r="141" spans="1:18" ht="14.25" customHeight="1">
      <c r="A141" s="125">
        <v>201.11</v>
      </c>
      <c r="B141" s="9">
        <v>62</v>
      </c>
      <c r="C141" s="211" t="s">
        <v>2907</v>
      </c>
      <c r="D141" s="183">
        <v>30</v>
      </c>
      <c r="E141" s="7">
        <v>1.35</v>
      </c>
      <c r="G141" s="211" t="s">
        <v>2907</v>
      </c>
    </row>
    <row r="142" spans="1:18" ht="14.25" customHeight="1">
      <c r="A142" s="133" t="s">
        <v>2430</v>
      </c>
      <c r="B142" s="9">
        <v>39.4</v>
      </c>
      <c r="C142" s="212" t="s">
        <v>6042</v>
      </c>
      <c r="D142" s="183">
        <v>12</v>
      </c>
      <c r="E142" s="7">
        <v>0.88</v>
      </c>
      <c r="G142" s="212" t="s">
        <v>6042</v>
      </c>
    </row>
    <row r="143" spans="1:18" ht="14.25" customHeight="1">
      <c r="A143" s="133" t="s">
        <v>2431</v>
      </c>
      <c r="B143" s="9">
        <f>201.5/5</f>
        <v>40.299999999999997</v>
      </c>
      <c r="C143" s="7" t="s">
        <v>1475</v>
      </c>
      <c r="D143" s="183">
        <v>5</v>
      </c>
      <c r="E143" s="7">
        <v>0.88</v>
      </c>
    </row>
    <row r="144" spans="1:18" ht="14.25" customHeight="1">
      <c r="A144" s="133" t="s">
        <v>2432</v>
      </c>
      <c r="B144" s="9">
        <f>201.5/5</f>
        <v>40.299999999999997</v>
      </c>
      <c r="C144" s="7" t="s">
        <v>1476</v>
      </c>
      <c r="D144" s="183">
        <v>5</v>
      </c>
      <c r="E144" s="7">
        <v>0.88</v>
      </c>
    </row>
    <row r="145" spans="1:18" ht="14.25" customHeight="1">
      <c r="A145" s="133" t="s">
        <v>2433</v>
      </c>
      <c r="B145" s="9">
        <f>201.5/5</f>
        <v>40.299999999999997</v>
      </c>
      <c r="C145" s="7" t="s">
        <v>1477</v>
      </c>
      <c r="D145" s="183">
        <v>5</v>
      </c>
      <c r="E145" s="7">
        <v>0.88</v>
      </c>
    </row>
    <row r="146" spans="1:18" ht="14.25" customHeight="1">
      <c r="A146" s="133" t="s">
        <v>2434</v>
      </c>
      <c r="B146" s="9">
        <f>201.5/5</f>
        <v>40.299999999999997</v>
      </c>
      <c r="C146" s="7" t="s">
        <v>1478</v>
      </c>
      <c r="D146" s="183">
        <v>5</v>
      </c>
      <c r="E146" s="7">
        <v>0.88</v>
      </c>
    </row>
    <row r="147" spans="1:18" ht="14.25" customHeight="1">
      <c r="A147" s="133" t="s">
        <v>2435</v>
      </c>
      <c r="B147" s="9">
        <f>201.5/5</f>
        <v>40.299999999999997</v>
      </c>
      <c r="C147" s="7" t="s">
        <v>1479</v>
      </c>
      <c r="D147" s="183">
        <v>5</v>
      </c>
      <c r="E147" s="7">
        <v>0.88</v>
      </c>
      <c r="R147" s="4"/>
    </row>
    <row r="148" spans="1:18" ht="14.25" customHeight="1">
      <c r="A148" s="133" t="s">
        <v>2436</v>
      </c>
      <c r="B148" s="9">
        <f>161/5</f>
        <v>32.200000000000003</v>
      </c>
      <c r="C148" s="211" t="s">
        <v>1480</v>
      </c>
      <c r="D148" s="183">
        <v>5</v>
      </c>
      <c r="E148" s="7">
        <v>0.9</v>
      </c>
      <c r="G148" s="211" t="s">
        <v>1480</v>
      </c>
    </row>
    <row r="149" spans="1:18" ht="14.25" customHeight="1">
      <c r="A149" s="133" t="s">
        <v>2437</v>
      </c>
      <c r="B149" s="9">
        <f>189.4/5</f>
        <v>37.880000000000003</v>
      </c>
      <c r="C149" s="1" t="s">
        <v>1481</v>
      </c>
      <c r="D149" s="183">
        <v>5</v>
      </c>
      <c r="E149" s="7">
        <v>1.05</v>
      </c>
      <c r="G149" s="1" t="s">
        <v>1481</v>
      </c>
      <c r="R149" s="4"/>
    </row>
    <row r="150" spans="1:18" ht="14.25" customHeight="1">
      <c r="A150" s="133" t="s">
        <v>2438</v>
      </c>
      <c r="B150" s="9">
        <f t="shared" ref="B150:B156" si="5">232.2/3</f>
        <v>77.399999999999991</v>
      </c>
      <c r="C150" s="211" t="s">
        <v>1482</v>
      </c>
      <c r="D150" s="183">
        <v>10</v>
      </c>
      <c r="E150" s="7">
        <v>1.65</v>
      </c>
      <c r="G150" s="211" t="s">
        <v>1482</v>
      </c>
    </row>
    <row r="151" spans="1:18" ht="14.25" customHeight="1">
      <c r="A151" s="133" t="s">
        <v>2439</v>
      </c>
      <c r="B151" s="9">
        <f t="shared" si="5"/>
        <v>77.399999999999991</v>
      </c>
      <c r="C151" s="7" t="s">
        <v>1483</v>
      </c>
      <c r="D151" s="183">
        <v>3</v>
      </c>
      <c r="E151" s="7">
        <v>1.65</v>
      </c>
    </row>
    <row r="152" spans="1:18" ht="14.25" customHeight="1">
      <c r="A152" s="133" t="s">
        <v>2440</v>
      </c>
      <c r="B152" s="9">
        <f t="shared" si="5"/>
        <v>77.399999999999991</v>
      </c>
      <c r="C152" s="7" t="s">
        <v>1484</v>
      </c>
      <c r="D152" s="183">
        <v>3</v>
      </c>
      <c r="E152" s="7">
        <v>1.65</v>
      </c>
    </row>
    <row r="153" spans="1:18" ht="14.25" customHeight="1">
      <c r="A153" s="133" t="s">
        <v>2441</v>
      </c>
      <c r="B153" s="9">
        <f t="shared" si="5"/>
        <v>77.399999999999991</v>
      </c>
      <c r="C153" s="7" t="s">
        <v>1485</v>
      </c>
      <c r="D153" s="183">
        <v>3</v>
      </c>
      <c r="E153" s="7">
        <v>1.65</v>
      </c>
    </row>
    <row r="154" spans="1:18" ht="14.25" customHeight="1">
      <c r="A154" s="133" t="s">
        <v>2442</v>
      </c>
      <c r="B154" s="9">
        <f t="shared" si="5"/>
        <v>77.399999999999991</v>
      </c>
      <c r="C154" s="7" t="s">
        <v>1486</v>
      </c>
      <c r="D154" s="183">
        <v>3</v>
      </c>
      <c r="E154" s="7">
        <v>1.65</v>
      </c>
    </row>
    <row r="155" spans="1:18" ht="14.25" customHeight="1">
      <c r="A155" s="133" t="s">
        <v>2443</v>
      </c>
      <c r="B155" s="9">
        <f t="shared" si="5"/>
        <v>77.399999999999991</v>
      </c>
      <c r="C155" s="7" t="s">
        <v>1487</v>
      </c>
      <c r="D155" s="183">
        <v>3</v>
      </c>
      <c r="E155" s="7">
        <v>1.65</v>
      </c>
    </row>
    <row r="156" spans="1:18" ht="14.25" customHeight="1">
      <c r="A156" s="133" t="s">
        <v>2444</v>
      </c>
      <c r="B156" s="9">
        <f t="shared" si="5"/>
        <v>77.399999999999991</v>
      </c>
      <c r="C156" s="7" t="s">
        <v>1488</v>
      </c>
      <c r="D156" s="183">
        <v>4</v>
      </c>
      <c r="E156" s="7">
        <v>1.7</v>
      </c>
    </row>
    <row r="157" spans="1:18" ht="14.25" customHeight="1">
      <c r="A157" s="125">
        <v>203.01</v>
      </c>
      <c r="B157" s="9">
        <v>25</v>
      </c>
      <c r="C157" s="211" t="s">
        <v>1489</v>
      </c>
      <c r="D157" s="183">
        <v>10</v>
      </c>
      <c r="E157" s="7">
        <v>1.3</v>
      </c>
      <c r="G157" s="211" t="s">
        <v>1489</v>
      </c>
    </row>
    <row r="158" spans="1:18" ht="14.25" customHeight="1">
      <c r="A158" s="125">
        <v>203.02</v>
      </c>
      <c r="B158" s="9">
        <v>53</v>
      </c>
      <c r="C158" s="7" t="s">
        <v>1490</v>
      </c>
      <c r="D158" s="183">
        <v>10</v>
      </c>
      <c r="E158" s="7">
        <v>2.5</v>
      </c>
    </row>
    <row r="159" spans="1:18" ht="14.25" customHeight="1">
      <c r="A159" s="112">
        <v>204.01</v>
      </c>
      <c r="B159" s="121">
        <f>25.3/3</f>
        <v>8.4333333333333336</v>
      </c>
      <c r="C159" s="211" t="s">
        <v>1504</v>
      </c>
      <c r="D159" s="183">
        <v>3</v>
      </c>
      <c r="E159" s="7">
        <v>0.65</v>
      </c>
      <c r="G159" s="211" t="s">
        <v>1504</v>
      </c>
    </row>
    <row r="160" spans="1:18" ht="14.25" customHeight="1">
      <c r="A160" s="112">
        <v>204.02</v>
      </c>
      <c r="B160" s="121">
        <f>49.5/3</f>
        <v>16.5</v>
      </c>
      <c r="C160" s="7" t="s">
        <v>1505</v>
      </c>
      <c r="D160" s="183">
        <v>3</v>
      </c>
      <c r="E160" s="7">
        <v>1.3</v>
      </c>
    </row>
    <row r="161" spans="1:7" ht="14.25" customHeight="1">
      <c r="A161" s="112">
        <v>204.03</v>
      </c>
      <c r="B161" s="121">
        <f>80.2/3</f>
        <v>26.733333333333334</v>
      </c>
      <c r="C161" s="7" t="s">
        <v>1506</v>
      </c>
      <c r="D161" s="183">
        <v>3</v>
      </c>
      <c r="E161" s="7">
        <v>2.2000000000000002</v>
      </c>
    </row>
    <row r="162" spans="1:7" ht="14.25" customHeight="1">
      <c r="A162" s="112">
        <v>204.04</v>
      </c>
      <c r="B162" s="121">
        <f>96.5/3</f>
        <v>32.166666666666664</v>
      </c>
      <c r="C162" s="7" t="s">
        <v>1507</v>
      </c>
      <c r="D162" s="183">
        <v>3</v>
      </c>
      <c r="E162" s="7">
        <v>2.6</v>
      </c>
    </row>
    <row r="163" spans="1:7" ht="14.25" customHeight="1">
      <c r="A163" s="125" t="s">
        <v>2512</v>
      </c>
      <c r="B163" s="121">
        <f>165/3</f>
        <v>55</v>
      </c>
      <c r="C163" s="211" t="s">
        <v>1508</v>
      </c>
      <c r="D163" s="183">
        <v>3</v>
      </c>
      <c r="E163" s="7">
        <v>3.3</v>
      </c>
      <c r="G163" s="211" t="s">
        <v>1508</v>
      </c>
    </row>
    <row r="164" spans="1:7" ht="14.25" customHeight="1">
      <c r="A164" s="125" t="s">
        <v>2513</v>
      </c>
      <c r="B164" s="121">
        <f>134/3</f>
        <v>44.666666666666664</v>
      </c>
      <c r="C164" s="7" t="s">
        <v>1509</v>
      </c>
      <c r="D164" s="183">
        <v>3</v>
      </c>
      <c r="E164" s="7">
        <v>2.64</v>
      </c>
    </row>
    <row r="165" spans="1:7" ht="14.25" customHeight="1">
      <c r="A165" s="125" t="s">
        <v>2514</v>
      </c>
      <c r="B165" s="121">
        <f>126.7/3</f>
        <v>42.233333333333334</v>
      </c>
      <c r="C165" s="7" t="s">
        <v>1510</v>
      </c>
      <c r="D165" s="183">
        <v>3</v>
      </c>
      <c r="E165" s="7">
        <v>2.8</v>
      </c>
    </row>
    <row r="166" spans="1:7" ht="14.25" customHeight="1">
      <c r="A166" s="125" t="s">
        <v>2515</v>
      </c>
      <c r="B166" s="121">
        <f>202/3</f>
        <v>67.333333333333329</v>
      </c>
      <c r="C166" s="7" t="s">
        <v>1511</v>
      </c>
      <c r="D166" s="183">
        <v>3</v>
      </c>
      <c r="E166" s="7">
        <v>3.3</v>
      </c>
    </row>
    <row r="167" spans="1:7" ht="14.25" customHeight="1">
      <c r="A167" s="125" t="s">
        <v>2516</v>
      </c>
      <c r="B167" s="121">
        <f>74/3</f>
        <v>24.666666666666668</v>
      </c>
      <c r="C167" s="211" t="s">
        <v>1512</v>
      </c>
      <c r="D167" s="183">
        <v>3</v>
      </c>
      <c r="E167" s="7">
        <v>2</v>
      </c>
      <c r="G167" s="211" t="s">
        <v>1512</v>
      </c>
    </row>
    <row r="168" spans="1:7" ht="14.25" customHeight="1">
      <c r="A168" s="125" t="s">
        <v>2517</v>
      </c>
      <c r="B168" s="121">
        <f>131/3</f>
        <v>43.666666666666664</v>
      </c>
      <c r="C168" s="7" t="s">
        <v>1513</v>
      </c>
      <c r="D168" s="183">
        <v>3</v>
      </c>
      <c r="E168" s="7">
        <v>3</v>
      </c>
    </row>
    <row r="169" spans="1:7" ht="14.25" customHeight="1">
      <c r="A169" s="125">
        <v>206.01</v>
      </c>
      <c r="B169" s="9">
        <v>120</v>
      </c>
      <c r="C169" s="211" t="s">
        <v>1491</v>
      </c>
      <c r="D169" s="183">
        <v>8</v>
      </c>
      <c r="E169" s="7">
        <v>1.9</v>
      </c>
      <c r="G169" s="211" t="s">
        <v>1491</v>
      </c>
    </row>
    <row r="170" spans="1:7" ht="14.25" customHeight="1">
      <c r="A170" s="125">
        <v>206.02</v>
      </c>
      <c r="B170" s="9">
        <v>168</v>
      </c>
      <c r="C170" s="7" t="s">
        <v>1492</v>
      </c>
      <c r="D170" s="183">
        <v>3</v>
      </c>
      <c r="E170" s="7">
        <v>2.8</v>
      </c>
    </row>
    <row r="171" spans="1:7" ht="14.25" customHeight="1">
      <c r="A171" s="125" t="s">
        <v>2518</v>
      </c>
      <c r="B171" s="9">
        <v>18</v>
      </c>
      <c r="C171" s="211" t="s">
        <v>1514</v>
      </c>
      <c r="D171" s="183">
        <v>3</v>
      </c>
      <c r="E171" s="7">
        <v>1</v>
      </c>
      <c r="G171" s="211" t="s">
        <v>1514</v>
      </c>
    </row>
    <row r="172" spans="1:7" ht="14.25" customHeight="1">
      <c r="A172" s="125" t="s">
        <v>2519</v>
      </c>
      <c r="B172" s="9">
        <v>18</v>
      </c>
      <c r="C172" s="7" t="s">
        <v>1515</v>
      </c>
      <c r="D172" s="183">
        <v>3</v>
      </c>
      <c r="E172" s="7">
        <v>1</v>
      </c>
    </row>
    <row r="173" spans="1:7" ht="14.25" customHeight="1">
      <c r="A173" s="125" t="s">
        <v>2520</v>
      </c>
      <c r="B173" s="9">
        <v>18</v>
      </c>
      <c r="C173" s="7" t="s">
        <v>1516</v>
      </c>
      <c r="D173" s="183">
        <v>3</v>
      </c>
      <c r="E173" s="7">
        <v>1</v>
      </c>
    </row>
    <row r="174" spans="1:7" ht="14.25" customHeight="1">
      <c r="A174" s="125" t="s">
        <v>2521</v>
      </c>
      <c r="B174" s="9">
        <v>18</v>
      </c>
      <c r="C174" s="7" t="s">
        <v>1517</v>
      </c>
      <c r="D174" s="183">
        <v>3</v>
      </c>
      <c r="E174" s="7">
        <v>1</v>
      </c>
    </row>
    <row r="175" spans="1:7" ht="14.25" customHeight="1">
      <c r="A175" s="125" t="s">
        <v>2522</v>
      </c>
      <c r="B175" s="9">
        <v>18</v>
      </c>
      <c r="C175" s="7" t="s">
        <v>1518</v>
      </c>
      <c r="D175" s="183">
        <v>3</v>
      </c>
      <c r="E175" s="7">
        <v>1</v>
      </c>
    </row>
    <row r="176" spans="1:7" ht="14.25" customHeight="1">
      <c r="A176" s="125" t="s">
        <v>2523</v>
      </c>
      <c r="B176" s="9">
        <v>18</v>
      </c>
      <c r="C176" s="211" t="s">
        <v>1519</v>
      </c>
      <c r="D176" s="183">
        <v>3</v>
      </c>
      <c r="E176" s="7">
        <v>1</v>
      </c>
      <c r="G176" s="211" t="s">
        <v>1519</v>
      </c>
    </row>
    <row r="177" spans="1:18" ht="14.25" customHeight="1">
      <c r="A177" s="125" t="s">
        <v>2524</v>
      </c>
      <c r="B177" s="9">
        <v>18</v>
      </c>
      <c r="C177" s="7" t="s">
        <v>1521</v>
      </c>
      <c r="D177" s="183">
        <v>3</v>
      </c>
      <c r="E177" s="7">
        <v>1</v>
      </c>
    </row>
    <row r="178" spans="1:18" ht="14.25" customHeight="1">
      <c r="A178" s="125" t="s">
        <v>2525</v>
      </c>
      <c r="B178" s="9">
        <v>18</v>
      </c>
      <c r="C178" s="7" t="s">
        <v>1520</v>
      </c>
      <c r="D178" s="183">
        <v>3</v>
      </c>
      <c r="E178" s="7">
        <v>1</v>
      </c>
      <c r="R178" s="4"/>
    </row>
    <row r="179" spans="1:18" ht="14.25" customHeight="1">
      <c r="A179" s="125" t="s">
        <v>2526</v>
      </c>
      <c r="B179" s="9">
        <v>18</v>
      </c>
      <c r="C179" s="7" t="s">
        <v>1522</v>
      </c>
      <c r="D179" s="183">
        <v>3</v>
      </c>
      <c r="E179" s="7">
        <v>1</v>
      </c>
    </row>
    <row r="180" spans="1:18" ht="14.25" customHeight="1">
      <c r="A180" s="125" t="s">
        <v>2527</v>
      </c>
      <c r="B180" s="9">
        <v>18</v>
      </c>
      <c r="C180" s="7" t="s">
        <v>1523</v>
      </c>
      <c r="D180" s="183">
        <v>3</v>
      </c>
      <c r="E180" s="7">
        <v>1</v>
      </c>
    </row>
    <row r="181" spans="1:18" ht="14.25" customHeight="1">
      <c r="A181" s="125" t="s">
        <v>2528</v>
      </c>
      <c r="B181" s="9">
        <v>52</v>
      </c>
      <c r="C181" s="211" t="s">
        <v>1328</v>
      </c>
      <c r="D181" s="183">
        <v>3</v>
      </c>
      <c r="E181" s="7">
        <v>2.5</v>
      </c>
      <c r="G181" s="211" t="s">
        <v>1328</v>
      </c>
      <c r="R181" s="4"/>
    </row>
    <row r="182" spans="1:18" ht="14.25" customHeight="1">
      <c r="A182" s="125" t="s">
        <v>2529</v>
      </c>
      <c r="B182" s="9">
        <v>52</v>
      </c>
      <c r="C182" s="7" t="s">
        <v>1329</v>
      </c>
      <c r="D182" s="183">
        <v>3</v>
      </c>
      <c r="E182" s="7">
        <v>2.5</v>
      </c>
    </row>
    <row r="183" spans="1:18" ht="14.25" customHeight="1">
      <c r="A183" s="125" t="s">
        <v>2530</v>
      </c>
      <c r="B183" s="9">
        <v>52</v>
      </c>
      <c r="C183" s="7" t="s">
        <v>1330</v>
      </c>
      <c r="D183" s="183">
        <v>3</v>
      </c>
      <c r="E183" s="7">
        <v>2.5</v>
      </c>
    </row>
    <row r="184" spans="1:18" ht="14.25" customHeight="1">
      <c r="A184" s="125" t="s">
        <v>2531</v>
      </c>
      <c r="B184" s="9">
        <v>52</v>
      </c>
      <c r="C184" s="7" t="s">
        <v>1331</v>
      </c>
      <c r="D184" s="183">
        <v>3</v>
      </c>
      <c r="E184" s="7">
        <v>2.5</v>
      </c>
    </row>
    <row r="185" spans="1:18" ht="14.25" customHeight="1">
      <c r="A185" s="125" t="s">
        <v>2532</v>
      </c>
      <c r="B185" s="9">
        <v>52</v>
      </c>
      <c r="C185" s="7" t="s">
        <v>1332</v>
      </c>
      <c r="D185" s="183">
        <v>3</v>
      </c>
      <c r="E185" s="7">
        <v>2.5</v>
      </c>
    </row>
    <row r="186" spans="1:18" ht="14.25" customHeight="1">
      <c r="A186" s="125" t="s">
        <v>2533</v>
      </c>
      <c r="B186" s="9">
        <v>52</v>
      </c>
      <c r="C186" s="211" t="s">
        <v>1333</v>
      </c>
      <c r="D186" s="183">
        <v>3</v>
      </c>
      <c r="E186" s="7">
        <v>2.5</v>
      </c>
      <c r="G186" s="211" t="s">
        <v>1333</v>
      </c>
      <c r="R186" s="4"/>
    </row>
    <row r="187" spans="1:18" ht="14.25" customHeight="1">
      <c r="A187" s="125" t="s">
        <v>2534</v>
      </c>
      <c r="B187" s="9">
        <v>52</v>
      </c>
      <c r="C187" s="7" t="s">
        <v>1334</v>
      </c>
      <c r="D187" s="183">
        <v>3</v>
      </c>
      <c r="E187" s="7">
        <v>2.5</v>
      </c>
    </row>
    <row r="188" spans="1:18" ht="14.25" customHeight="1">
      <c r="A188" s="125" t="s">
        <v>2535</v>
      </c>
      <c r="B188" s="9">
        <v>52</v>
      </c>
      <c r="C188" s="7" t="s">
        <v>1335</v>
      </c>
      <c r="D188" s="183">
        <v>3</v>
      </c>
      <c r="E188" s="7">
        <v>2.5</v>
      </c>
    </row>
    <row r="189" spans="1:18" ht="14.25" customHeight="1">
      <c r="A189" s="125" t="s">
        <v>2536</v>
      </c>
      <c r="B189" s="9">
        <v>52</v>
      </c>
      <c r="C189" s="7" t="s">
        <v>1336</v>
      </c>
      <c r="D189" s="183">
        <v>3</v>
      </c>
      <c r="E189" s="7">
        <v>2.5</v>
      </c>
    </row>
    <row r="190" spans="1:18" ht="14.25" customHeight="1">
      <c r="A190" s="125" t="s">
        <v>2537</v>
      </c>
      <c r="B190" s="9">
        <v>52</v>
      </c>
      <c r="C190" s="7" t="s">
        <v>1337</v>
      </c>
      <c r="D190" s="183">
        <v>3</v>
      </c>
      <c r="E190" s="7">
        <v>2.5</v>
      </c>
    </row>
    <row r="191" spans="1:18" ht="14.25" customHeight="1">
      <c r="A191" s="116" t="s">
        <v>2538</v>
      </c>
      <c r="B191" s="9">
        <v>173</v>
      </c>
      <c r="C191" s="211" t="s">
        <v>1524</v>
      </c>
      <c r="D191" s="183">
        <v>6</v>
      </c>
      <c r="E191" s="7">
        <v>2.8</v>
      </c>
      <c r="G191" s="211" t="s">
        <v>1524</v>
      </c>
    </row>
    <row r="192" spans="1:18" ht="14.25" customHeight="1">
      <c r="A192" s="116" t="s">
        <v>2539</v>
      </c>
      <c r="B192" s="9">
        <v>187.2</v>
      </c>
      <c r="C192" s="7" t="s">
        <v>1525</v>
      </c>
      <c r="D192" s="183">
        <v>3</v>
      </c>
      <c r="E192" s="7">
        <v>2.8</v>
      </c>
    </row>
    <row r="193" spans="1:18" ht="14.25" customHeight="1">
      <c r="A193" s="116" t="s">
        <v>2540</v>
      </c>
      <c r="B193" s="9">
        <v>170</v>
      </c>
      <c r="C193" s="7" t="s">
        <v>1526</v>
      </c>
      <c r="D193" s="183">
        <v>3</v>
      </c>
      <c r="E193" s="7">
        <v>2.8</v>
      </c>
    </row>
    <row r="194" spans="1:18" ht="14.25" customHeight="1">
      <c r="A194" s="116" t="s">
        <v>2541</v>
      </c>
      <c r="B194" s="9">
        <v>174</v>
      </c>
      <c r="C194" s="7" t="s">
        <v>1527</v>
      </c>
      <c r="D194" s="183">
        <v>3</v>
      </c>
      <c r="E194" s="7">
        <v>2.8</v>
      </c>
    </row>
    <row r="195" spans="1:18" ht="14.25" customHeight="1">
      <c r="A195" s="116" t="s">
        <v>2542</v>
      </c>
      <c r="B195" s="9">
        <v>175</v>
      </c>
      <c r="C195" s="7" t="s">
        <v>1528</v>
      </c>
      <c r="D195" s="183">
        <v>3</v>
      </c>
      <c r="E195" s="7">
        <v>2.8</v>
      </c>
    </row>
    <row r="196" spans="1:18" ht="14.25" customHeight="1">
      <c r="A196" s="116" t="s">
        <v>2543</v>
      </c>
      <c r="B196" s="9">
        <v>189</v>
      </c>
      <c r="C196" s="7" t="s">
        <v>1529</v>
      </c>
      <c r="D196" s="183">
        <v>3</v>
      </c>
      <c r="E196" s="7">
        <v>2.8</v>
      </c>
    </row>
    <row r="197" spans="1:18"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row>
    <row r="198" spans="1:18" ht="14.25" customHeight="1">
      <c r="A198" s="116" t="s">
        <v>2545</v>
      </c>
      <c r="B198" s="9">
        <v>190.3</v>
      </c>
      <c r="C198" s="7" t="s">
        <v>1531</v>
      </c>
      <c r="D198" s="183">
        <v>3</v>
      </c>
      <c r="E198" s="7">
        <v>2.8</v>
      </c>
    </row>
    <row r="199" spans="1:18"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row>
    <row r="200" spans="1:18" ht="14.25" customHeight="1">
      <c r="A200" s="112">
        <v>209.01</v>
      </c>
      <c r="B200" s="168"/>
      <c r="C200" s="212" t="s">
        <v>1882</v>
      </c>
      <c r="D200" s="184">
        <v>3</v>
      </c>
      <c r="E200" s="6">
        <v>3.4</v>
      </c>
      <c r="G200" s="212" t="s">
        <v>1882</v>
      </c>
    </row>
    <row r="201" spans="1:18" ht="14.25" customHeight="1">
      <c r="A201" s="112">
        <v>209.02</v>
      </c>
      <c r="B201" s="168"/>
      <c r="C201" s="1" t="s">
        <v>1883</v>
      </c>
      <c r="D201" s="184">
        <v>3</v>
      </c>
      <c r="E201" s="6">
        <v>3.4</v>
      </c>
    </row>
    <row r="202" spans="1:18" ht="14.25" customHeight="1">
      <c r="A202" s="112">
        <v>209.03</v>
      </c>
      <c r="B202" s="168"/>
      <c r="C202" s="1" t="s">
        <v>1884</v>
      </c>
      <c r="D202" s="184">
        <v>3</v>
      </c>
      <c r="E202" s="6">
        <v>3.4</v>
      </c>
    </row>
    <row r="203" spans="1:18" ht="14.25" customHeight="1">
      <c r="A203" s="112">
        <v>209.04</v>
      </c>
      <c r="B203" s="168"/>
      <c r="C203" s="1" t="s">
        <v>1885</v>
      </c>
      <c r="D203" s="184">
        <v>3</v>
      </c>
      <c r="E203" s="6">
        <v>3.4</v>
      </c>
    </row>
    <row r="204" spans="1:18" ht="14.25" customHeight="1">
      <c r="A204" s="112">
        <v>209.05</v>
      </c>
      <c r="B204" s="168"/>
      <c r="C204" s="1" t="s">
        <v>1886</v>
      </c>
      <c r="D204" s="184">
        <v>3</v>
      </c>
      <c r="E204" s="6">
        <v>3.4</v>
      </c>
    </row>
    <row r="205" spans="1:18" ht="14.25" customHeight="1">
      <c r="A205" s="112">
        <v>209.06</v>
      </c>
      <c r="B205" s="168"/>
      <c r="C205" s="1" t="s">
        <v>1870</v>
      </c>
      <c r="D205" s="184">
        <v>3</v>
      </c>
      <c r="E205" s="6">
        <v>3.4</v>
      </c>
    </row>
    <row r="206" spans="1:18" ht="14.25" customHeight="1">
      <c r="A206" s="112">
        <v>209.07</v>
      </c>
      <c r="B206" s="168"/>
      <c r="C206" s="1" t="s">
        <v>1887</v>
      </c>
      <c r="D206" s="184">
        <v>3</v>
      </c>
      <c r="E206" s="6">
        <v>3.4</v>
      </c>
    </row>
    <row r="207" spans="1:18" ht="14.25" customHeight="1">
      <c r="A207" s="112">
        <v>209.08</v>
      </c>
      <c r="B207" s="168"/>
      <c r="C207" s="1" t="s">
        <v>1888</v>
      </c>
      <c r="D207" s="184">
        <v>3</v>
      </c>
      <c r="E207" s="6">
        <v>3.4</v>
      </c>
      <c r="R207" s="4"/>
    </row>
    <row r="208" spans="1:18" ht="14.25" customHeight="1">
      <c r="A208" s="112">
        <v>209.09</v>
      </c>
      <c r="B208" s="168"/>
      <c r="C208" s="1" t="s">
        <v>1889</v>
      </c>
      <c r="D208" s="184">
        <v>3</v>
      </c>
      <c r="E208" s="6">
        <v>3.4</v>
      </c>
    </row>
    <row r="209" spans="1:18" ht="14.25" customHeight="1">
      <c r="A209" s="114" t="s">
        <v>2999</v>
      </c>
      <c r="B209" s="168"/>
      <c r="C209" s="1" t="s">
        <v>1890</v>
      </c>
      <c r="D209" s="184">
        <v>3</v>
      </c>
      <c r="E209" s="6">
        <v>3.4</v>
      </c>
    </row>
    <row r="210" spans="1:18" ht="14.25" customHeight="1">
      <c r="A210" s="112">
        <v>211.01</v>
      </c>
      <c r="B210" s="9">
        <f>118.2</f>
        <v>118.2</v>
      </c>
      <c r="C210" s="212" t="s">
        <v>6043</v>
      </c>
      <c r="D210" s="184">
        <v>5</v>
      </c>
      <c r="E210" s="6">
        <v>3</v>
      </c>
      <c r="G210" s="212" t="s">
        <v>6043</v>
      </c>
    </row>
    <row r="211" spans="1:18" ht="14.25" customHeight="1">
      <c r="A211" s="112">
        <v>211.02</v>
      </c>
      <c r="B211" s="9">
        <f>118.2</f>
        <v>118.2</v>
      </c>
      <c r="C211" s="1" t="s">
        <v>1898</v>
      </c>
      <c r="D211" s="184">
        <v>5</v>
      </c>
      <c r="E211" s="6">
        <v>3</v>
      </c>
    </row>
    <row r="212" spans="1:18" ht="14.25" customHeight="1">
      <c r="A212" s="112">
        <v>211.03</v>
      </c>
      <c r="B212" s="9">
        <f>118.2</f>
        <v>118.2</v>
      </c>
      <c r="C212" s="1" t="s">
        <v>1899</v>
      </c>
      <c r="D212" s="184">
        <v>5</v>
      </c>
      <c r="E212" s="6">
        <v>3</v>
      </c>
    </row>
    <row r="213" spans="1:18" ht="14.25" customHeight="1">
      <c r="A213" s="112">
        <v>211.04</v>
      </c>
      <c r="B213" s="9">
        <f>118.2</f>
        <v>118.2</v>
      </c>
      <c r="C213" s="1" t="s">
        <v>1900</v>
      </c>
      <c r="D213" s="184">
        <v>5</v>
      </c>
      <c r="E213" s="6">
        <v>3</v>
      </c>
    </row>
    <row r="214" spans="1:18" ht="14.25" customHeight="1">
      <c r="A214" s="125">
        <v>212.01</v>
      </c>
      <c r="B214" s="121">
        <f t="shared" ref="B214:B224" si="6">262/30</f>
        <v>8.7333333333333325</v>
      </c>
      <c r="C214" s="211" t="s">
        <v>1963</v>
      </c>
      <c r="D214" s="183">
        <f>10</f>
        <v>10</v>
      </c>
      <c r="E214" s="7">
        <v>0.31</v>
      </c>
      <c r="G214" s="211" t="s">
        <v>1963</v>
      </c>
    </row>
    <row r="215" spans="1:18" ht="14.25" customHeight="1">
      <c r="A215" s="125">
        <v>212.02</v>
      </c>
      <c r="B215" s="121">
        <f t="shared" si="6"/>
        <v>8.7333333333333325</v>
      </c>
      <c r="C215" s="7" t="s">
        <v>1964</v>
      </c>
      <c r="D215" s="183">
        <f>10</f>
        <v>10</v>
      </c>
      <c r="E215" s="7">
        <v>0.31</v>
      </c>
    </row>
    <row r="216" spans="1:18" ht="14.25" customHeight="1">
      <c r="A216" s="125">
        <v>212.03</v>
      </c>
      <c r="B216" s="121">
        <f t="shared" si="6"/>
        <v>8.7333333333333325</v>
      </c>
      <c r="C216" s="7" t="s">
        <v>5737</v>
      </c>
      <c r="D216" s="183">
        <f>10</f>
        <v>10</v>
      </c>
      <c r="E216" s="7">
        <v>0.31</v>
      </c>
    </row>
    <row r="217" spans="1:18" ht="14.25" customHeight="1">
      <c r="A217" s="125">
        <v>212.04</v>
      </c>
      <c r="B217" s="121">
        <f t="shared" si="6"/>
        <v>8.7333333333333325</v>
      </c>
      <c r="C217" s="7" t="s">
        <v>1966</v>
      </c>
      <c r="D217" s="183">
        <f>10</f>
        <v>10</v>
      </c>
      <c r="E217" s="7">
        <v>0.31</v>
      </c>
    </row>
    <row r="218" spans="1:18" ht="14.25" customHeight="1">
      <c r="A218" s="133" t="s">
        <v>2345</v>
      </c>
      <c r="B218" s="121">
        <f t="shared" si="6"/>
        <v>8.7333333333333325</v>
      </c>
      <c r="C218" s="131" t="s">
        <v>3303</v>
      </c>
      <c r="D218" s="183">
        <f>10</f>
        <v>10</v>
      </c>
      <c r="E218" s="7">
        <v>0.31</v>
      </c>
    </row>
    <row r="219" spans="1:18" ht="14.25" customHeight="1">
      <c r="A219" s="133" t="s">
        <v>2346</v>
      </c>
      <c r="B219" s="121">
        <f t="shared" si="6"/>
        <v>8.7333333333333325</v>
      </c>
      <c r="C219" s="7" t="s">
        <v>5738</v>
      </c>
      <c r="D219" s="183">
        <f>10</f>
        <v>10</v>
      </c>
      <c r="E219" s="7">
        <v>0.31</v>
      </c>
      <c r="R219" s="4"/>
    </row>
    <row r="220" spans="1:18"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row>
    <row r="221" spans="1:18" ht="14.25" customHeight="1">
      <c r="A221" s="133" t="s">
        <v>2348</v>
      </c>
      <c r="B221" s="121">
        <f t="shared" si="6"/>
        <v>8.7333333333333325</v>
      </c>
      <c r="C221" s="7" t="s">
        <v>5740</v>
      </c>
      <c r="D221" s="183">
        <f>10</f>
        <v>10</v>
      </c>
      <c r="E221" s="7">
        <v>0.31</v>
      </c>
    </row>
    <row r="222" spans="1:18" ht="14.25" customHeight="1">
      <c r="A222" s="133" t="s">
        <v>2349</v>
      </c>
      <c r="B222" s="121">
        <f t="shared" si="6"/>
        <v>8.7333333333333325</v>
      </c>
      <c r="C222" s="7" t="s">
        <v>5741</v>
      </c>
      <c r="D222" s="183">
        <f>10</f>
        <v>10</v>
      </c>
      <c r="E222" s="7">
        <v>0.31</v>
      </c>
      <c r="R222" s="4"/>
    </row>
    <row r="223" spans="1:18"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row>
    <row r="224" spans="1:18" ht="14.25" customHeight="1">
      <c r="A224" s="133" t="s">
        <v>2351</v>
      </c>
      <c r="B224" s="121">
        <f t="shared" si="6"/>
        <v>8.7333333333333325</v>
      </c>
      <c r="C224" s="131" t="s">
        <v>3309</v>
      </c>
      <c r="D224" s="183">
        <f>10</f>
        <v>10</v>
      </c>
      <c r="E224" s="7">
        <v>0.31</v>
      </c>
    </row>
    <row r="225" spans="1:18" ht="14.25" customHeight="1">
      <c r="A225" s="133" t="s">
        <v>2352</v>
      </c>
      <c r="B225" s="9">
        <f t="shared" ref="B225:B235" si="7">189/10</f>
        <v>18.899999999999999</v>
      </c>
      <c r="C225" s="211" t="s">
        <v>1972</v>
      </c>
      <c r="D225" s="183">
        <f>10</f>
        <v>10</v>
      </c>
      <c r="E225" s="7">
        <v>0.49</v>
      </c>
      <c r="G225" s="211" t="s">
        <v>1972</v>
      </c>
      <c r="R225" s="4"/>
    </row>
    <row r="226" spans="1:18" ht="14.25" customHeight="1">
      <c r="A226" s="133" t="s">
        <v>2353</v>
      </c>
      <c r="B226" s="9">
        <f t="shared" si="7"/>
        <v>18.899999999999999</v>
      </c>
      <c r="C226" s="7" t="s">
        <v>1973</v>
      </c>
      <c r="D226" s="183">
        <f>10</f>
        <v>10</v>
      </c>
      <c r="E226" s="7">
        <v>0.49</v>
      </c>
    </row>
    <row r="227" spans="1:18" ht="14.25" customHeight="1">
      <c r="A227" s="133" t="s">
        <v>2354</v>
      </c>
      <c r="B227" s="9">
        <f t="shared" si="7"/>
        <v>18.899999999999999</v>
      </c>
      <c r="C227" s="7" t="s">
        <v>5742</v>
      </c>
      <c r="D227" s="183">
        <f>10</f>
        <v>10</v>
      </c>
      <c r="E227" s="7">
        <v>0.49</v>
      </c>
    </row>
    <row r="228" spans="1:18"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row>
    <row r="229" spans="1:18" ht="14.25" customHeight="1">
      <c r="A229" s="133" t="s">
        <v>2356</v>
      </c>
      <c r="B229" s="9">
        <f t="shared" si="7"/>
        <v>18.899999999999999</v>
      </c>
      <c r="C229" s="131" t="s">
        <v>3304</v>
      </c>
      <c r="D229" s="183">
        <f>10</f>
        <v>10</v>
      </c>
      <c r="E229" s="7">
        <v>0.49</v>
      </c>
    </row>
    <row r="230" spans="1:18" ht="14.25" customHeight="1">
      <c r="A230" s="133" t="s">
        <v>2357</v>
      </c>
      <c r="B230" s="9">
        <f t="shared" si="7"/>
        <v>18.899999999999999</v>
      </c>
      <c r="C230" s="7" t="s">
        <v>5743</v>
      </c>
      <c r="D230" s="183">
        <f>10</f>
        <v>10</v>
      </c>
      <c r="E230" s="7">
        <v>0.49</v>
      </c>
    </row>
    <row r="231" spans="1:18" ht="14.25" customHeight="1">
      <c r="A231" s="133" t="s">
        <v>2358</v>
      </c>
      <c r="B231" s="9">
        <f t="shared" si="7"/>
        <v>18.899999999999999</v>
      </c>
      <c r="C231" s="7" t="s">
        <v>5744</v>
      </c>
      <c r="D231" s="183">
        <f>10</f>
        <v>10</v>
      </c>
      <c r="E231" s="7">
        <v>0.49</v>
      </c>
    </row>
    <row r="232" spans="1:18" ht="14.25" customHeight="1">
      <c r="A232" s="133" t="s">
        <v>2359</v>
      </c>
      <c r="B232" s="9">
        <f t="shared" si="7"/>
        <v>18.899999999999999</v>
      </c>
      <c r="C232" s="7" t="s">
        <v>5745</v>
      </c>
      <c r="D232" s="183">
        <f>10</f>
        <v>10</v>
      </c>
      <c r="E232" s="7">
        <v>0.49</v>
      </c>
    </row>
    <row r="233" spans="1:18" ht="14.25" customHeight="1">
      <c r="A233" s="133" t="s">
        <v>2360</v>
      </c>
      <c r="B233" s="9">
        <f t="shared" si="7"/>
        <v>18.899999999999999</v>
      </c>
      <c r="C233" s="7" t="s">
        <v>5746</v>
      </c>
      <c r="D233" s="183">
        <f>10</f>
        <v>10</v>
      </c>
      <c r="E233" s="7">
        <v>0.49</v>
      </c>
    </row>
    <row r="234" spans="1:18" ht="14.25" customHeight="1">
      <c r="A234" s="133" t="s">
        <v>2361</v>
      </c>
      <c r="B234" s="9">
        <f t="shared" si="7"/>
        <v>18.899999999999999</v>
      </c>
      <c r="C234" s="7" t="s">
        <v>1980</v>
      </c>
      <c r="D234" s="183">
        <f>10</f>
        <v>10</v>
      </c>
      <c r="E234" s="7">
        <v>0.49</v>
      </c>
    </row>
    <row r="235" spans="1:18" ht="14.25" customHeight="1">
      <c r="A235" s="133" t="s">
        <v>2362</v>
      </c>
      <c r="B235" s="9">
        <f t="shared" si="7"/>
        <v>18.899999999999999</v>
      </c>
      <c r="C235" s="131" t="s">
        <v>3310</v>
      </c>
      <c r="D235" s="183">
        <f>10</f>
        <v>10</v>
      </c>
      <c r="E235" s="7">
        <v>0.49</v>
      </c>
    </row>
    <row r="236" spans="1:18" ht="14.25" customHeight="1">
      <c r="A236" s="133" t="s">
        <v>2363</v>
      </c>
      <c r="B236" s="121">
        <f t="shared" ref="B236:B246" si="8">343.2/20</f>
        <v>17.16</v>
      </c>
      <c r="C236" s="211" t="s">
        <v>1981</v>
      </c>
      <c r="D236" s="183">
        <f>10</f>
        <v>10</v>
      </c>
      <c r="E236" s="7">
        <v>0.57999999999999996</v>
      </c>
      <c r="G236" s="211" t="s">
        <v>1981</v>
      </c>
    </row>
    <row r="237" spans="1:18" ht="14.25" customHeight="1">
      <c r="A237" s="133" t="s">
        <v>2364</v>
      </c>
      <c r="B237" s="121">
        <f t="shared" si="8"/>
        <v>17.16</v>
      </c>
      <c r="C237" s="7" t="s">
        <v>1982</v>
      </c>
      <c r="D237" s="183">
        <f>10</f>
        <v>10</v>
      </c>
      <c r="E237" s="7">
        <v>0.57999999999999996</v>
      </c>
    </row>
    <row r="238" spans="1:18" ht="14.25" customHeight="1">
      <c r="A238" s="133" t="s">
        <v>2365</v>
      </c>
      <c r="B238" s="121">
        <f t="shared" si="8"/>
        <v>17.16</v>
      </c>
      <c r="C238" s="7" t="s">
        <v>5747</v>
      </c>
      <c r="D238" s="183">
        <f>10</f>
        <v>10</v>
      </c>
      <c r="E238" s="7">
        <v>0.57999999999999996</v>
      </c>
    </row>
    <row r="239" spans="1:18" ht="14.25" customHeight="1">
      <c r="A239" s="133" t="s">
        <v>2366</v>
      </c>
      <c r="B239" s="121">
        <f t="shared" si="8"/>
        <v>17.16</v>
      </c>
      <c r="C239" s="7" t="s">
        <v>1984</v>
      </c>
      <c r="D239" s="183">
        <f>10</f>
        <v>10</v>
      </c>
      <c r="E239" s="7">
        <v>0.57999999999999996</v>
      </c>
    </row>
    <row r="240" spans="1:18" ht="14.25" customHeight="1">
      <c r="A240" s="133" t="s">
        <v>2367</v>
      </c>
      <c r="B240" s="121">
        <f t="shared" si="8"/>
        <v>17.16</v>
      </c>
      <c r="C240" s="131" t="s">
        <v>3305</v>
      </c>
      <c r="D240" s="183">
        <f>10</f>
        <v>10</v>
      </c>
      <c r="E240" s="7">
        <v>0.57999999999999996</v>
      </c>
    </row>
    <row r="241" spans="1:18" ht="14.25" customHeight="1">
      <c r="A241" s="133" t="s">
        <v>2368</v>
      </c>
      <c r="B241" s="121">
        <f t="shared" si="8"/>
        <v>17.16</v>
      </c>
      <c r="C241" s="7" t="s">
        <v>5748</v>
      </c>
      <c r="D241" s="183">
        <f>10</f>
        <v>10</v>
      </c>
      <c r="E241" s="7">
        <v>0.57999999999999996</v>
      </c>
    </row>
    <row r="242" spans="1:18" ht="14.25" customHeight="1">
      <c r="A242" s="133" t="s">
        <v>2369</v>
      </c>
      <c r="B242" s="121">
        <f t="shared" si="8"/>
        <v>17.16</v>
      </c>
      <c r="C242" s="7" t="s">
        <v>5749</v>
      </c>
      <c r="D242" s="183">
        <f>10</f>
        <v>10</v>
      </c>
      <c r="E242" s="7">
        <v>0.57999999999999996</v>
      </c>
    </row>
    <row r="243" spans="1:18" ht="14.25" customHeight="1">
      <c r="A243" s="133" t="s">
        <v>2370</v>
      </c>
      <c r="B243" s="121">
        <f t="shared" si="8"/>
        <v>17.16</v>
      </c>
      <c r="C243" s="7" t="s">
        <v>5960</v>
      </c>
      <c r="D243" s="183">
        <f>10</f>
        <v>10</v>
      </c>
      <c r="E243" s="7">
        <v>0.57999999999999996</v>
      </c>
    </row>
    <row r="244" spans="1:18"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row>
    <row r="245" spans="1:18" ht="14.25" customHeight="1">
      <c r="A245" s="133" t="s">
        <v>2372</v>
      </c>
      <c r="B245" s="121">
        <f t="shared" si="8"/>
        <v>17.16</v>
      </c>
      <c r="C245" s="7" t="s">
        <v>1989</v>
      </c>
      <c r="D245" s="183">
        <f>10</f>
        <v>10</v>
      </c>
      <c r="E245" s="7">
        <v>0.57999999999999996</v>
      </c>
    </row>
    <row r="246" spans="1:18" ht="14.25" customHeight="1">
      <c r="A246" s="133" t="s">
        <v>2373</v>
      </c>
      <c r="B246" s="121">
        <f t="shared" si="8"/>
        <v>17.16</v>
      </c>
      <c r="C246" s="131" t="s">
        <v>3311</v>
      </c>
      <c r="D246" s="183">
        <f>10</f>
        <v>10</v>
      </c>
      <c r="E246" s="7">
        <v>0.57999999999999996</v>
      </c>
    </row>
    <row r="247" spans="1:18"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row>
    <row r="248" spans="1:18" ht="14.25" customHeight="1">
      <c r="A248" s="133" t="s">
        <v>2375</v>
      </c>
      <c r="B248" s="121">
        <f t="shared" si="9"/>
        <v>29.889999999999997</v>
      </c>
      <c r="C248" s="7" t="s">
        <v>1991</v>
      </c>
      <c r="D248" s="183">
        <f>10</f>
        <v>10</v>
      </c>
      <c r="E248" s="7">
        <v>0.96</v>
      </c>
    </row>
    <row r="249" spans="1:18" ht="14.25" customHeight="1">
      <c r="A249" s="133" t="s">
        <v>2376</v>
      </c>
      <c r="B249" s="121">
        <f t="shared" si="9"/>
        <v>29.889999999999997</v>
      </c>
      <c r="C249" s="7" t="s">
        <v>5751</v>
      </c>
      <c r="D249" s="183">
        <f>10</f>
        <v>10</v>
      </c>
      <c r="E249" s="7">
        <v>0.96</v>
      </c>
    </row>
    <row r="250" spans="1:18"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row>
    <row r="251" spans="1:18" ht="14.25" customHeight="1">
      <c r="A251" s="133" t="s">
        <v>2378</v>
      </c>
      <c r="B251" s="121">
        <f t="shared" si="9"/>
        <v>29.889999999999997</v>
      </c>
      <c r="C251" s="131" t="s">
        <v>3306</v>
      </c>
      <c r="D251" s="183">
        <f>10</f>
        <v>10</v>
      </c>
      <c r="E251" s="7">
        <v>0.96</v>
      </c>
    </row>
    <row r="252" spans="1:18" ht="14.25" customHeight="1">
      <c r="A252" s="133" t="s">
        <v>2379</v>
      </c>
      <c r="B252" s="121">
        <f t="shared" si="9"/>
        <v>29.889999999999997</v>
      </c>
      <c r="C252" s="7" t="s">
        <v>5752</v>
      </c>
      <c r="D252" s="183">
        <f>10</f>
        <v>10</v>
      </c>
      <c r="E252" s="7">
        <v>0.96</v>
      </c>
    </row>
    <row r="253" spans="1:18" ht="14.25" customHeight="1">
      <c r="A253" s="133" t="s">
        <v>2380</v>
      </c>
      <c r="B253" s="121">
        <f t="shared" si="9"/>
        <v>29.889999999999997</v>
      </c>
      <c r="C253" s="7" t="s">
        <v>5753</v>
      </c>
      <c r="D253" s="183">
        <f>10</f>
        <v>10</v>
      </c>
      <c r="E253" s="7">
        <v>0.96</v>
      </c>
    </row>
    <row r="254" spans="1:18" ht="14.25" customHeight="1">
      <c r="A254" s="133" t="s">
        <v>2381</v>
      </c>
      <c r="B254" s="121">
        <f t="shared" si="9"/>
        <v>29.889999999999997</v>
      </c>
      <c r="C254" s="7" t="s">
        <v>5754</v>
      </c>
      <c r="D254" s="183">
        <f>10</f>
        <v>10</v>
      </c>
      <c r="E254" s="7">
        <v>0.96</v>
      </c>
    </row>
    <row r="255" spans="1:18" ht="14.25" customHeight="1">
      <c r="A255" s="133" t="s">
        <v>2382</v>
      </c>
      <c r="B255" s="121">
        <f t="shared" si="9"/>
        <v>29.889999999999997</v>
      </c>
      <c r="C255" s="7" t="s">
        <v>5755</v>
      </c>
      <c r="D255" s="183">
        <f>10</f>
        <v>10</v>
      </c>
      <c r="E255" s="7">
        <v>0.96</v>
      </c>
    </row>
    <row r="256" spans="1:18" ht="14.25" customHeight="1">
      <c r="A256" s="133" t="s">
        <v>2383</v>
      </c>
      <c r="B256" s="121">
        <f t="shared" si="9"/>
        <v>29.889999999999997</v>
      </c>
      <c r="C256" s="7" t="s">
        <v>1998</v>
      </c>
      <c r="D256" s="183">
        <f>10</f>
        <v>10</v>
      </c>
      <c r="E256" s="7">
        <v>0.96</v>
      </c>
    </row>
    <row r="257" spans="1:7" ht="14.25" customHeight="1">
      <c r="A257" s="133" t="s">
        <v>2384</v>
      </c>
      <c r="B257" s="121">
        <f t="shared" si="9"/>
        <v>29.889999999999997</v>
      </c>
      <c r="C257" s="131" t="s">
        <v>3312</v>
      </c>
      <c r="D257" s="183">
        <f>10</f>
        <v>10</v>
      </c>
      <c r="E257" s="7">
        <v>0.96</v>
      </c>
    </row>
    <row r="258" spans="1:7" ht="14.25" customHeight="1">
      <c r="A258" s="133" t="s">
        <v>2385</v>
      </c>
      <c r="B258" s="121">
        <f t="shared" ref="B258:B268" si="10">332.7/10</f>
        <v>33.269999999999996</v>
      </c>
      <c r="C258" s="211" t="s">
        <v>1999</v>
      </c>
      <c r="D258" s="183">
        <f>10</f>
        <v>10</v>
      </c>
      <c r="E258" s="7">
        <v>1.2</v>
      </c>
      <c r="G258" s="211" t="s">
        <v>1999</v>
      </c>
    </row>
    <row r="259" spans="1:7" ht="14.25" customHeight="1">
      <c r="A259" s="133" t="s">
        <v>2386</v>
      </c>
      <c r="B259" s="121">
        <f t="shared" si="10"/>
        <v>33.269999999999996</v>
      </c>
      <c r="C259" s="7" t="s">
        <v>2000</v>
      </c>
      <c r="D259" s="183">
        <f>10</f>
        <v>10</v>
      </c>
      <c r="E259" s="7">
        <v>1.2</v>
      </c>
    </row>
    <row r="260" spans="1:7" ht="14.25" customHeight="1">
      <c r="A260" s="133" t="s">
        <v>2387</v>
      </c>
      <c r="B260" s="121">
        <f t="shared" si="10"/>
        <v>33.269999999999996</v>
      </c>
      <c r="C260" s="7" t="s">
        <v>5756</v>
      </c>
      <c r="D260" s="183">
        <f>10</f>
        <v>10</v>
      </c>
      <c r="E260" s="7">
        <v>1.2</v>
      </c>
    </row>
    <row r="261" spans="1:7" ht="14.25" customHeight="1">
      <c r="A261" s="133" t="s">
        <v>2388</v>
      </c>
      <c r="B261" s="121">
        <f t="shared" si="10"/>
        <v>33.269999999999996</v>
      </c>
      <c r="C261" s="7" t="s">
        <v>2002</v>
      </c>
      <c r="D261" s="183">
        <f>10</f>
        <v>10</v>
      </c>
      <c r="E261" s="7">
        <v>1.2</v>
      </c>
    </row>
    <row r="262" spans="1:7" ht="14.25" customHeight="1">
      <c r="A262" s="133" t="s">
        <v>2389</v>
      </c>
      <c r="B262" s="121">
        <f t="shared" si="10"/>
        <v>33.269999999999996</v>
      </c>
      <c r="C262" s="131" t="s">
        <v>3307</v>
      </c>
      <c r="D262" s="183">
        <f>10</f>
        <v>10</v>
      </c>
      <c r="E262" s="7">
        <v>1.2</v>
      </c>
    </row>
    <row r="263" spans="1:7" ht="14.25" customHeight="1">
      <c r="A263" s="133" t="s">
        <v>2390</v>
      </c>
      <c r="B263" s="121">
        <f t="shared" si="10"/>
        <v>33.269999999999996</v>
      </c>
      <c r="C263" s="7" t="s">
        <v>5757</v>
      </c>
      <c r="D263" s="183">
        <f>10</f>
        <v>10</v>
      </c>
      <c r="E263" s="7">
        <v>1.2</v>
      </c>
    </row>
    <row r="264" spans="1:7" ht="14.25" customHeight="1">
      <c r="A264" s="133" t="s">
        <v>2391</v>
      </c>
      <c r="B264" s="121">
        <f t="shared" si="10"/>
        <v>33.269999999999996</v>
      </c>
      <c r="C264" s="7" t="s">
        <v>5758</v>
      </c>
      <c r="D264" s="183">
        <f>10</f>
        <v>10</v>
      </c>
      <c r="E264" s="7">
        <v>1.2</v>
      </c>
    </row>
    <row r="265" spans="1:7" ht="14.25" customHeight="1">
      <c r="A265" s="133" t="s">
        <v>2392</v>
      </c>
      <c r="B265" s="121">
        <f t="shared" si="10"/>
        <v>33.269999999999996</v>
      </c>
      <c r="C265" s="7" t="s">
        <v>5759</v>
      </c>
      <c r="D265" s="183">
        <f>10</f>
        <v>10</v>
      </c>
      <c r="E265" s="7">
        <v>1.2</v>
      </c>
    </row>
    <row r="266" spans="1:7" ht="14.25" customHeight="1">
      <c r="A266" s="133" t="s">
        <v>2393</v>
      </c>
      <c r="B266" s="121">
        <f t="shared" si="10"/>
        <v>33.269999999999996</v>
      </c>
      <c r="C266" s="7" t="s">
        <v>5760</v>
      </c>
      <c r="D266" s="183">
        <f>10</f>
        <v>10</v>
      </c>
      <c r="E266" s="7">
        <v>1.2</v>
      </c>
    </row>
    <row r="267" spans="1:7" ht="14.25" customHeight="1">
      <c r="A267" s="133" t="s">
        <v>2394</v>
      </c>
      <c r="B267" s="121">
        <f t="shared" si="10"/>
        <v>33.269999999999996</v>
      </c>
      <c r="C267" s="7" t="s">
        <v>2007</v>
      </c>
      <c r="D267" s="183">
        <f>10</f>
        <v>10</v>
      </c>
      <c r="E267" s="7">
        <v>1.2</v>
      </c>
    </row>
    <row r="268" spans="1:7" ht="14.25" customHeight="1">
      <c r="A268" s="133" t="s">
        <v>2395</v>
      </c>
      <c r="B268" s="121">
        <f t="shared" si="10"/>
        <v>33.269999999999996</v>
      </c>
      <c r="C268" s="131" t="s">
        <v>3313</v>
      </c>
      <c r="D268" s="183">
        <f>10</f>
        <v>10</v>
      </c>
      <c r="E268" s="7">
        <v>1.2</v>
      </c>
    </row>
    <row r="269" spans="1:7" ht="14.25" customHeight="1">
      <c r="A269" s="133" t="s">
        <v>2396</v>
      </c>
      <c r="B269" s="121">
        <f t="shared" ref="B269:B279" si="11">363.3/5</f>
        <v>72.66</v>
      </c>
      <c r="C269" s="211" t="s">
        <v>2008</v>
      </c>
      <c r="D269" s="183">
        <f>5</f>
        <v>5</v>
      </c>
      <c r="E269" s="7">
        <v>2.4</v>
      </c>
      <c r="G269" s="211" t="s">
        <v>2008</v>
      </c>
    </row>
    <row r="270" spans="1:7" ht="14.25" customHeight="1">
      <c r="A270" s="133" t="s">
        <v>2397</v>
      </c>
      <c r="B270" s="121">
        <f t="shared" si="11"/>
        <v>72.66</v>
      </c>
      <c r="C270" s="7" t="s">
        <v>2009</v>
      </c>
      <c r="D270" s="183">
        <f>5</f>
        <v>5</v>
      </c>
      <c r="E270" s="7">
        <v>2.4</v>
      </c>
    </row>
    <row r="271" spans="1:7" ht="14.25" customHeight="1">
      <c r="A271" s="133" t="s">
        <v>2398</v>
      </c>
      <c r="B271" s="121">
        <f t="shared" si="11"/>
        <v>72.66</v>
      </c>
      <c r="C271" s="7" t="s">
        <v>5761</v>
      </c>
      <c r="D271" s="183">
        <f>5</f>
        <v>5</v>
      </c>
      <c r="E271" s="7">
        <v>2.4</v>
      </c>
    </row>
    <row r="272" spans="1:7" ht="14.25" customHeight="1">
      <c r="A272" s="133" t="s">
        <v>2399</v>
      </c>
      <c r="B272" s="121">
        <f t="shared" si="11"/>
        <v>72.66</v>
      </c>
      <c r="C272" s="7" t="s">
        <v>2011</v>
      </c>
      <c r="D272" s="183">
        <f>5</f>
        <v>5</v>
      </c>
      <c r="E272" s="7">
        <v>2.4</v>
      </c>
    </row>
    <row r="273" spans="1:18" ht="14.25" customHeight="1">
      <c r="A273" s="133" t="s">
        <v>2400</v>
      </c>
      <c r="B273" s="121">
        <f t="shared" si="11"/>
        <v>72.66</v>
      </c>
      <c r="C273" s="131" t="s">
        <v>3308</v>
      </c>
      <c r="D273" s="183">
        <f>5</f>
        <v>5</v>
      </c>
      <c r="E273" s="7">
        <v>2.4</v>
      </c>
    </row>
    <row r="274" spans="1:18" ht="14.25" customHeight="1">
      <c r="A274" s="133" t="s">
        <v>2401</v>
      </c>
      <c r="B274" s="121">
        <f t="shared" si="11"/>
        <v>72.66</v>
      </c>
      <c r="C274" s="7" t="s">
        <v>5762</v>
      </c>
      <c r="D274" s="183">
        <f>5</f>
        <v>5</v>
      </c>
      <c r="E274" s="7">
        <v>2.4</v>
      </c>
      <c r="R274" s="4"/>
    </row>
    <row r="275" spans="1:18" ht="14.25" customHeight="1">
      <c r="A275" s="133" t="s">
        <v>2402</v>
      </c>
      <c r="B275" s="121">
        <f t="shared" si="11"/>
        <v>72.66</v>
      </c>
      <c r="C275" s="7" t="s">
        <v>5763</v>
      </c>
      <c r="D275" s="183">
        <f>5</f>
        <v>5</v>
      </c>
      <c r="E275" s="7">
        <v>2.4</v>
      </c>
    </row>
    <row r="276" spans="1:18" ht="14.25" customHeight="1">
      <c r="A276" s="133" t="s">
        <v>2403</v>
      </c>
      <c r="B276" s="121">
        <f t="shared" si="11"/>
        <v>72.66</v>
      </c>
      <c r="C276" s="7" t="s">
        <v>5764</v>
      </c>
      <c r="D276" s="183">
        <f>5</f>
        <v>5</v>
      </c>
      <c r="E276" s="7">
        <v>2.4</v>
      </c>
    </row>
    <row r="277" spans="1:18" ht="14.25" customHeight="1">
      <c r="A277" s="133" t="s">
        <v>2404</v>
      </c>
      <c r="B277" s="121">
        <f t="shared" si="11"/>
        <v>72.66</v>
      </c>
      <c r="C277" s="7" t="s">
        <v>5765</v>
      </c>
      <c r="D277" s="183">
        <f>5</f>
        <v>5</v>
      </c>
      <c r="E277" s="7">
        <v>2.4</v>
      </c>
    </row>
    <row r="278" spans="1:18" ht="14.25" customHeight="1">
      <c r="A278" s="133" t="s">
        <v>2405</v>
      </c>
      <c r="B278" s="121">
        <f t="shared" si="11"/>
        <v>72.66</v>
      </c>
      <c r="C278" s="7" t="s">
        <v>2016</v>
      </c>
      <c r="D278" s="183">
        <f>5</f>
        <v>5</v>
      </c>
      <c r="E278" s="7">
        <v>2.4</v>
      </c>
    </row>
    <row r="279" spans="1:18" ht="14.25" customHeight="1">
      <c r="A279" s="133" t="s">
        <v>2406</v>
      </c>
      <c r="B279" s="121">
        <f t="shared" si="11"/>
        <v>72.66</v>
      </c>
      <c r="C279" s="131" t="s">
        <v>3314</v>
      </c>
      <c r="D279" s="183">
        <f>5</f>
        <v>5</v>
      </c>
      <c r="E279" s="7">
        <v>2.4</v>
      </c>
    </row>
    <row r="280" spans="1:18" ht="14.25" customHeight="1">
      <c r="A280" s="125" t="s">
        <v>3008</v>
      </c>
      <c r="B280" s="9">
        <v>13</v>
      </c>
      <c r="C280" s="211" t="s">
        <v>5766</v>
      </c>
      <c r="D280" s="184">
        <v>3</v>
      </c>
      <c r="E280" s="6">
        <v>2.2000000000000002</v>
      </c>
      <c r="G280" s="211" t="s">
        <v>5766</v>
      </c>
      <c r="R280" s="4"/>
    </row>
    <row r="281" spans="1:18" ht="14.25" customHeight="1">
      <c r="A281" s="125" t="s">
        <v>3009</v>
      </c>
      <c r="B281" s="9">
        <v>13</v>
      </c>
      <c r="C281" s="1" t="s">
        <v>5767</v>
      </c>
      <c r="D281" s="184">
        <v>3</v>
      </c>
      <c r="E281" s="6">
        <v>2.2000000000000002</v>
      </c>
    </row>
    <row r="282" spans="1:18" ht="14.25" customHeight="1">
      <c r="A282" s="125" t="s">
        <v>3010</v>
      </c>
      <c r="B282" s="9">
        <v>13</v>
      </c>
      <c r="C282" s="1" t="s">
        <v>5768</v>
      </c>
      <c r="D282" s="184">
        <v>3</v>
      </c>
      <c r="E282" s="6">
        <v>2.2000000000000002</v>
      </c>
    </row>
    <row r="283" spans="1:18" ht="14.25" customHeight="1">
      <c r="A283" s="125" t="s">
        <v>3011</v>
      </c>
      <c r="B283" s="9">
        <v>13</v>
      </c>
      <c r="C283" s="1" t="s">
        <v>5769</v>
      </c>
      <c r="D283" s="184">
        <v>3</v>
      </c>
      <c r="E283" s="6">
        <v>2.2000000000000002</v>
      </c>
    </row>
    <row r="284" spans="1:18" ht="14.25" customHeight="1">
      <c r="A284" s="125" t="s">
        <v>3012</v>
      </c>
      <c r="B284" s="9">
        <v>13</v>
      </c>
      <c r="C284" s="1" t="s">
        <v>5770</v>
      </c>
      <c r="D284" s="184">
        <v>3</v>
      </c>
      <c r="E284" s="6">
        <v>2.2000000000000002</v>
      </c>
    </row>
    <row r="285" spans="1:18" ht="14.25" customHeight="1">
      <c r="A285" s="125" t="s">
        <v>3013</v>
      </c>
      <c r="B285" s="9">
        <v>13</v>
      </c>
      <c r="C285" s="211" t="s">
        <v>5771</v>
      </c>
      <c r="D285" s="184">
        <v>3</v>
      </c>
      <c r="E285" s="6">
        <v>2.2000000000000002</v>
      </c>
      <c r="G285" s="211" t="s">
        <v>5771</v>
      </c>
    </row>
    <row r="286" spans="1:18" ht="14.25" customHeight="1">
      <c r="A286" s="125" t="s">
        <v>3014</v>
      </c>
      <c r="B286" s="9">
        <v>13</v>
      </c>
      <c r="C286" s="1" t="s">
        <v>5772</v>
      </c>
      <c r="D286" s="184">
        <v>3</v>
      </c>
      <c r="E286" s="6">
        <v>2.2000000000000002</v>
      </c>
    </row>
    <row r="287" spans="1:18" ht="14.25" customHeight="1">
      <c r="A287" s="125" t="s">
        <v>3015</v>
      </c>
      <c r="B287" s="9">
        <v>13</v>
      </c>
      <c r="C287" s="1" t="s">
        <v>5773</v>
      </c>
      <c r="D287" s="184">
        <v>3</v>
      </c>
      <c r="E287" s="6">
        <v>2.2000000000000002</v>
      </c>
    </row>
    <row r="288" spans="1:18" ht="14.25" customHeight="1">
      <c r="A288" s="125" t="s">
        <v>3016</v>
      </c>
      <c r="B288" s="9">
        <v>13</v>
      </c>
      <c r="C288" s="1" t="s">
        <v>5774</v>
      </c>
      <c r="D288" s="184">
        <v>3</v>
      </c>
      <c r="E288" s="6">
        <v>2.2000000000000002</v>
      </c>
    </row>
    <row r="289" spans="1:18" ht="14.25" customHeight="1">
      <c r="A289" s="125" t="s">
        <v>3017</v>
      </c>
      <c r="B289" s="9">
        <v>13</v>
      </c>
      <c r="C289" s="1" t="s">
        <v>5775</v>
      </c>
      <c r="D289" s="184">
        <v>3</v>
      </c>
      <c r="E289" s="6">
        <v>2.2000000000000002</v>
      </c>
    </row>
    <row r="290" spans="1:18" ht="14.25" customHeight="1">
      <c r="A290" s="125" t="s">
        <v>3018</v>
      </c>
      <c r="B290" s="9">
        <v>13</v>
      </c>
      <c r="C290" s="134" t="s">
        <v>5776</v>
      </c>
      <c r="D290" s="184">
        <v>3</v>
      </c>
      <c r="E290" s="6">
        <v>2.2000000000000002</v>
      </c>
    </row>
    <row r="291" spans="1:18" ht="14.25" customHeight="1">
      <c r="A291" s="125" t="s">
        <v>3019</v>
      </c>
      <c r="B291" s="9">
        <v>13</v>
      </c>
      <c r="C291" s="1" t="s">
        <v>5777</v>
      </c>
      <c r="D291" s="184">
        <v>3</v>
      </c>
      <c r="E291" s="6">
        <v>2.2000000000000002</v>
      </c>
    </row>
    <row r="292" spans="1:18" ht="14.25" customHeight="1">
      <c r="A292" s="125" t="s">
        <v>3020</v>
      </c>
      <c r="B292" s="9">
        <v>13</v>
      </c>
      <c r="C292" s="1" t="s">
        <v>5778</v>
      </c>
      <c r="D292" s="184">
        <v>3</v>
      </c>
      <c r="E292" s="6">
        <v>2.2000000000000002</v>
      </c>
    </row>
    <row r="293" spans="1:18" ht="14.25" customHeight="1">
      <c r="A293" s="125" t="s">
        <v>3021</v>
      </c>
      <c r="B293" s="9">
        <v>13</v>
      </c>
      <c r="C293" s="1" t="s">
        <v>5779</v>
      </c>
      <c r="D293" s="184">
        <v>3</v>
      </c>
      <c r="E293" s="6">
        <v>2.2000000000000002</v>
      </c>
    </row>
    <row r="294" spans="1:18" ht="14.25" customHeight="1">
      <c r="A294" s="125" t="s">
        <v>3022</v>
      </c>
      <c r="B294" s="9">
        <v>13</v>
      </c>
      <c r="C294" s="1" t="s">
        <v>5780</v>
      </c>
      <c r="D294" s="184">
        <v>3</v>
      </c>
      <c r="E294" s="6">
        <v>2.2000000000000002</v>
      </c>
    </row>
    <row r="295" spans="1:18" ht="14.25" customHeight="1">
      <c r="A295" s="125" t="s">
        <v>3023</v>
      </c>
      <c r="B295" s="9">
        <v>13</v>
      </c>
      <c r="C295" s="1" t="s">
        <v>5781</v>
      </c>
      <c r="D295" s="184">
        <v>3</v>
      </c>
      <c r="E295" s="6">
        <v>2.2000000000000002</v>
      </c>
    </row>
    <row r="296" spans="1:18" ht="14.25" customHeight="1">
      <c r="A296" s="125" t="s">
        <v>3024</v>
      </c>
      <c r="B296" s="9">
        <v>13</v>
      </c>
      <c r="C296" s="211" t="s">
        <v>5782</v>
      </c>
      <c r="D296" s="184">
        <v>3</v>
      </c>
      <c r="E296" s="6">
        <v>2.2000000000000002</v>
      </c>
      <c r="G296" s="211" t="s">
        <v>5782</v>
      </c>
      <c r="R296" s="4"/>
    </row>
    <row r="297" spans="1:18" ht="14.25" customHeight="1">
      <c r="A297" s="125" t="s">
        <v>3025</v>
      </c>
      <c r="B297" s="9">
        <v>13</v>
      </c>
      <c r="C297" s="1" t="s">
        <v>5783</v>
      </c>
      <c r="D297" s="184">
        <v>3</v>
      </c>
      <c r="E297" s="6">
        <v>2.2000000000000002</v>
      </c>
    </row>
    <row r="298" spans="1:18" ht="14.25" customHeight="1">
      <c r="A298" s="125" t="s">
        <v>3026</v>
      </c>
      <c r="B298" s="9">
        <v>13</v>
      </c>
      <c r="C298" s="1" t="s">
        <v>5784</v>
      </c>
      <c r="D298" s="184">
        <v>3</v>
      </c>
      <c r="E298" s="6">
        <v>2.2000000000000002</v>
      </c>
    </row>
    <row r="299" spans="1:18"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row>
    <row r="300" spans="1:18" ht="14.25" customHeight="1">
      <c r="A300" s="125" t="s">
        <v>3028</v>
      </c>
      <c r="B300" s="9">
        <v>13</v>
      </c>
      <c r="C300" s="1" t="s">
        <v>5786</v>
      </c>
      <c r="D300" s="184">
        <v>3</v>
      </c>
      <c r="E300" s="6">
        <v>2.2000000000000002</v>
      </c>
    </row>
    <row r="301" spans="1:18" ht="14.25" customHeight="1">
      <c r="A301" s="125" t="s">
        <v>3029</v>
      </c>
      <c r="B301" s="9">
        <v>13</v>
      </c>
      <c r="C301" s="1" t="s">
        <v>5787</v>
      </c>
      <c r="D301" s="184">
        <v>3</v>
      </c>
      <c r="E301" s="6">
        <v>2.2000000000000002</v>
      </c>
      <c r="R301" s="4"/>
    </row>
    <row r="302" spans="1:18" ht="14.25" customHeight="1">
      <c r="A302" s="117" t="s">
        <v>2407</v>
      </c>
      <c r="B302" s="121">
        <f t="shared" ref="B302:B320" si="12">305.7/10</f>
        <v>30.57</v>
      </c>
      <c r="C302" s="211" t="s">
        <v>1238</v>
      </c>
      <c r="D302" s="183">
        <v>10</v>
      </c>
      <c r="E302" s="7">
        <v>0.72</v>
      </c>
      <c r="G302" s="211" t="s">
        <v>1238</v>
      </c>
    </row>
    <row r="303" spans="1:18" ht="14.25" customHeight="1">
      <c r="A303" s="117" t="s">
        <v>2408</v>
      </c>
      <c r="B303" s="121">
        <f t="shared" si="12"/>
        <v>30.57</v>
      </c>
      <c r="C303" s="7" t="s">
        <v>1239</v>
      </c>
      <c r="D303" s="183">
        <v>10</v>
      </c>
      <c r="E303" s="7">
        <v>0.72</v>
      </c>
    </row>
    <row r="304" spans="1:18" ht="14.25" customHeight="1">
      <c r="A304" s="117" t="s">
        <v>2409</v>
      </c>
      <c r="B304" s="121">
        <f t="shared" si="12"/>
        <v>30.57</v>
      </c>
      <c r="C304" s="7" t="s">
        <v>1250</v>
      </c>
      <c r="D304" s="183">
        <v>10</v>
      </c>
      <c r="E304" s="7">
        <v>0.72</v>
      </c>
    </row>
    <row r="305" spans="1:18"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row>
    <row r="306" spans="1:18" ht="14.25" customHeight="1">
      <c r="A306" s="117" t="s">
        <v>2411</v>
      </c>
      <c r="B306" s="121">
        <f t="shared" si="12"/>
        <v>30.57</v>
      </c>
      <c r="C306" s="7" t="s">
        <v>1246</v>
      </c>
      <c r="D306" s="183">
        <v>10</v>
      </c>
      <c r="E306" s="7">
        <v>0.72</v>
      </c>
    </row>
    <row r="307" spans="1:18" ht="14.25" customHeight="1">
      <c r="A307" s="117" t="s">
        <v>2412</v>
      </c>
      <c r="B307" s="121">
        <f t="shared" si="12"/>
        <v>30.57</v>
      </c>
      <c r="C307" s="7" t="s">
        <v>1248</v>
      </c>
      <c r="D307" s="183">
        <v>5</v>
      </c>
      <c r="E307" s="7">
        <v>0.72</v>
      </c>
    </row>
    <row r="308" spans="1:18" ht="14.25" customHeight="1">
      <c r="A308" s="117" t="s">
        <v>2413</v>
      </c>
      <c r="B308" s="121">
        <f t="shared" si="12"/>
        <v>30.57</v>
      </c>
      <c r="C308" s="7" t="s">
        <v>1245</v>
      </c>
      <c r="D308" s="183">
        <v>10</v>
      </c>
      <c r="E308" s="7">
        <v>0.72</v>
      </c>
      <c r="R308" s="4"/>
    </row>
    <row r="309" spans="1:18" ht="14.25" customHeight="1">
      <c r="A309" s="117" t="s">
        <v>2414</v>
      </c>
      <c r="B309" s="121">
        <f t="shared" si="12"/>
        <v>30.57</v>
      </c>
      <c r="C309" s="211" t="s">
        <v>1252</v>
      </c>
      <c r="D309" s="183">
        <v>10</v>
      </c>
      <c r="E309" s="7">
        <v>0.72</v>
      </c>
      <c r="G309" s="211" t="s">
        <v>1252</v>
      </c>
    </row>
    <row r="310" spans="1:18" ht="14.25" customHeight="1">
      <c r="A310" s="117" t="s">
        <v>2415</v>
      </c>
      <c r="B310" s="121">
        <f t="shared" si="12"/>
        <v>30.57</v>
      </c>
      <c r="C310" s="7" t="s">
        <v>1247</v>
      </c>
      <c r="D310" s="183">
        <v>10</v>
      </c>
      <c r="E310" s="7">
        <v>0.72</v>
      </c>
    </row>
    <row r="311" spans="1:18" ht="14.25" customHeight="1">
      <c r="A311" s="117" t="s">
        <v>2416</v>
      </c>
      <c r="B311" s="121">
        <f t="shared" si="12"/>
        <v>30.57</v>
      </c>
      <c r="C311" s="211" t="s">
        <v>1254</v>
      </c>
      <c r="D311" s="183">
        <v>5</v>
      </c>
      <c r="E311" s="7">
        <v>0.72</v>
      </c>
      <c r="G311" s="211" t="s">
        <v>1254</v>
      </c>
    </row>
    <row r="312" spans="1:18" ht="14.25" customHeight="1">
      <c r="A312" s="117" t="s">
        <v>2417</v>
      </c>
      <c r="B312" s="121">
        <f t="shared" si="12"/>
        <v>30.57</v>
      </c>
      <c r="C312" s="7" t="s">
        <v>1365</v>
      </c>
      <c r="D312" s="183">
        <v>5</v>
      </c>
      <c r="E312" s="7">
        <v>0.72</v>
      </c>
    </row>
    <row r="313" spans="1:18" ht="14.25" customHeight="1">
      <c r="A313" s="117" t="s">
        <v>2418</v>
      </c>
      <c r="B313" s="121">
        <f t="shared" si="12"/>
        <v>30.57</v>
      </c>
      <c r="C313" s="7" t="s">
        <v>1249</v>
      </c>
      <c r="D313" s="183">
        <v>3</v>
      </c>
      <c r="E313" s="7">
        <v>0.72</v>
      </c>
    </row>
    <row r="314" spans="1:18" ht="14.25" customHeight="1">
      <c r="A314" s="117" t="s">
        <v>2419</v>
      </c>
      <c r="B314" s="121">
        <f t="shared" si="12"/>
        <v>30.57</v>
      </c>
      <c r="C314" s="7" t="s">
        <v>1253</v>
      </c>
      <c r="D314" s="183">
        <v>3</v>
      </c>
      <c r="E314" s="7">
        <v>0.72</v>
      </c>
    </row>
    <row r="315" spans="1:18" ht="14.25" customHeight="1">
      <c r="A315" s="117" t="s">
        <v>2420</v>
      </c>
      <c r="B315" s="121">
        <f t="shared" si="12"/>
        <v>30.57</v>
      </c>
      <c r="C315" s="7" t="s">
        <v>1242</v>
      </c>
      <c r="D315" s="183">
        <v>3</v>
      </c>
      <c r="E315" s="7">
        <v>0.72</v>
      </c>
    </row>
    <row r="316" spans="1:18" ht="14.25" customHeight="1">
      <c r="A316" s="117" t="s">
        <v>2421</v>
      </c>
      <c r="B316" s="121">
        <f t="shared" si="12"/>
        <v>30.57</v>
      </c>
      <c r="C316" s="7" t="s">
        <v>1251</v>
      </c>
      <c r="D316" s="183">
        <v>3</v>
      </c>
      <c r="E316" s="7">
        <v>0.72</v>
      </c>
    </row>
    <row r="317" spans="1:18" ht="14.25" customHeight="1">
      <c r="A317" s="117" t="s">
        <v>2422</v>
      </c>
      <c r="B317" s="121">
        <f t="shared" si="12"/>
        <v>30.57</v>
      </c>
      <c r="C317" s="7" t="s">
        <v>1244</v>
      </c>
      <c r="D317" s="183">
        <v>5</v>
      </c>
      <c r="E317" s="7">
        <v>0.72</v>
      </c>
    </row>
    <row r="318" spans="1:18" ht="14.25" customHeight="1">
      <c r="A318" s="117" t="s">
        <v>2423</v>
      </c>
      <c r="B318" s="121">
        <f t="shared" si="12"/>
        <v>30.57</v>
      </c>
      <c r="C318" s="7" t="s">
        <v>1240</v>
      </c>
      <c r="D318" s="183">
        <v>5</v>
      </c>
      <c r="E318" s="7">
        <v>0.72</v>
      </c>
    </row>
    <row r="319" spans="1:18" ht="14.25" customHeight="1">
      <c r="A319" s="117" t="s">
        <v>2424</v>
      </c>
      <c r="B319" s="121">
        <f t="shared" si="12"/>
        <v>30.57</v>
      </c>
      <c r="C319" s="7" t="s">
        <v>1241</v>
      </c>
      <c r="D319" s="183">
        <v>5</v>
      </c>
      <c r="E319" s="7">
        <v>0.72</v>
      </c>
    </row>
    <row r="320" spans="1:18" ht="14.25" customHeight="1">
      <c r="A320" s="117" t="s">
        <v>2425</v>
      </c>
      <c r="B320" s="121">
        <f t="shared" si="12"/>
        <v>30.57</v>
      </c>
      <c r="C320" s="196" t="s">
        <v>6045</v>
      </c>
      <c r="D320" s="183">
        <v>5</v>
      </c>
      <c r="E320" s="7">
        <v>0.72</v>
      </c>
    </row>
    <row r="321" spans="1:18" s="4" customFormat="1" ht="14.25" customHeight="1">
      <c r="A321" s="125" t="s">
        <v>2497</v>
      </c>
      <c r="B321" s="9">
        <v>10</v>
      </c>
      <c r="C321" s="211" t="s">
        <v>1307</v>
      </c>
      <c r="D321" s="183">
        <v>3</v>
      </c>
      <c r="E321" s="7">
        <v>1</v>
      </c>
      <c r="F321" s="7"/>
      <c r="G321" s="211" t="s">
        <v>1307</v>
      </c>
      <c r="H321" s="7"/>
      <c r="I321" s="7"/>
      <c r="J321" s="7"/>
      <c r="K321" s="7"/>
      <c r="L321" s="7"/>
      <c r="M321" s="7"/>
      <c r="N321" s="7"/>
      <c r="O321" s="7"/>
      <c r="P321" s="7"/>
      <c r="Q321" s="7"/>
      <c r="R321" s="7"/>
    </row>
    <row r="322" spans="1:18" ht="14.25" customHeight="1">
      <c r="A322" s="125" t="s">
        <v>2498</v>
      </c>
      <c r="B322" s="9">
        <v>10</v>
      </c>
      <c r="C322" s="7" t="s">
        <v>1311</v>
      </c>
      <c r="D322" s="183">
        <v>3</v>
      </c>
      <c r="E322" s="7">
        <v>1.2</v>
      </c>
    </row>
    <row r="323" spans="1:18" ht="14.25" customHeight="1">
      <c r="A323" s="125" t="s">
        <v>2499</v>
      </c>
      <c r="B323" s="9">
        <v>10</v>
      </c>
      <c r="C323" s="7" t="s">
        <v>1310</v>
      </c>
      <c r="D323" s="183">
        <v>3</v>
      </c>
      <c r="E323" s="7">
        <v>1.2</v>
      </c>
    </row>
    <row r="324" spans="1:18" ht="14.25" customHeight="1">
      <c r="A324" s="125" t="s">
        <v>2500</v>
      </c>
      <c r="B324" s="9">
        <v>10</v>
      </c>
      <c r="C324" s="7" t="s">
        <v>1309</v>
      </c>
      <c r="D324" s="183">
        <v>3</v>
      </c>
      <c r="E324" s="7">
        <v>1.2</v>
      </c>
    </row>
    <row r="325" spans="1:18" ht="14.25" customHeight="1">
      <c r="A325" s="125" t="s">
        <v>2501</v>
      </c>
      <c r="B325" s="9">
        <v>10</v>
      </c>
      <c r="C325" s="7" t="s">
        <v>5788</v>
      </c>
      <c r="D325" s="183">
        <v>3</v>
      </c>
      <c r="E325" s="7">
        <v>1.2</v>
      </c>
    </row>
    <row r="326" spans="1:18"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row>
    <row r="327" spans="1:18" ht="14.25" customHeight="1">
      <c r="A327" s="125" t="s">
        <v>2503</v>
      </c>
      <c r="B327" s="9">
        <v>10</v>
      </c>
      <c r="C327" s="131" t="s">
        <v>3298</v>
      </c>
      <c r="D327" s="183">
        <v>3</v>
      </c>
      <c r="E327" s="7">
        <v>1.2</v>
      </c>
    </row>
    <row r="328" spans="1:18" ht="14.25" customHeight="1">
      <c r="A328" s="125" t="s">
        <v>2504</v>
      </c>
      <c r="B328" s="9">
        <v>10</v>
      </c>
      <c r="C328" s="131" t="s">
        <v>3296</v>
      </c>
      <c r="D328" s="183">
        <v>3</v>
      </c>
      <c r="E328" s="7">
        <v>1.2</v>
      </c>
    </row>
    <row r="329" spans="1:18" ht="14.25" customHeight="1">
      <c r="A329" s="125" t="s">
        <v>2505</v>
      </c>
      <c r="B329" s="9">
        <v>22</v>
      </c>
      <c r="C329" s="211" t="s">
        <v>1312</v>
      </c>
      <c r="D329" s="183">
        <v>3</v>
      </c>
      <c r="E329" s="7">
        <v>2</v>
      </c>
      <c r="G329" s="211" t="s">
        <v>1312</v>
      </c>
      <c r="R329" s="4"/>
    </row>
    <row r="330" spans="1:18" ht="14.25" customHeight="1">
      <c r="A330" s="125" t="s">
        <v>2506</v>
      </c>
      <c r="B330" s="9">
        <v>22</v>
      </c>
      <c r="C330" s="7" t="s">
        <v>1313</v>
      </c>
      <c r="D330" s="183">
        <v>3</v>
      </c>
      <c r="E330" s="7">
        <v>2</v>
      </c>
    </row>
    <row r="331" spans="1:18" ht="14.25" customHeight="1">
      <c r="A331" s="125" t="s">
        <v>2507</v>
      </c>
      <c r="B331" s="9">
        <v>22</v>
      </c>
      <c r="C331" s="196" t="s">
        <v>6048</v>
      </c>
      <c r="D331" s="183">
        <v>3</v>
      </c>
      <c r="E331" s="7">
        <v>2</v>
      </c>
    </row>
    <row r="332" spans="1:18" ht="14.25" customHeight="1">
      <c r="A332" s="125" t="s">
        <v>2508</v>
      </c>
      <c r="B332" s="9">
        <v>22</v>
      </c>
      <c r="C332" s="7" t="s">
        <v>1314</v>
      </c>
      <c r="D332" s="183">
        <v>3</v>
      </c>
      <c r="E332" s="7">
        <v>2</v>
      </c>
    </row>
    <row r="333" spans="1:18"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row>
    <row r="334" spans="1:18" ht="14.25" customHeight="1">
      <c r="A334" s="125" t="s">
        <v>2510</v>
      </c>
      <c r="B334" s="9">
        <v>22</v>
      </c>
      <c r="C334" s="131" t="s">
        <v>3297</v>
      </c>
      <c r="D334" s="183">
        <v>3</v>
      </c>
      <c r="E334" s="7">
        <v>2</v>
      </c>
    </row>
    <row r="335" spans="1:18" ht="14.25" customHeight="1">
      <c r="A335" s="125" t="s">
        <v>2511</v>
      </c>
      <c r="B335" s="9">
        <v>22</v>
      </c>
      <c r="C335" s="131" t="s">
        <v>3299</v>
      </c>
      <c r="D335" s="183">
        <v>3</v>
      </c>
      <c r="E335" s="7">
        <v>2</v>
      </c>
    </row>
    <row r="336" spans="1:18" ht="14.25" customHeight="1">
      <c r="A336" s="125" t="s">
        <v>2547</v>
      </c>
      <c r="B336" s="121">
        <f>11.6/3</f>
        <v>3.8666666666666667</v>
      </c>
      <c r="C336" s="211" t="s">
        <v>1534</v>
      </c>
      <c r="D336" s="183">
        <v>3</v>
      </c>
      <c r="E336" s="7">
        <v>0.15</v>
      </c>
      <c r="G336" s="211" t="s">
        <v>1534</v>
      </c>
    </row>
    <row r="337" spans="1:18" ht="14.25" customHeight="1">
      <c r="A337" s="125" t="s">
        <v>2548</v>
      </c>
      <c r="B337" s="121">
        <f>34.4/3</f>
        <v>11.466666666666667</v>
      </c>
      <c r="C337" s="7" t="s">
        <v>1535</v>
      </c>
      <c r="D337" s="183">
        <v>3</v>
      </c>
      <c r="E337" s="7">
        <v>0.45</v>
      </c>
    </row>
    <row r="338" spans="1:18" ht="14.25" customHeight="1">
      <c r="A338" s="125" t="s">
        <v>2549</v>
      </c>
      <c r="B338" s="121">
        <f>99.7/3</f>
        <v>33.233333333333334</v>
      </c>
      <c r="C338" s="7" t="s">
        <v>1536</v>
      </c>
      <c r="D338" s="183">
        <v>3</v>
      </c>
      <c r="E338" s="7">
        <v>0.9</v>
      </c>
    </row>
    <row r="339" spans="1:18" ht="14.25" customHeight="1">
      <c r="A339" s="125" t="s">
        <v>2550</v>
      </c>
      <c r="B339" s="121">
        <f>162.1/3</f>
        <v>54.033333333333331</v>
      </c>
      <c r="C339" s="7" t="s">
        <v>1537</v>
      </c>
      <c r="D339" s="183">
        <v>3</v>
      </c>
      <c r="E339" s="7">
        <v>1.5</v>
      </c>
      <c r="R339" s="4"/>
    </row>
    <row r="340" spans="1:18" ht="14.25" customHeight="1">
      <c r="A340" s="125" t="s">
        <v>2551</v>
      </c>
      <c r="B340" s="121">
        <f>201.8/3</f>
        <v>67.266666666666666</v>
      </c>
      <c r="C340" s="7" t="s">
        <v>1538</v>
      </c>
      <c r="D340" s="183">
        <v>3</v>
      </c>
      <c r="E340" s="7">
        <v>1.88</v>
      </c>
    </row>
    <row r="341" spans="1:18" ht="14.25" customHeight="1">
      <c r="A341" s="125" t="s">
        <v>2552</v>
      </c>
      <c r="B341" s="121">
        <f>322/3</f>
        <v>107.33333333333333</v>
      </c>
      <c r="C341" s="7" t="s">
        <v>1539</v>
      </c>
      <c r="D341" s="183">
        <v>3</v>
      </c>
      <c r="E341" s="7">
        <v>3</v>
      </c>
    </row>
    <row r="342" spans="1:18" ht="14.25" customHeight="1">
      <c r="A342" s="125" t="s">
        <v>2553</v>
      </c>
      <c r="B342" s="121">
        <f>405.5/3</f>
        <v>135.16666666666666</v>
      </c>
      <c r="C342" s="7" t="s">
        <v>1533</v>
      </c>
      <c r="D342" s="183">
        <v>3</v>
      </c>
      <c r="E342" s="7">
        <v>3.75</v>
      </c>
    </row>
    <row r="343" spans="1:18" ht="14.25" customHeight="1">
      <c r="A343" s="125" t="s">
        <v>2554</v>
      </c>
      <c r="B343" s="121">
        <f>19.4/3</f>
        <v>6.4666666666666659</v>
      </c>
      <c r="C343" s="211" t="s">
        <v>1340</v>
      </c>
      <c r="D343" s="183">
        <v>3</v>
      </c>
      <c r="E343" s="7">
        <v>0.21</v>
      </c>
      <c r="G343" s="211" t="s">
        <v>1340</v>
      </c>
    </row>
    <row r="344" spans="1:18" ht="14.25" customHeight="1">
      <c r="A344" s="125" t="s">
        <v>2555</v>
      </c>
      <c r="B344" s="121">
        <f>62/3</f>
        <v>20.666666666666668</v>
      </c>
      <c r="C344" s="7" t="s">
        <v>1341</v>
      </c>
      <c r="D344" s="183">
        <v>3</v>
      </c>
      <c r="E344" s="7">
        <v>0.56999999999999995</v>
      </c>
    </row>
    <row r="345" spans="1:18" ht="14.25" customHeight="1">
      <c r="A345" s="125" t="s">
        <v>2556</v>
      </c>
      <c r="B345" s="121">
        <f>123.1/3</f>
        <v>41.033333333333331</v>
      </c>
      <c r="C345" s="7" t="s">
        <v>1342</v>
      </c>
      <c r="D345" s="183">
        <v>3</v>
      </c>
      <c r="E345" s="7">
        <v>1.1200000000000001</v>
      </c>
    </row>
    <row r="346" spans="1:18" ht="14.25" customHeight="1">
      <c r="A346" s="125" t="s">
        <v>2557</v>
      </c>
      <c r="B346" s="121">
        <f>205.4/3</f>
        <v>68.466666666666669</v>
      </c>
      <c r="C346" s="7" t="s">
        <v>1343</v>
      </c>
      <c r="D346" s="183">
        <v>3</v>
      </c>
      <c r="E346" s="7">
        <v>1.84</v>
      </c>
    </row>
    <row r="347" spans="1:18" ht="14.25" customHeight="1">
      <c r="A347" s="125" t="s">
        <v>2558</v>
      </c>
      <c r="B347" s="121">
        <f>323.4/3</f>
        <v>107.8</v>
      </c>
      <c r="C347" s="7" t="s">
        <v>1344</v>
      </c>
      <c r="D347" s="183">
        <v>3</v>
      </c>
      <c r="E347" s="7">
        <v>2.29</v>
      </c>
    </row>
    <row r="348" spans="1:18" ht="14.25" customHeight="1">
      <c r="A348" s="125" t="s">
        <v>2559</v>
      </c>
      <c r="B348" s="9">
        <v>49.6</v>
      </c>
      <c r="C348" s="211" t="s">
        <v>1540</v>
      </c>
      <c r="D348" s="183">
        <v>5</v>
      </c>
      <c r="E348" s="7">
        <v>2</v>
      </c>
      <c r="G348" s="211" t="s">
        <v>1540</v>
      </c>
    </row>
    <row r="349" spans="1:18" ht="14.25" customHeight="1">
      <c r="A349" s="125" t="s">
        <v>2560</v>
      </c>
      <c r="B349" s="9">
        <v>114.9</v>
      </c>
      <c r="C349" s="7" t="s">
        <v>1541</v>
      </c>
      <c r="D349" s="183">
        <v>3</v>
      </c>
      <c r="E349" s="7">
        <v>3.7</v>
      </c>
    </row>
    <row r="350" spans="1:18" ht="14.25" customHeight="1">
      <c r="A350" s="125" t="s">
        <v>2561</v>
      </c>
      <c r="B350" s="9">
        <v>86.2</v>
      </c>
      <c r="C350" s="7" t="s">
        <v>1542</v>
      </c>
      <c r="D350" s="183">
        <v>3</v>
      </c>
      <c r="E350" s="7">
        <v>2.5</v>
      </c>
    </row>
    <row r="351" spans="1:18" ht="14.25" customHeight="1">
      <c r="A351" s="125" t="s">
        <v>2562</v>
      </c>
      <c r="B351" s="9">
        <v>121.4</v>
      </c>
      <c r="C351" s="7" t="s">
        <v>1543</v>
      </c>
      <c r="D351" s="183">
        <v>3</v>
      </c>
      <c r="E351" s="7">
        <v>3.7</v>
      </c>
    </row>
    <row r="352" spans="1:18" ht="14.25" customHeight="1">
      <c r="A352" s="125" t="s">
        <v>2563</v>
      </c>
      <c r="B352" s="9">
        <v>169.4</v>
      </c>
      <c r="C352" s="211" t="s">
        <v>1544</v>
      </c>
      <c r="D352" s="183">
        <v>3</v>
      </c>
      <c r="E352" s="7">
        <v>3.18</v>
      </c>
      <c r="G352" s="211" t="s">
        <v>1544</v>
      </c>
      <c r="R352" s="4"/>
    </row>
    <row r="353" spans="1:18" ht="14.25" customHeight="1">
      <c r="A353" s="125" t="s">
        <v>2564</v>
      </c>
      <c r="B353" s="9">
        <v>169.4</v>
      </c>
      <c r="C353" s="7" t="s">
        <v>1545</v>
      </c>
      <c r="D353" s="183">
        <v>3</v>
      </c>
      <c r="E353" s="7">
        <v>3.18</v>
      </c>
    </row>
    <row r="354" spans="1:18"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row>
    <row r="355" spans="1:18" ht="14.25" customHeight="1">
      <c r="A355" s="125" t="s">
        <v>2566</v>
      </c>
      <c r="B355" s="9">
        <v>70</v>
      </c>
      <c r="C355" s="211" t="s">
        <v>1381</v>
      </c>
      <c r="D355" s="183">
        <v>5</v>
      </c>
      <c r="E355" s="7">
        <v>0.57999999999999996</v>
      </c>
      <c r="G355" s="211" t="s">
        <v>1381</v>
      </c>
    </row>
    <row r="356" spans="1:18" ht="14.25" customHeight="1">
      <c r="A356" s="125" t="s">
        <v>2567</v>
      </c>
      <c r="B356" s="9">
        <v>70</v>
      </c>
      <c r="C356" s="7" t="s">
        <v>1382</v>
      </c>
      <c r="D356" s="183">
        <v>5</v>
      </c>
      <c r="E356" s="7">
        <v>0.57999999999999996</v>
      </c>
    </row>
    <row r="357" spans="1:18" ht="14.25" customHeight="1">
      <c r="A357" s="125" t="s">
        <v>2568</v>
      </c>
      <c r="B357" s="9">
        <v>70</v>
      </c>
      <c r="C357" s="7" t="s">
        <v>1383</v>
      </c>
      <c r="D357" s="183">
        <v>5</v>
      </c>
      <c r="E357" s="7">
        <v>0.57999999999999996</v>
      </c>
      <c r="R357" s="4"/>
    </row>
    <row r="358" spans="1:18" ht="14.25" customHeight="1">
      <c r="A358" s="125" t="s">
        <v>2569</v>
      </c>
      <c r="B358" s="9">
        <v>8.6999999999999993</v>
      </c>
      <c r="C358" s="7" t="s">
        <v>1547</v>
      </c>
      <c r="D358" s="183">
        <v>10</v>
      </c>
      <c r="E358" s="7">
        <v>0.5</v>
      </c>
    </row>
    <row r="359" spans="1:18" ht="14.25" customHeight="1">
      <c r="A359" s="116" t="s">
        <v>3001</v>
      </c>
      <c r="B359" s="9">
        <v>6.7</v>
      </c>
      <c r="C359" s="211" t="s">
        <v>1892</v>
      </c>
      <c r="D359" s="184">
        <f>3*8</f>
        <v>24</v>
      </c>
      <c r="E359" s="6">
        <f>4.5/8</f>
        <v>0.5625</v>
      </c>
      <c r="G359" s="211" t="s">
        <v>1892</v>
      </c>
    </row>
    <row r="360" spans="1:18" ht="14.25" customHeight="1">
      <c r="A360" s="116" t="s">
        <v>3002</v>
      </c>
      <c r="B360" s="9">
        <v>6.8</v>
      </c>
      <c r="C360" s="1" t="s">
        <v>1893</v>
      </c>
      <c r="D360" s="184">
        <f>3*8</f>
        <v>24</v>
      </c>
      <c r="E360" s="6">
        <f>4.5/8</f>
        <v>0.5625</v>
      </c>
    </row>
    <row r="361" spans="1:18" ht="14.25" customHeight="1">
      <c r="A361" s="116" t="s">
        <v>3003</v>
      </c>
      <c r="B361" s="9">
        <v>11.8</v>
      </c>
      <c r="C361" s="1" t="s">
        <v>1894</v>
      </c>
      <c r="D361" s="184">
        <f>3*8</f>
        <v>24</v>
      </c>
      <c r="E361" s="6">
        <f>8/8</f>
        <v>1</v>
      </c>
    </row>
    <row r="362" spans="1:18" ht="14.25" customHeight="1">
      <c r="A362" s="116" t="s">
        <v>3004</v>
      </c>
      <c r="B362" s="9">
        <v>11.2</v>
      </c>
      <c r="C362" s="1" t="s">
        <v>1895</v>
      </c>
      <c r="D362" s="184">
        <f>3*8</f>
        <v>24</v>
      </c>
      <c r="E362" s="6">
        <f>8/8</f>
        <v>1</v>
      </c>
    </row>
    <row r="363" spans="1:18" s="4" customFormat="1" ht="14.25" customHeight="1">
      <c r="A363" s="116" t="s">
        <v>3131</v>
      </c>
      <c r="B363" s="9">
        <v>13.3</v>
      </c>
      <c r="C363" s="211" t="s">
        <v>3132</v>
      </c>
      <c r="D363" s="184">
        <v>4</v>
      </c>
      <c r="E363" s="6">
        <v>0</v>
      </c>
      <c r="F363" s="7"/>
      <c r="G363" s="211" t="s">
        <v>3132</v>
      </c>
      <c r="H363" s="7"/>
      <c r="I363" s="7"/>
      <c r="J363" s="7"/>
      <c r="K363" s="7"/>
      <c r="L363" s="7"/>
      <c r="M363" s="7"/>
      <c r="N363" s="7"/>
      <c r="O363" s="7"/>
      <c r="P363" s="7"/>
      <c r="Q363" s="7"/>
      <c r="R363" s="7"/>
    </row>
    <row r="364" spans="1:18" ht="14.25" customHeight="1">
      <c r="A364" s="116" t="s">
        <v>2652</v>
      </c>
      <c r="B364" s="121">
        <f>503/25</f>
        <v>20.12</v>
      </c>
      <c r="C364" s="211" t="s">
        <v>5980</v>
      </c>
      <c r="D364" s="183">
        <v>25</v>
      </c>
      <c r="E364" s="56">
        <f>0.29*2</f>
        <v>0.57999999999999996</v>
      </c>
      <c r="G364" s="211" t="s">
        <v>5980</v>
      </c>
    </row>
    <row r="365" spans="1:18" ht="14.25" customHeight="1">
      <c r="A365" s="116" t="s">
        <v>2653</v>
      </c>
      <c r="B365" s="121">
        <f>593/25</f>
        <v>23.72</v>
      </c>
      <c r="C365" s="7" t="s">
        <v>5981</v>
      </c>
      <c r="D365" s="183">
        <v>25</v>
      </c>
      <c r="E365" s="56">
        <f>0.36*2</f>
        <v>0.72</v>
      </c>
    </row>
    <row r="366" spans="1:18" ht="14.25" customHeight="1">
      <c r="A366" s="116" t="s">
        <v>2654</v>
      </c>
      <c r="B366" s="121">
        <f>732/25</f>
        <v>29.28</v>
      </c>
      <c r="C366" s="7" t="s">
        <v>5982</v>
      </c>
      <c r="D366" s="183">
        <v>25</v>
      </c>
      <c r="E366" s="56">
        <f>0.45*2</f>
        <v>0.9</v>
      </c>
    </row>
    <row r="367" spans="1:18" ht="14.25" customHeight="1">
      <c r="A367" s="116" t="s">
        <v>2655</v>
      </c>
      <c r="B367" s="121">
        <f>503/25</f>
        <v>20.12</v>
      </c>
      <c r="C367" s="7" t="s">
        <v>5983</v>
      </c>
      <c r="D367" s="183">
        <v>25</v>
      </c>
      <c r="E367" s="56">
        <f>0.29*2</f>
        <v>0.57999999999999996</v>
      </c>
    </row>
    <row r="368" spans="1:18" ht="14.25" customHeight="1">
      <c r="A368" s="116" t="s">
        <v>2656</v>
      </c>
      <c r="B368" s="121">
        <f>593/25</f>
        <v>23.72</v>
      </c>
      <c r="C368" s="7" t="s">
        <v>5984</v>
      </c>
      <c r="D368" s="183">
        <v>25</v>
      </c>
      <c r="E368" s="56">
        <f>0.36*2</f>
        <v>0.72</v>
      </c>
    </row>
    <row r="369" spans="1:18" ht="14.25" customHeight="1">
      <c r="A369" s="116" t="s">
        <v>2657</v>
      </c>
      <c r="B369" s="121">
        <f>732/25</f>
        <v>29.28</v>
      </c>
      <c r="C369" s="7" t="s">
        <v>5985</v>
      </c>
      <c r="D369" s="183">
        <v>25</v>
      </c>
      <c r="E369" s="56">
        <f>0.45*2</f>
        <v>0.9</v>
      </c>
    </row>
    <row r="370" spans="1:18" ht="14.25" customHeight="1">
      <c r="A370" s="116" t="s">
        <v>2673</v>
      </c>
      <c r="B370" s="121">
        <f>9/30</f>
        <v>0.3</v>
      </c>
      <c r="C370" s="211" t="s">
        <v>5996</v>
      </c>
      <c r="D370" s="183">
        <v>3</v>
      </c>
      <c r="E370" s="56">
        <v>0.98</v>
      </c>
      <c r="G370" s="211" t="s">
        <v>5996</v>
      </c>
    </row>
    <row r="371" spans="1:18" ht="14.25" customHeight="1">
      <c r="A371" s="116" t="s">
        <v>2674</v>
      </c>
      <c r="B371" s="121">
        <f>9/30</f>
        <v>0.3</v>
      </c>
      <c r="C371" s="7" t="s">
        <v>5986</v>
      </c>
      <c r="D371" s="183">
        <v>3</v>
      </c>
      <c r="E371" s="56">
        <v>0.98</v>
      </c>
    </row>
    <row r="372" spans="1:18" ht="14.25" customHeight="1">
      <c r="A372" s="116" t="s">
        <v>2675</v>
      </c>
      <c r="B372" s="121">
        <f>10.9/20</f>
        <v>0.54500000000000004</v>
      </c>
      <c r="C372" s="7" t="s">
        <v>5987</v>
      </c>
      <c r="D372" s="183">
        <v>3</v>
      </c>
      <c r="E372" s="56">
        <v>1.08</v>
      </c>
    </row>
    <row r="373" spans="1:18" ht="14.25" customHeight="1">
      <c r="A373" s="116" t="s">
        <v>2676</v>
      </c>
      <c r="B373" s="121">
        <f>10.9/9</f>
        <v>1.2111111111111112</v>
      </c>
      <c r="C373" s="7" t="s">
        <v>5988</v>
      </c>
      <c r="D373" s="183">
        <v>3</v>
      </c>
      <c r="E373" s="56">
        <v>1.08</v>
      </c>
    </row>
    <row r="374" spans="1:18" ht="14.25" customHeight="1">
      <c r="A374" s="116" t="s">
        <v>2677</v>
      </c>
      <c r="B374" s="121">
        <f>12.6/4</f>
        <v>3.15</v>
      </c>
      <c r="C374" s="7" t="s">
        <v>5989</v>
      </c>
      <c r="D374" s="183">
        <v>3</v>
      </c>
      <c r="E374" s="56">
        <v>0.98</v>
      </c>
    </row>
    <row r="375" spans="1:18" ht="14.25" customHeight="1">
      <c r="A375" s="116" t="s">
        <v>2678</v>
      </c>
      <c r="B375" s="121">
        <f>10.9/20</f>
        <v>0.54500000000000004</v>
      </c>
      <c r="C375" s="7" t="s">
        <v>5995</v>
      </c>
      <c r="D375" s="183">
        <v>3</v>
      </c>
      <c r="E375" s="56">
        <v>0.98</v>
      </c>
    </row>
    <row r="376" spans="1:18"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row>
    <row r="377" spans="1:18" ht="14.25" customHeight="1">
      <c r="A377" s="116" t="s">
        <v>2680</v>
      </c>
      <c r="B377" s="121">
        <f>12.6/4</f>
        <v>3.15</v>
      </c>
      <c r="C377" s="7" t="s">
        <v>5991</v>
      </c>
      <c r="D377" s="183">
        <v>3</v>
      </c>
      <c r="E377" s="56">
        <v>0.98</v>
      </c>
    </row>
    <row r="378" spans="1:18" ht="14.25" customHeight="1">
      <c r="A378" s="116" t="s">
        <v>2681</v>
      </c>
      <c r="B378" s="121">
        <f>214/25</f>
        <v>8.56</v>
      </c>
      <c r="C378" s="211" t="s">
        <v>5992</v>
      </c>
      <c r="D378" s="183">
        <v>25</v>
      </c>
      <c r="E378" s="7">
        <f>0.14*2</f>
        <v>0.28000000000000003</v>
      </c>
      <c r="G378" s="211" t="s">
        <v>5992</v>
      </c>
    </row>
    <row r="379" spans="1:18" ht="14.25" customHeight="1">
      <c r="A379" s="116" t="s">
        <v>2682</v>
      </c>
      <c r="B379" s="121">
        <f>136.2+145</f>
        <v>281.2</v>
      </c>
      <c r="C379" s="7" t="s">
        <v>5993</v>
      </c>
      <c r="D379" s="183">
        <v>25</v>
      </c>
      <c r="E379" s="7">
        <f>0.16*2</f>
        <v>0.32</v>
      </c>
    </row>
    <row r="380" spans="1:18" ht="14.25" customHeight="1">
      <c r="A380" s="116" t="s">
        <v>2683</v>
      </c>
      <c r="B380" s="9">
        <f>185+157</f>
        <v>342</v>
      </c>
      <c r="C380" s="7" t="s">
        <v>5994</v>
      </c>
      <c r="D380" s="183">
        <v>25</v>
      </c>
      <c r="E380" s="7">
        <f>0.2*2</f>
        <v>0.4</v>
      </c>
    </row>
    <row r="381" spans="1:18" s="4" customFormat="1" ht="14.25" customHeight="1">
      <c r="A381" s="116" t="s">
        <v>2658</v>
      </c>
      <c r="B381" s="9">
        <v>10</v>
      </c>
      <c r="C381" s="211" t="s">
        <v>1582</v>
      </c>
      <c r="D381" s="183">
        <v>3</v>
      </c>
      <c r="E381" s="7">
        <f>5.58/5</f>
        <v>1.1160000000000001</v>
      </c>
      <c r="F381" s="7"/>
      <c r="G381" s="211" t="s">
        <v>1582</v>
      </c>
      <c r="H381" s="7"/>
      <c r="I381" s="7"/>
      <c r="J381" s="7"/>
      <c r="K381" s="7"/>
      <c r="L381" s="7"/>
      <c r="M381" s="7"/>
      <c r="N381" s="7"/>
      <c r="O381" s="7"/>
      <c r="P381" s="7"/>
      <c r="Q381" s="7"/>
    </row>
    <row r="382" spans="1:18" ht="14.25" customHeight="1">
      <c r="A382" s="116" t="s">
        <v>2659</v>
      </c>
      <c r="B382" s="9">
        <v>10</v>
      </c>
      <c r="C382" s="7" t="s">
        <v>1573</v>
      </c>
      <c r="D382" s="183">
        <v>3</v>
      </c>
      <c r="E382" s="7">
        <f>5.58/5</f>
        <v>1.1160000000000001</v>
      </c>
    </row>
    <row r="383" spans="1:18" ht="14.25" customHeight="1">
      <c r="A383" s="116" t="s">
        <v>2660</v>
      </c>
      <c r="B383" s="9">
        <v>10</v>
      </c>
      <c r="C383" s="7" t="s">
        <v>1574</v>
      </c>
      <c r="D383" s="183">
        <v>3</v>
      </c>
      <c r="E383" s="7">
        <f>5.58/5</f>
        <v>1.1160000000000001</v>
      </c>
    </row>
    <row r="384" spans="1:18" ht="14.25" customHeight="1">
      <c r="A384" s="116" t="s">
        <v>2684</v>
      </c>
      <c r="B384" s="9">
        <v>10</v>
      </c>
      <c r="C384" s="7" t="s">
        <v>1575</v>
      </c>
      <c r="D384" s="183">
        <v>3</v>
      </c>
      <c r="E384" s="7">
        <f>5.58/5</f>
        <v>1.1160000000000001</v>
      </c>
    </row>
    <row r="385" spans="1:18" ht="14.25" customHeight="1">
      <c r="A385" s="116" t="s">
        <v>2685</v>
      </c>
      <c r="B385" s="9">
        <v>10</v>
      </c>
      <c r="C385" s="7" t="s">
        <v>1576</v>
      </c>
      <c r="D385" s="183">
        <v>3</v>
      </c>
      <c r="E385" s="7">
        <f>5.58/5</f>
        <v>1.1160000000000001</v>
      </c>
    </row>
    <row r="386" spans="1:18" ht="14.25" customHeight="1">
      <c r="A386" s="116" t="s">
        <v>2686</v>
      </c>
      <c r="B386" s="9">
        <v>20</v>
      </c>
      <c r="C386" s="211" t="s">
        <v>1577</v>
      </c>
      <c r="D386" s="183">
        <v>3</v>
      </c>
      <c r="E386" s="7">
        <f>9.58/5</f>
        <v>1.9159999999999999</v>
      </c>
      <c r="G386" s="211" t="s">
        <v>1577</v>
      </c>
    </row>
    <row r="387" spans="1:18" ht="14.25" customHeight="1">
      <c r="A387" s="116" t="s">
        <v>2687</v>
      </c>
      <c r="B387" s="9">
        <v>20</v>
      </c>
      <c r="C387" s="7" t="s">
        <v>1578</v>
      </c>
      <c r="D387" s="183">
        <v>3</v>
      </c>
      <c r="E387" s="7">
        <f>9.58/5</f>
        <v>1.9159999999999999</v>
      </c>
    </row>
    <row r="388" spans="1:18" ht="14.25" customHeight="1">
      <c r="A388" s="116" t="s">
        <v>2688</v>
      </c>
      <c r="B388" s="9">
        <v>20</v>
      </c>
      <c r="C388" s="7" t="s">
        <v>1579</v>
      </c>
      <c r="D388" s="183">
        <v>3</v>
      </c>
      <c r="E388" s="7">
        <f>9.58/5</f>
        <v>1.9159999999999999</v>
      </c>
      <c r="R388" s="4"/>
    </row>
    <row r="389" spans="1:18" ht="14.25" customHeight="1">
      <c r="A389" s="116" t="s">
        <v>2689</v>
      </c>
      <c r="B389" s="9">
        <v>20</v>
      </c>
      <c r="C389" s="7" t="s">
        <v>1580</v>
      </c>
      <c r="D389" s="183">
        <v>3</v>
      </c>
      <c r="E389" s="7">
        <f>9.58/5</f>
        <v>1.9159999999999999</v>
      </c>
    </row>
    <row r="390" spans="1:18" ht="14.25" customHeight="1">
      <c r="A390" s="116" t="s">
        <v>2690</v>
      </c>
      <c r="B390" s="9">
        <v>20</v>
      </c>
      <c r="C390" s="7" t="s">
        <v>1581</v>
      </c>
      <c r="D390" s="183">
        <v>3</v>
      </c>
      <c r="E390" s="7">
        <f>9.58/5</f>
        <v>1.9159999999999999</v>
      </c>
    </row>
    <row r="391" spans="1:18" ht="14.25" customHeight="1">
      <c r="A391" s="116" t="s">
        <v>2661</v>
      </c>
      <c r="B391" s="9">
        <v>0.5</v>
      </c>
      <c r="C391" s="212" t="s">
        <v>6054</v>
      </c>
      <c r="D391" s="183">
        <f t="shared" ref="D391:D415" si="13">10*2</f>
        <v>20</v>
      </c>
      <c r="E391" s="7">
        <f>1.88/10</f>
        <v>0.188</v>
      </c>
      <c r="G391" s="212" t="s">
        <v>6054</v>
      </c>
    </row>
    <row r="392" spans="1:18" ht="14.25" customHeight="1">
      <c r="A392" s="116" t="s">
        <v>2662</v>
      </c>
      <c r="B392" s="9">
        <v>0.5</v>
      </c>
      <c r="C392" s="7" t="s">
        <v>1748</v>
      </c>
      <c r="D392" s="183">
        <f t="shared" si="13"/>
        <v>20</v>
      </c>
      <c r="E392" s="7">
        <f>1.88/10</f>
        <v>0.188</v>
      </c>
    </row>
    <row r="393" spans="1:18" ht="14.25" customHeight="1">
      <c r="A393" s="116" t="s">
        <v>2663</v>
      </c>
      <c r="B393" s="9">
        <v>0.5</v>
      </c>
      <c r="C393" s="7" t="s">
        <v>1749</v>
      </c>
      <c r="D393" s="183">
        <f t="shared" si="13"/>
        <v>20</v>
      </c>
      <c r="E393" s="7">
        <f>1.88/10</f>
        <v>0.188</v>
      </c>
    </row>
    <row r="394" spans="1:18" ht="14.25" customHeight="1">
      <c r="A394" s="116" t="s">
        <v>2664</v>
      </c>
      <c r="B394" s="9">
        <v>0.5</v>
      </c>
      <c r="C394" s="7" t="s">
        <v>1750</v>
      </c>
      <c r="D394" s="183">
        <f t="shared" si="13"/>
        <v>20</v>
      </c>
      <c r="E394" s="7">
        <f>1.88/10</f>
        <v>0.188</v>
      </c>
    </row>
    <row r="395" spans="1:18" ht="14.25" customHeight="1">
      <c r="A395" s="116" t="s">
        <v>2665</v>
      </c>
      <c r="B395" s="9">
        <v>0.5</v>
      </c>
      <c r="C395" s="7" t="s">
        <v>1751</v>
      </c>
      <c r="D395" s="183">
        <f t="shared" si="13"/>
        <v>20</v>
      </c>
      <c r="E395" s="7">
        <f>1.88/10</f>
        <v>0.188</v>
      </c>
    </row>
    <row r="396" spans="1:18" ht="14.25" customHeight="1">
      <c r="A396" s="116" t="s">
        <v>2666</v>
      </c>
      <c r="B396" s="9">
        <v>0.8</v>
      </c>
      <c r="C396" s="211" t="s">
        <v>1583</v>
      </c>
      <c r="D396" s="183">
        <f t="shared" si="13"/>
        <v>20</v>
      </c>
      <c r="E396" s="7">
        <f>2.18/10</f>
        <v>0.21800000000000003</v>
      </c>
      <c r="G396" s="211" t="s">
        <v>1583</v>
      </c>
    </row>
    <row r="397" spans="1:18" ht="14.25" customHeight="1">
      <c r="A397" s="116" t="s">
        <v>2667</v>
      </c>
      <c r="B397" s="9">
        <v>0.8</v>
      </c>
      <c r="C397" s="7" t="s">
        <v>1584</v>
      </c>
      <c r="D397" s="183">
        <f t="shared" si="13"/>
        <v>20</v>
      </c>
      <c r="E397" s="7">
        <f>2.18/10</f>
        <v>0.21800000000000003</v>
      </c>
    </row>
    <row r="398" spans="1:18" ht="14.25" customHeight="1">
      <c r="A398" s="116" t="s">
        <v>2668</v>
      </c>
      <c r="B398" s="9">
        <v>0.8</v>
      </c>
      <c r="C398" s="7" t="s">
        <v>1585</v>
      </c>
      <c r="D398" s="183">
        <f t="shared" si="13"/>
        <v>20</v>
      </c>
      <c r="E398" s="7">
        <f>2.18/10</f>
        <v>0.21800000000000003</v>
      </c>
    </row>
    <row r="399" spans="1:18" ht="14.25" customHeight="1">
      <c r="A399" s="116" t="s">
        <v>2669</v>
      </c>
      <c r="B399" s="9">
        <v>0.8</v>
      </c>
      <c r="C399" s="7" t="s">
        <v>1586</v>
      </c>
      <c r="D399" s="183">
        <f t="shared" si="13"/>
        <v>20</v>
      </c>
      <c r="E399" s="7">
        <f>2.18/10</f>
        <v>0.21800000000000003</v>
      </c>
    </row>
    <row r="400" spans="1:18" ht="14.25" customHeight="1">
      <c r="A400" s="116" t="s">
        <v>2670</v>
      </c>
      <c r="B400" s="9">
        <v>0.8</v>
      </c>
      <c r="C400" s="7" t="s">
        <v>1587</v>
      </c>
      <c r="D400" s="183">
        <f t="shared" si="13"/>
        <v>20</v>
      </c>
      <c r="E400" s="7">
        <f>2.18/10</f>
        <v>0.21800000000000003</v>
      </c>
    </row>
    <row r="401" spans="1:18" ht="14.25" customHeight="1">
      <c r="A401" s="116" t="s">
        <v>2691</v>
      </c>
      <c r="B401" s="9">
        <v>1</v>
      </c>
      <c r="C401" s="7" t="s">
        <v>1588</v>
      </c>
      <c r="D401" s="183">
        <f t="shared" si="13"/>
        <v>20</v>
      </c>
      <c r="E401" s="7">
        <f>2.58/10</f>
        <v>0.25800000000000001</v>
      </c>
    </row>
    <row r="402" spans="1:18" ht="14.25" customHeight="1">
      <c r="A402" s="116" t="s">
        <v>2692</v>
      </c>
      <c r="B402" s="9">
        <v>1</v>
      </c>
      <c r="C402" s="7" t="s">
        <v>1589</v>
      </c>
      <c r="D402" s="183">
        <f t="shared" si="13"/>
        <v>20</v>
      </c>
      <c r="E402" s="7">
        <f>2.58/10</f>
        <v>0.25800000000000001</v>
      </c>
    </row>
    <row r="403" spans="1:18" ht="14.25" customHeight="1">
      <c r="A403" s="116" t="s">
        <v>2693</v>
      </c>
      <c r="B403" s="9">
        <v>1</v>
      </c>
      <c r="C403" s="7" t="s">
        <v>1590</v>
      </c>
      <c r="D403" s="183">
        <f t="shared" si="13"/>
        <v>20</v>
      </c>
      <c r="E403" s="7">
        <f>2.58/10</f>
        <v>0.25800000000000001</v>
      </c>
    </row>
    <row r="404" spans="1:18" ht="14.25" customHeight="1">
      <c r="A404" s="116" t="s">
        <v>2694</v>
      </c>
      <c r="B404" s="9">
        <v>1</v>
      </c>
      <c r="C404" s="7" t="s">
        <v>1591</v>
      </c>
      <c r="D404" s="183">
        <f t="shared" si="13"/>
        <v>20</v>
      </c>
      <c r="E404" s="7">
        <f>2.58/10</f>
        <v>0.25800000000000001</v>
      </c>
    </row>
    <row r="405" spans="1:18" ht="14.25" customHeight="1">
      <c r="A405" s="116" t="s">
        <v>2695</v>
      </c>
      <c r="B405" s="9">
        <v>1</v>
      </c>
      <c r="C405" s="7" t="s">
        <v>1592</v>
      </c>
      <c r="D405" s="183">
        <f t="shared" si="13"/>
        <v>20</v>
      </c>
      <c r="E405" s="7">
        <f>2.58/10</f>
        <v>0.25800000000000001</v>
      </c>
    </row>
    <row r="406" spans="1:18" s="4" customFormat="1" ht="14.25" customHeight="1">
      <c r="A406" s="116" t="s">
        <v>2696</v>
      </c>
      <c r="B406" s="9">
        <v>0.7</v>
      </c>
      <c r="C406" s="211" t="s">
        <v>1737</v>
      </c>
      <c r="D406" s="183">
        <f t="shared" si="13"/>
        <v>20</v>
      </c>
      <c r="E406" s="7">
        <f>2.18/10</f>
        <v>0.21800000000000003</v>
      </c>
      <c r="F406" s="7"/>
      <c r="G406" s="211" t="s">
        <v>1737</v>
      </c>
      <c r="H406" s="7"/>
      <c r="I406" s="7"/>
      <c r="J406" s="7"/>
      <c r="K406" s="7"/>
      <c r="L406" s="7"/>
      <c r="M406" s="7"/>
      <c r="N406" s="7"/>
      <c r="O406" s="7"/>
      <c r="P406" s="7"/>
      <c r="Q406" s="7"/>
      <c r="R406" s="7"/>
    </row>
    <row r="407" spans="1:18" ht="14.25" customHeight="1">
      <c r="A407" s="116" t="s">
        <v>2697</v>
      </c>
      <c r="B407" s="9">
        <v>0.7</v>
      </c>
      <c r="C407" s="7" t="s">
        <v>1738</v>
      </c>
      <c r="D407" s="183">
        <f t="shared" si="13"/>
        <v>20</v>
      </c>
      <c r="E407" s="7">
        <f>2.18/10</f>
        <v>0.21800000000000003</v>
      </c>
    </row>
    <row r="408" spans="1:18" ht="14.25" customHeight="1">
      <c r="A408" s="116" t="s">
        <v>2698</v>
      </c>
      <c r="B408" s="9">
        <v>0.7</v>
      </c>
      <c r="C408" s="7" t="s">
        <v>1739</v>
      </c>
      <c r="D408" s="183">
        <f t="shared" si="13"/>
        <v>20</v>
      </c>
      <c r="E408" s="7">
        <f>2.18/10</f>
        <v>0.21800000000000003</v>
      </c>
    </row>
    <row r="409" spans="1:18" ht="14.25" customHeight="1">
      <c r="A409" s="116" t="s">
        <v>2699</v>
      </c>
      <c r="B409" s="9">
        <v>0.7</v>
      </c>
      <c r="C409" s="7" t="s">
        <v>1740</v>
      </c>
      <c r="D409" s="183">
        <f t="shared" si="13"/>
        <v>20</v>
      </c>
      <c r="E409" s="7">
        <f>2.18/10</f>
        <v>0.21800000000000003</v>
      </c>
    </row>
    <row r="410" spans="1:18" ht="14.25" customHeight="1">
      <c r="A410" s="116" t="s">
        <v>2700</v>
      </c>
      <c r="B410" s="9">
        <v>0.7</v>
      </c>
      <c r="C410" s="7" t="s">
        <v>1741</v>
      </c>
      <c r="D410" s="183">
        <f t="shared" si="13"/>
        <v>20</v>
      </c>
      <c r="E410" s="7">
        <f>2.18/10</f>
        <v>0.21800000000000003</v>
      </c>
    </row>
    <row r="411" spans="1:18" ht="14.25" customHeight="1">
      <c r="A411" s="116" t="s">
        <v>2701</v>
      </c>
      <c r="B411" s="9">
        <v>1.5</v>
      </c>
      <c r="C411" s="7" t="s">
        <v>1742</v>
      </c>
      <c r="D411" s="183">
        <f t="shared" si="13"/>
        <v>20</v>
      </c>
      <c r="E411" s="7">
        <f>2.58/10</f>
        <v>0.25800000000000001</v>
      </c>
    </row>
    <row r="412" spans="1:18" ht="14.25" customHeight="1">
      <c r="A412" s="116" t="s">
        <v>2702</v>
      </c>
      <c r="B412" s="9">
        <v>1.5</v>
      </c>
      <c r="C412" s="7" t="s">
        <v>1743</v>
      </c>
      <c r="D412" s="183">
        <f t="shared" si="13"/>
        <v>20</v>
      </c>
      <c r="E412" s="7">
        <f>2.58/10</f>
        <v>0.25800000000000001</v>
      </c>
    </row>
    <row r="413" spans="1:18"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row>
    <row r="414" spans="1:18" ht="14.25" customHeight="1">
      <c r="A414" s="116" t="s">
        <v>2704</v>
      </c>
      <c r="B414" s="9">
        <v>1.5</v>
      </c>
      <c r="C414" s="7" t="s">
        <v>1745</v>
      </c>
      <c r="D414" s="183">
        <f t="shared" si="13"/>
        <v>20</v>
      </c>
      <c r="E414" s="7">
        <f>2.58/10</f>
        <v>0.25800000000000001</v>
      </c>
    </row>
    <row r="415" spans="1:18" ht="14.25" customHeight="1">
      <c r="A415" s="116" t="s">
        <v>2705</v>
      </c>
      <c r="B415" s="9">
        <v>1.5</v>
      </c>
      <c r="C415" s="7" t="s">
        <v>1746</v>
      </c>
      <c r="D415" s="183">
        <f t="shared" si="13"/>
        <v>20</v>
      </c>
      <c r="E415" s="7">
        <f>2.58/10</f>
        <v>0.25800000000000001</v>
      </c>
    </row>
    <row r="416" spans="1:18" ht="14.25" customHeight="1">
      <c r="A416" s="112">
        <v>253.01</v>
      </c>
      <c r="B416" s="9">
        <f>650/100</f>
        <v>6.5</v>
      </c>
      <c r="C416" s="211" t="s">
        <v>1844</v>
      </c>
      <c r="D416" s="184">
        <v>100</v>
      </c>
      <c r="E416" s="6">
        <f>0.27*50/100</f>
        <v>0.13500000000000001</v>
      </c>
      <c r="G416" s="211" t="s">
        <v>1844</v>
      </c>
    </row>
    <row r="417" spans="1:18" ht="14.25" customHeight="1">
      <c r="A417" s="112">
        <v>253.02</v>
      </c>
      <c r="B417" s="9">
        <f>600/100</f>
        <v>6</v>
      </c>
      <c r="C417" s="1" t="s">
        <v>1845</v>
      </c>
      <c r="D417" s="184">
        <v>100</v>
      </c>
      <c r="E417" s="6">
        <f>0.25*50/100</f>
        <v>0.125</v>
      </c>
    </row>
    <row r="418" spans="1:18" ht="14.25" customHeight="1">
      <c r="A418" s="112">
        <v>253.03</v>
      </c>
      <c r="B418" s="9">
        <f>600/100</f>
        <v>6</v>
      </c>
      <c r="C418" s="1" t="s">
        <v>1846</v>
      </c>
      <c r="D418" s="184">
        <v>100</v>
      </c>
      <c r="E418" s="6">
        <f>0.25*50/100</f>
        <v>0.125</v>
      </c>
    </row>
    <row r="419" spans="1:18" ht="14.25" customHeight="1">
      <c r="A419" s="112">
        <v>253.04</v>
      </c>
      <c r="B419" s="9">
        <f>1150/100</f>
        <v>11.5</v>
      </c>
      <c r="C419" s="211" t="s">
        <v>1847</v>
      </c>
      <c r="D419" s="184">
        <v>100</v>
      </c>
      <c r="E419" s="6">
        <v>0.36</v>
      </c>
      <c r="G419" s="211" t="s">
        <v>1847</v>
      </c>
    </row>
    <row r="420" spans="1:18" ht="14.25" customHeight="1">
      <c r="A420" s="112">
        <v>253.05</v>
      </c>
      <c r="B420" s="9">
        <f>1200/100</f>
        <v>12</v>
      </c>
      <c r="C420" s="1" t="s">
        <v>1848</v>
      </c>
      <c r="D420" s="184">
        <v>100</v>
      </c>
      <c r="E420" s="6">
        <v>0.35</v>
      </c>
    </row>
    <row r="421" spans="1:18" ht="14.25" customHeight="1">
      <c r="A421" s="112">
        <v>253.06</v>
      </c>
      <c r="B421" s="9">
        <f>1150/100</f>
        <v>11.5</v>
      </c>
      <c r="C421" s="1" t="s">
        <v>1849</v>
      </c>
      <c r="D421" s="184">
        <v>100</v>
      </c>
      <c r="E421" s="6">
        <v>0.35</v>
      </c>
      <c r="R421" s="4"/>
    </row>
    <row r="422" spans="1:18" ht="14.25" customHeight="1">
      <c r="A422" s="116" t="s">
        <v>2706</v>
      </c>
      <c r="B422" s="121">
        <f>350/200</f>
        <v>1.75</v>
      </c>
      <c r="C422" s="211" t="s">
        <v>1611</v>
      </c>
      <c r="D422" s="183">
        <v>200</v>
      </c>
      <c r="E422" s="56">
        <f>17/D422</f>
        <v>8.5000000000000006E-2</v>
      </c>
      <c r="G422" s="211" t="s">
        <v>1611</v>
      </c>
      <c r="R422" s="4"/>
    </row>
    <row r="423" spans="1:18" ht="14.25" customHeight="1">
      <c r="A423" s="116" t="s">
        <v>2707</v>
      </c>
      <c r="B423" s="121">
        <f>400/200</f>
        <v>2</v>
      </c>
      <c r="C423" s="7" t="s">
        <v>1621</v>
      </c>
      <c r="D423" s="183">
        <v>200</v>
      </c>
      <c r="E423" s="56">
        <f>19/D423</f>
        <v>9.5000000000000001E-2</v>
      </c>
    </row>
    <row r="424" spans="1:18" ht="14.25" customHeight="1">
      <c r="A424" s="116" t="s">
        <v>2708</v>
      </c>
      <c r="B424" s="121">
        <f>500/200</f>
        <v>2.5</v>
      </c>
      <c r="C424" s="7" t="s">
        <v>1613</v>
      </c>
      <c r="D424" s="183">
        <v>200</v>
      </c>
      <c r="E424" s="56">
        <f>21/D424</f>
        <v>0.105</v>
      </c>
      <c r="R424" s="4"/>
    </row>
    <row r="425" spans="1:18" ht="14.25" customHeight="1">
      <c r="A425" s="116" t="s">
        <v>2709</v>
      </c>
      <c r="B425" s="121">
        <f>650/200</f>
        <v>3.25</v>
      </c>
      <c r="C425" s="7" t="s">
        <v>1612</v>
      </c>
      <c r="D425" s="183">
        <v>200</v>
      </c>
      <c r="E425" s="56">
        <f>28/D425</f>
        <v>0.14000000000000001</v>
      </c>
    </row>
    <row r="426" spans="1:18" ht="14.25" customHeight="1">
      <c r="A426" s="116" t="s">
        <v>2710</v>
      </c>
      <c r="B426" s="9">
        <f>700/200</f>
        <v>3.5</v>
      </c>
      <c r="C426" s="211" t="s">
        <v>1609</v>
      </c>
      <c r="D426" s="183">
        <v>200</v>
      </c>
      <c r="E426" s="56">
        <f>30/D426</f>
        <v>0.15</v>
      </c>
      <c r="G426" s="211" t="s">
        <v>1609</v>
      </c>
    </row>
    <row r="427" spans="1:18" ht="14.25" customHeight="1">
      <c r="A427" s="116" t="s">
        <v>2711</v>
      </c>
      <c r="B427" s="9">
        <f>700/200</f>
        <v>3.5</v>
      </c>
      <c r="C427" s="211" t="s">
        <v>1614</v>
      </c>
      <c r="D427" s="183">
        <v>200</v>
      </c>
      <c r="E427" s="56">
        <f>30/D427</f>
        <v>0.15</v>
      </c>
      <c r="G427" s="211" t="s">
        <v>1614</v>
      </c>
    </row>
    <row r="428" spans="1:18" ht="14.25" customHeight="1">
      <c r="A428" s="116" t="s">
        <v>2712</v>
      </c>
      <c r="B428" s="9">
        <f>550/100</f>
        <v>5.5</v>
      </c>
      <c r="C428" s="7" t="s">
        <v>1620</v>
      </c>
      <c r="D428" s="183">
        <v>100</v>
      </c>
      <c r="E428" s="56">
        <f>20/D428</f>
        <v>0.2</v>
      </c>
    </row>
    <row r="429" spans="1:18" ht="14.25" customHeight="1">
      <c r="A429" s="116" t="s">
        <v>2713</v>
      </c>
      <c r="B429" s="9">
        <f>550/100</f>
        <v>5.5</v>
      </c>
      <c r="C429" s="7" t="s">
        <v>1618</v>
      </c>
      <c r="D429" s="183">
        <v>100</v>
      </c>
      <c r="E429" s="56">
        <f>20/D429</f>
        <v>0.2</v>
      </c>
    </row>
    <row r="430" spans="1:18" ht="14.25" customHeight="1">
      <c r="A430" s="116" t="s">
        <v>2714</v>
      </c>
      <c r="B430" s="9">
        <f>600/100</f>
        <v>6</v>
      </c>
      <c r="C430" s="7" t="s">
        <v>1619</v>
      </c>
      <c r="D430" s="183">
        <v>100</v>
      </c>
      <c r="E430" s="56">
        <f>22/D430</f>
        <v>0.22</v>
      </c>
    </row>
    <row r="431" spans="1:18" ht="14.25" customHeight="1">
      <c r="A431" s="116" t="s">
        <v>2715</v>
      </c>
      <c r="B431" s="9">
        <f>750/100</f>
        <v>7.5</v>
      </c>
      <c r="C431" s="7" t="s">
        <v>1616</v>
      </c>
      <c r="D431" s="183">
        <v>100</v>
      </c>
      <c r="E431" s="56">
        <f>22/D431</f>
        <v>0.22</v>
      </c>
    </row>
    <row r="432" spans="1:18" ht="14.25" customHeight="1">
      <c r="A432" s="116" t="s">
        <v>2716</v>
      </c>
      <c r="B432" s="9">
        <f>950/100</f>
        <v>9.5</v>
      </c>
      <c r="C432" s="7" t="s">
        <v>1622</v>
      </c>
      <c r="D432" s="183">
        <v>100</v>
      </c>
      <c r="E432" s="56">
        <f>27/D432</f>
        <v>0.27</v>
      </c>
    </row>
    <row r="433" spans="1:18" ht="14.25" customHeight="1">
      <c r="A433" s="116" t="s">
        <v>2717</v>
      </c>
      <c r="B433" s="9">
        <f>900/100</f>
        <v>9</v>
      </c>
      <c r="C433" s="7" t="s">
        <v>1617</v>
      </c>
      <c r="D433" s="183">
        <v>100</v>
      </c>
      <c r="E433" s="56">
        <f>27/D433</f>
        <v>0.27</v>
      </c>
    </row>
    <row r="434" spans="1:18" ht="14.25" customHeight="1">
      <c r="A434" s="116" t="s">
        <v>2718</v>
      </c>
      <c r="B434" s="9">
        <f>1350/100</f>
        <v>13.5</v>
      </c>
      <c r="C434" s="7" t="s">
        <v>1610</v>
      </c>
      <c r="D434" s="183">
        <v>100</v>
      </c>
      <c r="E434" s="56">
        <f>38/D434</f>
        <v>0.38</v>
      </c>
    </row>
    <row r="435" spans="1:18" ht="14.25" customHeight="1">
      <c r="A435" s="116" t="s">
        <v>2719</v>
      </c>
      <c r="B435" s="9">
        <f>1350/100</f>
        <v>13.5</v>
      </c>
      <c r="C435" s="7" t="s">
        <v>1615</v>
      </c>
      <c r="D435" s="183">
        <v>100</v>
      </c>
      <c r="E435" s="56">
        <f>38/D435</f>
        <v>0.38</v>
      </c>
    </row>
    <row r="436" spans="1:18" ht="14.25" customHeight="1">
      <c r="A436" s="125" t="s">
        <v>2622</v>
      </c>
      <c r="B436" s="9">
        <v>25.5</v>
      </c>
      <c r="C436" s="211" t="s">
        <v>5966</v>
      </c>
      <c r="D436" s="183">
        <v>2</v>
      </c>
      <c r="E436" s="7">
        <v>0.8</v>
      </c>
      <c r="G436" s="211" t="s">
        <v>5966</v>
      </c>
    </row>
    <row r="437" spans="1:18" ht="14.25" customHeight="1">
      <c r="A437" s="125" t="s">
        <v>2623</v>
      </c>
      <c r="B437" s="9">
        <v>25.5</v>
      </c>
      <c r="C437" s="7" t="s">
        <v>5971</v>
      </c>
      <c r="D437" s="183">
        <v>2</v>
      </c>
      <c r="E437" s="7">
        <v>0.8</v>
      </c>
    </row>
    <row r="438" spans="1:18" ht="14.25" customHeight="1">
      <c r="A438" s="125" t="s">
        <v>2624</v>
      </c>
      <c r="B438" s="9">
        <v>25.5</v>
      </c>
      <c r="C438" s="7" t="s">
        <v>5972</v>
      </c>
      <c r="D438" s="183">
        <v>1</v>
      </c>
      <c r="E438" s="7">
        <v>0.8</v>
      </c>
    </row>
    <row r="439" spans="1:18" ht="14.25" customHeight="1">
      <c r="A439" s="125" t="s">
        <v>2625</v>
      </c>
      <c r="B439" s="9">
        <v>25.5</v>
      </c>
      <c r="C439" s="7" t="s">
        <v>5973</v>
      </c>
      <c r="D439" s="183">
        <v>1</v>
      </c>
      <c r="E439" s="7">
        <v>0.8</v>
      </c>
    </row>
    <row r="440" spans="1:18" ht="14.25" customHeight="1">
      <c r="A440" s="125" t="s">
        <v>2626</v>
      </c>
      <c r="B440" s="9">
        <v>25.5</v>
      </c>
      <c r="C440" s="7" t="s">
        <v>5974</v>
      </c>
      <c r="D440" s="183">
        <v>1</v>
      </c>
      <c r="E440" s="7">
        <v>0.8</v>
      </c>
    </row>
    <row r="441" spans="1:18"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row>
    <row r="442" spans="1:18" ht="14.25" customHeight="1">
      <c r="A442" s="125" t="s">
        <v>2628</v>
      </c>
      <c r="B442" s="9">
        <v>40.9</v>
      </c>
      <c r="C442" s="211" t="s">
        <v>5790</v>
      </c>
      <c r="D442" s="183">
        <v>2</v>
      </c>
      <c r="E442" s="7">
        <v>1.2</v>
      </c>
      <c r="G442" s="211" t="s">
        <v>5790</v>
      </c>
    </row>
    <row r="443" spans="1:18"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row>
    <row r="444" spans="1:18" ht="14.25" customHeight="1">
      <c r="A444" s="125" t="s">
        <v>2630</v>
      </c>
      <c r="B444" s="9">
        <v>40.9</v>
      </c>
      <c r="C444" s="7" t="s">
        <v>5792</v>
      </c>
      <c r="D444" s="183">
        <v>1</v>
      </c>
      <c r="E444" s="7">
        <v>1.2</v>
      </c>
    </row>
    <row r="445" spans="1:18" ht="14.25" customHeight="1">
      <c r="A445" s="125" t="s">
        <v>2631</v>
      </c>
      <c r="B445" s="9">
        <v>40.9</v>
      </c>
      <c r="C445" s="7" t="s">
        <v>5793</v>
      </c>
      <c r="D445" s="183">
        <v>1</v>
      </c>
      <c r="E445" s="7">
        <v>1.2</v>
      </c>
    </row>
    <row r="446" spans="1:18" ht="14.25" customHeight="1">
      <c r="A446" s="125" t="s">
        <v>2632</v>
      </c>
      <c r="B446" s="9">
        <v>40.9</v>
      </c>
      <c r="C446" s="7" t="s">
        <v>5794</v>
      </c>
      <c r="D446" s="183">
        <v>1</v>
      </c>
      <c r="E446" s="7">
        <v>1.2</v>
      </c>
    </row>
    <row r="447" spans="1:18" ht="14.25" customHeight="1">
      <c r="A447" s="125" t="s">
        <v>2633</v>
      </c>
      <c r="B447" s="9">
        <v>40.9</v>
      </c>
      <c r="C447" s="7" t="s">
        <v>5795</v>
      </c>
      <c r="D447" s="183">
        <v>1</v>
      </c>
      <c r="E447" s="7">
        <v>1.2</v>
      </c>
    </row>
    <row r="448" spans="1:18" ht="14.25" customHeight="1">
      <c r="A448" s="125" t="s">
        <v>2634</v>
      </c>
      <c r="B448" s="9">
        <v>40.9</v>
      </c>
      <c r="C448" s="7" t="s">
        <v>5796</v>
      </c>
      <c r="D448" s="183">
        <v>1</v>
      </c>
      <c r="E448" s="7">
        <v>1.5</v>
      </c>
    </row>
    <row r="449" spans="1:18" ht="14.25" customHeight="1">
      <c r="A449" s="125" t="s">
        <v>2635</v>
      </c>
      <c r="B449" s="9">
        <v>40.9</v>
      </c>
      <c r="C449" s="198" t="s">
        <v>6055</v>
      </c>
      <c r="D449" s="183">
        <v>1</v>
      </c>
      <c r="E449" s="7">
        <v>1.5</v>
      </c>
    </row>
    <row r="450" spans="1:18" ht="14.25" customHeight="1">
      <c r="A450" s="125" t="s">
        <v>2636</v>
      </c>
      <c r="B450" s="9">
        <v>54.4</v>
      </c>
      <c r="C450" s="211" t="s">
        <v>5798</v>
      </c>
      <c r="D450" s="183">
        <v>3</v>
      </c>
      <c r="E450" s="7">
        <v>2.1</v>
      </c>
      <c r="G450" s="211" t="s">
        <v>5798</v>
      </c>
    </row>
    <row r="451" spans="1:18" ht="14.25" customHeight="1">
      <c r="A451" s="125" t="s">
        <v>2637</v>
      </c>
      <c r="B451" s="9">
        <v>54.4</v>
      </c>
      <c r="C451" s="7" t="s">
        <v>5799</v>
      </c>
      <c r="D451" s="183">
        <v>4</v>
      </c>
      <c r="E451" s="7">
        <v>2.1</v>
      </c>
      <c r="R451" s="4"/>
    </row>
    <row r="452" spans="1:18" ht="14.25" customHeight="1">
      <c r="A452" s="125" t="s">
        <v>2638</v>
      </c>
      <c r="B452" s="9">
        <v>54.4</v>
      </c>
      <c r="C452" s="7" t="s">
        <v>5800</v>
      </c>
      <c r="D452" s="183">
        <v>2</v>
      </c>
      <c r="E452" s="7">
        <v>2.1</v>
      </c>
    </row>
    <row r="453" spans="1:18" ht="14.25" customHeight="1">
      <c r="A453" s="125" t="s">
        <v>2639</v>
      </c>
      <c r="B453" s="9">
        <v>54.4</v>
      </c>
      <c r="C453" s="7" t="s">
        <v>5801</v>
      </c>
      <c r="D453" s="183">
        <v>2</v>
      </c>
      <c r="E453" s="7">
        <v>2.1</v>
      </c>
    </row>
    <row r="454" spans="1:18" ht="14.25" customHeight="1">
      <c r="A454" s="125" t="s">
        <v>2640</v>
      </c>
      <c r="B454" s="9">
        <v>54.4</v>
      </c>
      <c r="C454" s="7" t="s">
        <v>5802</v>
      </c>
      <c r="D454" s="183">
        <v>2</v>
      </c>
      <c r="E454" s="7">
        <v>2.1</v>
      </c>
    </row>
    <row r="455" spans="1:18" ht="14.25" customHeight="1">
      <c r="A455" s="125" t="s">
        <v>2641</v>
      </c>
      <c r="B455" s="9">
        <v>54.4</v>
      </c>
      <c r="C455" s="7" t="s">
        <v>5970</v>
      </c>
      <c r="D455" s="183">
        <v>2</v>
      </c>
      <c r="E455" s="7">
        <v>2.1</v>
      </c>
    </row>
    <row r="456" spans="1:18" ht="14.25" customHeight="1">
      <c r="A456" s="125" t="s">
        <v>2642</v>
      </c>
      <c r="B456" s="107">
        <f>222.2/1000</f>
        <v>0.22219999999999998</v>
      </c>
      <c r="C456" s="211" t="s">
        <v>5967</v>
      </c>
      <c r="D456" s="183">
        <v>1000</v>
      </c>
      <c r="E456" s="56">
        <f>8.8/1000</f>
        <v>8.8000000000000005E-3</v>
      </c>
      <c r="G456" s="211" t="s">
        <v>5967</v>
      </c>
    </row>
    <row r="457" spans="1:18" ht="14.25" customHeight="1">
      <c r="A457" s="125" t="s">
        <v>2643</v>
      </c>
      <c r="B457" s="107">
        <f>269.3/500</f>
        <v>0.53859999999999997</v>
      </c>
      <c r="C457" s="7" t="s">
        <v>5968</v>
      </c>
      <c r="D457" s="183">
        <v>500</v>
      </c>
      <c r="E457" s="80">
        <f>9.2/500</f>
        <v>1.84E-2</v>
      </c>
    </row>
    <row r="458" spans="1:18" ht="14.25" customHeight="1">
      <c r="A458" s="125" t="s">
        <v>2644</v>
      </c>
      <c r="B458" s="107">
        <f>260/250</f>
        <v>1.04</v>
      </c>
      <c r="C458" s="1" t="s">
        <v>5969</v>
      </c>
      <c r="D458" s="183">
        <v>250</v>
      </c>
      <c r="E458" s="7">
        <f>8.6/250</f>
        <v>3.44E-2</v>
      </c>
    </row>
    <row r="459" spans="1:18" ht="14.25" customHeight="1">
      <c r="A459" s="112">
        <v>262.41000000000003</v>
      </c>
      <c r="B459" s="9">
        <f>330/10</f>
        <v>33</v>
      </c>
      <c r="C459" s="1" t="s">
        <v>5803</v>
      </c>
      <c r="D459" s="184">
        <v>20</v>
      </c>
      <c r="E459" s="6">
        <v>1.28</v>
      </c>
    </row>
    <row r="460" spans="1:18" ht="14.25" customHeight="1">
      <c r="A460" s="125" t="s">
        <v>2645</v>
      </c>
      <c r="B460" s="107">
        <f>68.6/30</f>
        <v>2.2866666666666666</v>
      </c>
      <c r="C460" s="211" t="s">
        <v>5804</v>
      </c>
      <c r="D460" s="183">
        <v>30</v>
      </c>
      <c r="E460" s="7">
        <v>0.16</v>
      </c>
      <c r="G460" s="211" t="s">
        <v>5804</v>
      </c>
    </row>
    <row r="461" spans="1:18" ht="14.25" customHeight="1">
      <c r="A461" s="125" t="s">
        <v>2646</v>
      </c>
      <c r="B461" s="107">
        <f>81.6/30</f>
        <v>2.7199999999999998</v>
      </c>
      <c r="C461" s="7" t="s">
        <v>5805</v>
      </c>
      <c r="D461" s="183">
        <v>30</v>
      </c>
      <c r="E461" s="7">
        <v>0.17</v>
      </c>
    </row>
    <row r="462" spans="1:18" ht="14.25" customHeight="1">
      <c r="A462" s="125" t="s">
        <v>2647</v>
      </c>
      <c r="B462" s="107">
        <f>118.3/30</f>
        <v>3.9433333333333334</v>
      </c>
      <c r="C462" s="7" t="s">
        <v>5806</v>
      </c>
      <c r="D462" s="183">
        <v>30</v>
      </c>
      <c r="E462" s="7">
        <v>0.19</v>
      </c>
    </row>
    <row r="463" spans="1:18" ht="14.25" customHeight="1">
      <c r="A463" s="125" t="s">
        <v>2648</v>
      </c>
      <c r="B463" s="107">
        <f>97.5/20</f>
        <v>4.875</v>
      </c>
      <c r="C463" s="7" t="s">
        <v>5807</v>
      </c>
      <c r="D463" s="183">
        <v>20</v>
      </c>
      <c r="E463" s="7">
        <v>0.24</v>
      </c>
    </row>
    <row r="464" spans="1:18" ht="14.25" customHeight="1">
      <c r="A464" s="125" t="s">
        <v>2649</v>
      </c>
      <c r="B464" s="107">
        <f>117/25</f>
        <v>4.68</v>
      </c>
      <c r="C464" s="7" t="s">
        <v>5808</v>
      </c>
      <c r="D464" s="184">
        <v>25</v>
      </c>
      <c r="E464" s="7">
        <f>0.26*20/25</f>
        <v>0.20800000000000002</v>
      </c>
    </row>
    <row r="465" spans="1:18" ht="14.25" customHeight="1">
      <c r="A465" s="125" t="s">
        <v>2650</v>
      </c>
      <c r="B465" s="107">
        <f>119/23</f>
        <v>5.1739130434782608</v>
      </c>
      <c r="C465" s="7" t="s">
        <v>5809</v>
      </c>
      <c r="D465" s="184">
        <v>23</v>
      </c>
      <c r="E465" s="80">
        <f>0.28*20/23</f>
        <v>0.24347826086956523</v>
      </c>
    </row>
    <row r="466" spans="1:18" ht="14.25" customHeight="1">
      <c r="A466" s="125" t="s">
        <v>2651</v>
      </c>
      <c r="B466" s="107">
        <f>181/22</f>
        <v>8.2272727272727266</v>
      </c>
      <c r="C466" s="7" t="s">
        <v>5810</v>
      </c>
      <c r="D466" s="184">
        <v>22</v>
      </c>
      <c r="E466" s="80">
        <f>0.38*15/22</f>
        <v>0.25909090909090909</v>
      </c>
    </row>
    <row r="467" spans="1:18" ht="14.25" customHeight="1">
      <c r="A467" s="125" t="s">
        <v>2596</v>
      </c>
      <c r="B467" s="9">
        <f>53.6/2</f>
        <v>26.8</v>
      </c>
      <c r="C467" s="211" t="s">
        <v>5963</v>
      </c>
      <c r="D467" s="183">
        <f t="shared" ref="D467:D474" si="14">2*2</f>
        <v>4</v>
      </c>
      <c r="E467" s="7">
        <f t="shared" ref="E467:E474" si="15">1.85/2</f>
        <v>0.92500000000000004</v>
      </c>
      <c r="G467" s="211" t="s">
        <v>5963</v>
      </c>
    </row>
    <row r="468" spans="1:18" ht="14.25" customHeight="1">
      <c r="A468" s="125" t="s">
        <v>2597</v>
      </c>
      <c r="B468" s="9">
        <f>53.6/2</f>
        <v>26.8</v>
      </c>
      <c r="C468" s="1" t="s">
        <v>5811</v>
      </c>
      <c r="D468" s="183">
        <f t="shared" si="14"/>
        <v>4</v>
      </c>
      <c r="E468" s="7">
        <f t="shared" si="15"/>
        <v>0.92500000000000004</v>
      </c>
    </row>
    <row r="469" spans="1:18" ht="14.25" customHeight="1">
      <c r="A469" s="125" t="s">
        <v>2598</v>
      </c>
      <c r="B469" s="9">
        <f>53.3/2</f>
        <v>26.65</v>
      </c>
      <c r="C469" s="1" t="s">
        <v>5812</v>
      </c>
      <c r="D469" s="183">
        <f t="shared" si="14"/>
        <v>4</v>
      </c>
      <c r="E469" s="7">
        <f t="shared" si="15"/>
        <v>0.92500000000000004</v>
      </c>
    </row>
    <row r="470" spans="1:18" s="4" customFormat="1" ht="14.25" customHeight="1">
      <c r="A470" s="125" t="s">
        <v>2599</v>
      </c>
      <c r="B470" s="129">
        <f>55.6/2</f>
        <v>27.8</v>
      </c>
      <c r="C470" s="1" t="s">
        <v>5813</v>
      </c>
      <c r="D470" s="183">
        <f t="shared" si="14"/>
        <v>4</v>
      </c>
      <c r="E470" s="7">
        <f t="shared" si="15"/>
        <v>0.92500000000000004</v>
      </c>
      <c r="F470" s="7"/>
      <c r="G470" s="7"/>
      <c r="H470" s="7"/>
      <c r="I470" s="7"/>
      <c r="J470" s="7"/>
      <c r="K470" s="7"/>
      <c r="L470" s="7"/>
      <c r="M470" s="7"/>
      <c r="N470" s="7"/>
      <c r="O470" s="7"/>
      <c r="P470" s="7"/>
      <c r="Q470" s="7"/>
      <c r="R470" s="7"/>
    </row>
    <row r="471" spans="1:18" ht="14.25" customHeight="1">
      <c r="A471" s="125" t="s">
        <v>2600</v>
      </c>
      <c r="B471" s="9">
        <f>55.1/2</f>
        <v>27.55</v>
      </c>
      <c r="C471" s="1" t="s">
        <v>5814</v>
      </c>
      <c r="D471" s="183">
        <f t="shared" si="14"/>
        <v>4</v>
      </c>
      <c r="E471" s="7">
        <f t="shared" si="15"/>
        <v>0.92500000000000004</v>
      </c>
    </row>
    <row r="472" spans="1:18" ht="14.25" customHeight="1">
      <c r="A472" s="125" t="s">
        <v>2601</v>
      </c>
      <c r="B472" s="9">
        <f>52.6/2</f>
        <v>26.3</v>
      </c>
      <c r="C472" s="1" t="s">
        <v>5815</v>
      </c>
      <c r="D472" s="183">
        <f t="shared" si="14"/>
        <v>4</v>
      </c>
      <c r="E472" s="7">
        <f t="shared" si="15"/>
        <v>0.92500000000000004</v>
      </c>
    </row>
    <row r="473" spans="1:18" ht="14.25" customHeight="1">
      <c r="A473" s="125" t="s">
        <v>2602</v>
      </c>
      <c r="B473" s="9">
        <f>54/2</f>
        <v>27</v>
      </c>
      <c r="C473" s="1" t="s">
        <v>5816</v>
      </c>
      <c r="D473" s="183">
        <f t="shared" si="14"/>
        <v>4</v>
      </c>
      <c r="E473" s="7">
        <f t="shared" si="15"/>
        <v>0.92500000000000004</v>
      </c>
      <c r="R473" s="4"/>
    </row>
    <row r="474" spans="1:18" ht="14.25" customHeight="1">
      <c r="A474" s="125" t="s">
        <v>2603</v>
      </c>
      <c r="B474" s="9">
        <f>52.5/2</f>
        <v>26.25</v>
      </c>
      <c r="C474" s="1" t="s">
        <v>5817</v>
      </c>
      <c r="D474" s="183">
        <f t="shared" si="14"/>
        <v>4</v>
      </c>
      <c r="E474" s="7">
        <f t="shared" si="15"/>
        <v>0.92500000000000004</v>
      </c>
    </row>
    <row r="475" spans="1:18" ht="14.25" customHeight="1">
      <c r="A475" s="125" t="s">
        <v>2604</v>
      </c>
      <c r="B475" s="9">
        <v>14</v>
      </c>
      <c r="C475" s="211" t="s">
        <v>5964</v>
      </c>
      <c r="D475" s="183">
        <v>3</v>
      </c>
      <c r="E475" s="7">
        <v>1.5</v>
      </c>
      <c r="G475" s="211" t="s">
        <v>5964</v>
      </c>
    </row>
    <row r="476" spans="1:18" ht="14.25" customHeight="1">
      <c r="A476" s="125" t="s">
        <v>2605</v>
      </c>
      <c r="B476" s="9">
        <v>14</v>
      </c>
      <c r="C476" s="7" t="s">
        <v>5818</v>
      </c>
      <c r="D476" s="183">
        <v>3</v>
      </c>
      <c r="E476" s="7">
        <v>1.5</v>
      </c>
    </row>
    <row r="477" spans="1:18" ht="14.25" customHeight="1">
      <c r="A477" s="125" t="s">
        <v>2606</v>
      </c>
      <c r="B477" s="9">
        <v>14</v>
      </c>
      <c r="C477" s="7" t="s">
        <v>5819</v>
      </c>
      <c r="D477" s="183">
        <v>3</v>
      </c>
      <c r="E477" s="7">
        <v>1.5</v>
      </c>
    </row>
    <row r="478" spans="1:18" ht="14.25" customHeight="1">
      <c r="A478" s="125" t="s">
        <v>2607</v>
      </c>
      <c r="B478" s="9">
        <v>14</v>
      </c>
      <c r="C478" s="7" t="s">
        <v>5820</v>
      </c>
      <c r="D478" s="183">
        <v>3</v>
      </c>
      <c r="E478" s="7">
        <v>1.5</v>
      </c>
    </row>
    <row r="479" spans="1:18" ht="14.25" customHeight="1">
      <c r="A479" s="125" t="s">
        <v>2608</v>
      </c>
      <c r="B479" s="9">
        <v>14</v>
      </c>
      <c r="C479" s="7" t="s">
        <v>5821</v>
      </c>
      <c r="D479" s="183">
        <v>3</v>
      </c>
      <c r="E479" s="7">
        <v>1.5</v>
      </c>
    </row>
    <row r="480" spans="1:18" ht="14.25" customHeight="1">
      <c r="A480" s="125" t="s">
        <v>2609</v>
      </c>
      <c r="B480" s="9">
        <v>14</v>
      </c>
      <c r="C480" s="7" t="s">
        <v>5822</v>
      </c>
      <c r="D480" s="183">
        <v>3</v>
      </c>
      <c r="E480" s="7">
        <v>1.5</v>
      </c>
    </row>
    <row r="481" spans="1:18" ht="14.25" customHeight="1">
      <c r="A481" s="125" t="s">
        <v>2610</v>
      </c>
      <c r="B481" s="9">
        <v>14</v>
      </c>
      <c r="C481" s="7" t="s">
        <v>5823</v>
      </c>
      <c r="D481" s="183">
        <v>3</v>
      </c>
      <c r="E481" s="7">
        <v>1.5</v>
      </c>
    </row>
    <row r="482" spans="1:18" ht="14.25" customHeight="1">
      <c r="A482" s="125" t="s">
        <v>2611</v>
      </c>
      <c r="B482" s="9">
        <v>13</v>
      </c>
      <c r="C482" s="211" t="s">
        <v>5824</v>
      </c>
      <c r="D482" s="183">
        <v>3</v>
      </c>
      <c r="E482" s="7">
        <v>0.9</v>
      </c>
      <c r="G482" s="211" t="s">
        <v>5824</v>
      </c>
    </row>
    <row r="483" spans="1:18" ht="14.25" customHeight="1">
      <c r="A483" s="125" t="s">
        <v>2612</v>
      </c>
      <c r="B483" s="9">
        <v>13</v>
      </c>
      <c r="C483" s="7" t="s">
        <v>5825</v>
      </c>
      <c r="D483" s="183">
        <v>3</v>
      </c>
      <c r="E483" s="7">
        <v>0.9</v>
      </c>
    </row>
    <row r="484" spans="1:18" ht="14.25" customHeight="1">
      <c r="A484" s="125" t="s">
        <v>2613</v>
      </c>
      <c r="B484" s="9">
        <v>13</v>
      </c>
      <c r="C484" s="7" t="s">
        <v>5826</v>
      </c>
      <c r="D484" s="183">
        <v>3</v>
      </c>
      <c r="E484" s="7">
        <v>0.9</v>
      </c>
      <c r="R484" s="4"/>
    </row>
    <row r="485" spans="1:18" ht="14.25" customHeight="1">
      <c r="A485" s="125" t="s">
        <v>2614</v>
      </c>
      <c r="B485" s="9">
        <v>13</v>
      </c>
      <c r="C485" s="7" t="s">
        <v>5827</v>
      </c>
      <c r="D485" s="183">
        <v>3</v>
      </c>
      <c r="E485" s="7">
        <v>0.9</v>
      </c>
    </row>
    <row r="486" spans="1:18" ht="14.25" customHeight="1">
      <c r="A486" s="125" t="s">
        <v>2615</v>
      </c>
      <c r="B486" s="9">
        <v>13</v>
      </c>
      <c r="C486" s="7" t="s">
        <v>5828</v>
      </c>
      <c r="D486" s="183">
        <v>3</v>
      </c>
      <c r="E486" s="7">
        <v>0.9</v>
      </c>
    </row>
    <row r="487" spans="1:18" ht="14.25" customHeight="1">
      <c r="A487" s="125" t="s">
        <v>2616</v>
      </c>
      <c r="B487" s="9">
        <v>13</v>
      </c>
      <c r="C487" s="7" t="s">
        <v>5829</v>
      </c>
      <c r="D487" s="183">
        <v>3</v>
      </c>
      <c r="E487" s="7">
        <v>0.9</v>
      </c>
    </row>
    <row r="488" spans="1:18" ht="14.25" customHeight="1">
      <c r="A488" s="125" t="s">
        <v>2617</v>
      </c>
      <c r="B488" s="9">
        <v>6</v>
      </c>
      <c r="C488" s="211" t="s">
        <v>5965</v>
      </c>
      <c r="D488" s="183">
        <v>3</v>
      </c>
      <c r="E488" s="7">
        <v>1.6</v>
      </c>
      <c r="G488" s="211" t="s">
        <v>5965</v>
      </c>
    </row>
    <row r="489" spans="1:18" ht="14.25" customHeight="1">
      <c r="A489" s="125" t="s">
        <v>2618</v>
      </c>
      <c r="B489" s="9">
        <v>6</v>
      </c>
      <c r="C489" s="7" t="s">
        <v>5830</v>
      </c>
      <c r="D489" s="183">
        <v>3</v>
      </c>
      <c r="E489" s="7">
        <v>1.6</v>
      </c>
    </row>
    <row r="490" spans="1:18" ht="14.25" customHeight="1">
      <c r="A490" s="125" t="s">
        <v>2619</v>
      </c>
      <c r="B490" s="9">
        <v>6</v>
      </c>
      <c r="C490" s="7" t="s">
        <v>5831</v>
      </c>
      <c r="D490" s="183">
        <v>3</v>
      </c>
      <c r="E490" s="7">
        <v>1.6</v>
      </c>
    </row>
    <row r="491" spans="1:18"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row>
    <row r="492" spans="1:18" ht="14.25" customHeight="1">
      <c r="A492" s="125" t="s">
        <v>2621</v>
      </c>
      <c r="B492" s="9">
        <v>6</v>
      </c>
      <c r="C492" s="7" t="s">
        <v>5833</v>
      </c>
      <c r="D492" s="183">
        <v>3</v>
      </c>
      <c r="E492" s="7">
        <v>1.6</v>
      </c>
    </row>
    <row r="493" spans="1:18" ht="14.25" customHeight="1">
      <c r="A493" s="133" t="s">
        <v>2426</v>
      </c>
      <c r="B493" s="9">
        <v>57.6</v>
      </c>
      <c r="C493" s="211" t="s">
        <v>1259</v>
      </c>
      <c r="D493" s="183">
        <v>20</v>
      </c>
      <c r="E493" s="7">
        <v>1.2</v>
      </c>
      <c r="G493" s="211" t="s">
        <v>1259</v>
      </c>
    </row>
    <row r="494" spans="1:18" ht="14.25" customHeight="1">
      <c r="A494" s="133" t="s">
        <v>2427</v>
      </c>
      <c r="B494" s="9">
        <v>61.9</v>
      </c>
      <c r="C494" s="7" t="s">
        <v>1260</v>
      </c>
      <c r="D494" s="183">
        <v>20</v>
      </c>
      <c r="E494" s="7">
        <v>1.2</v>
      </c>
    </row>
    <row r="495" spans="1:18" ht="14.25" customHeight="1">
      <c r="A495" s="133" t="s">
        <v>2428</v>
      </c>
      <c r="B495" s="9">
        <v>80.900000000000006</v>
      </c>
      <c r="C495" s="7" t="s">
        <v>1261</v>
      </c>
      <c r="D495" s="183">
        <v>20</v>
      </c>
      <c r="E495" s="7">
        <v>1.4</v>
      </c>
    </row>
    <row r="496" spans="1:18" ht="14.25" customHeight="1">
      <c r="A496" s="133" t="s">
        <v>2429</v>
      </c>
      <c r="B496" s="9">
        <v>81.8</v>
      </c>
      <c r="C496" s="7" t="s">
        <v>1262</v>
      </c>
      <c r="D496" s="183">
        <v>20</v>
      </c>
      <c r="E496" s="7">
        <v>1.4</v>
      </c>
    </row>
    <row r="497" spans="1:18" ht="14.25" customHeight="1">
      <c r="A497" s="125">
        <v>266.01</v>
      </c>
      <c r="B497" s="9">
        <v>10</v>
      </c>
      <c r="C497" s="211" t="s">
        <v>1256</v>
      </c>
      <c r="D497" s="183">
        <v>30</v>
      </c>
      <c r="E497" s="7">
        <v>0.57999999999999996</v>
      </c>
      <c r="G497" s="211" t="s">
        <v>1256</v>
      </c>
      <c r="R497" s="4"/>
    </row>
    <row r="498" spans="1:18" ht="14.25" customHeight="1">
      <c r="A498" s="125">
        <v>266.02</v>
      </c>
      <c r="B498" s="9">
        <v>4</v>
      </c>
      <c r="C498" s="7" t="s">
        <v>1257</v>
      </c>
      <c r="D498" s="183">
        <v>50</v>
      </c>
      <c r="E498" s="7">
        <v>0.25</v>
      </c>
    </row>
    <row r="499" spans="1:18" ht="14.25" customHeight="1">
      <c r="A499" s="125" t="s">
        <v>2570</v>
      </c>
      <c r="B499" s="9">
        <v>13.5</v>
      </c>
      <c r="C499" s="211" t="s">
        <v>1548</v>
      </c>
      <c r="D499" s="183">
        <v>6</v>
      </c>
      <c r="E499" s="7">
        <v>0.5</v>
      </c>
      <c r="G499" s="211" t="s">
        <v>1548</v>
      </c>
    </row>
    <row r="500" spans="1:18" ht="14.25" customHeight="1">
      <c r="A500" s="125" t="s">
        <v>2571</v>
      </c>
      <c r="B500" s="9">
        <v>14.5</v>
      </c>
      <c r="C500" s="7" t="s">
        <v>1549</v>
      </c>
      <c r="D500" s="183">
        <v>6</v>
      </c>
      <c r="E500" s="7">
        <v>0.5</v>
      </c>
    </row>
    <row r="501" spans="1:18" ht="14.25" customHeight="1">
      <c r="A501" s="125" t="s">
        <v>2572</v>
      </c>
      <c r="B501" s="9">
        <v>20.399999999999999</v>
      </c>
      <c r="C501" s="211" t="s">
        <v>1550</v>
      </c>
      <c r="D501" s="183">
        <v>3</v>
      </c>
      <c r="E501" s="7">
        <v>0.52</v>
      </c>
      <c r="G501" s="211" t="s">
        <v>1550</v>
      </c>
    </row>
    <row r="502" spans="1:18"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row>
    <row r="503" spans="1:18" ht="14.25" customHeight="1">
      <c r="A503" s="125" t="s">
        <v>2574</v>
      </c>
      <c r="B503" s="9">
        <v>20.399999999999999</v>
      </c>
      <c r="C503" s="7" t="s">
        <v>1552</v>
      </c>
      <c r="D503" s="183">
        <v>3</v>
      </c>
      <c r="E503" s="7">
        <v>0.52</v>
      </c>
    </row>
    <row r="504" spans="1:18" ht="14.25" customHeight="1">
      <c r="A504" s="125" t="s">
        <v>2575</v>
      </c>
      <c r="B504" s="9">
        <v>41.5</v>
      </c>
      <c r="C504" s="211" t="s">
        <v>1554</v>
      </c>
      <c r="D504" s="183">
        <v>3</v>
      </c>
      <c r="E504" s="7">
        <v>2.4</v>
      </c>
      <c r="G504" s="211" t="s">
        <v>1554</v>
      </c>
    </row>
    <row r="505" spans="1:18" ht="14.25" customHeight="1">
      <c r="A505" s="125" t="s">
        <v>2576</v>
      </c>
      <c r="B505" s="9">
        <v>42.9</v>
      </c>
      <c r="C505" s="7" t="s">
        <v>1555</v>
      </c>
      <c r="D505" s="183">
        <v>3</v>
      </c>
      <c r="E505" s="7">
        <v>2.4</v>
      </c>
    </row>
    <row r="506" spans="1:18" ht="14.25" customHeight="1">
      <c r="A506" s="125" t="s">
        <v>2577</v>
      </c>
      <c r="B506" s="9">
        <v>65.400000000000006</v>
      </c>
      <c r="C506" s="7" t="s">
        <v>1553</v>
      </c>
      <c r="D506" s="183">
        <v>3</v>
      </c>
      <c r="E506" s="7">
        <v>3.2</v>
      </c>
    </row>
    <row r="507" spans="1:18" ht="14.25" customHeight="1">
      <c r="A507" s="125" t="s">
        <v>2578</v>
      </c>
      <c r="B507" s="9">
        <v>43</v>
      </c>
      <c r="C507" s="211" t="s">
        <v>6058</v>
      </c>
      <c r="D507" s="183">
        <v>3</v>
      </c>
      <c r="E507" s="7">
        <v>0.9</v>
      </c>
      <c r="G507" s="211" t="s">
        <v>6058</v>
      </c>
    </row>
    <row r="508" spans="1:18" ht="14.25" customHeight="1">
      <c r="A508" s="125" t="s">
        <v>2579</v>
      </c>
      <c r="B508" s="9">
        <v>43</v>
      </c>
      <c r="C508" s="7" t="s">
        <v>6059</v>
      </c>
      <c r="D508" s="183">
        <v>3</v>
      </c>
      <c r="E508" s="7">
        <v>0.9</v>
      </c>
    </row>
    <row r="509" spans="1:18" ht="14.25" customHeight="1">
      <c r="A509" s="125" t="s">
        <v>2580</v>
      </c>
      <c r="B509" s="9">
        <v>43</v>
      </c>
      <c r="C509" s="7" t="s">
        <v>6060</v>
      </c>
      <c r="D509" s="183">
        <v>3</v>
      </c>
      <c r="E509" s="7">
        <v>0.9</v>
      </c>
    </row>
    <row r="510" spans="1:18" ht="14.25" customHeight="1">
      <c r="A510" s="125" t="s">
        <v>2581</v>
      </c>
      <c r="B510" s="9">
        <v>43</v>
      </c>
      <c r="C510" s="7" t="s">
        <v>6061</v>
      </c>
      <c r="D510" s="183">
        <v>3</v>
      </c>
      <c r="E510" s="7">
        <v>0.9</v>
      </c>
    </row>
    <row r="511" spans="1:18" ht="14.25" customHeight="1">
      <c r="A511" s="125" t="s">
        <v>2582</v>
      </c>
      <c r="B511" s="9">
        <v>43</v>
      </c>
      <c r="C511" s="7" t="s">
        <v>6062</v>
      </c>
      <c r="D511" s="183">
        <v>3</v>
      </c>
      <c r="E511" s="7">
        <v>0.9</v>
      </c>
    </row>
    <row r="512" spans="1:18" ht="14.25" customHeight="1">
      <c r="A512" s="125" t="s">
        <v>2583</v>
      </c>
      <c r="B512" s="9">
        <v>43</v>
      </c>
      <c r="C512" s="7" t="s">
        <v>6063</v>
      </c>
      <c r="D512" s="183">
        <v>3</v>
      </c>
      <c r="E512" s="7">
        <v>0.9</v>
      </c>
    </row>
    <row r="513" spans="1:7" ht="14.25" customHeight="1">
      <c r="A513" s="125" t="s">
        <v>2584</v>
      </c>
      <c r="B513" s="9">
        <v>43</v>
      </c>
      <c r="C513" s="7" t="s">
        <v>6064</v>
      </c>
      <c r="D513" s="183">
        <v>3</v>
      </c>
      <c r="E513" s="7">
        <v>0.9</v>
      </c>
    </row>
    <row r="514" spans="1:7" ht="14.25" customHeight="1">
      <c r="A514" s="125" t="s">
        <v>2585</v>
      </c>
      <c r="B514" s="9">
        <v>43</v>
      </c>
      <c r="C514" s="198" t="s">
        <v>6075</v>
      </c>
      <c r="D514" s="183">
        <v>3</v>
      </c>
      <c r="E514" s="7">
        <v>0.9</v>
      </c>
    </row>
    <row r="515" spans="1:7" ht="14.25" customHeight="1">
      <c r="A515" s="116" t="s">
        <v>2586</v>
      </c>
      <c r="B515" s="9">
        <v>20</v>
      </c>
      <c r="C515" s="211" t="s">
        <v>6065</v>
      </c>
      <c r="D515" s="183">
        <v>3</v>
      </c>
      <c r="E515" s="7">
        <v>0.9</v>
      </c>
      <c r="G515" s="211" t="s">
        <v>6065</v>
      </c>
    </row>
    <row r="516" spans="1:7" ht="14.25" customHeight="1">
      <c r="A516" s="116" t="s">
        <v>2587</v>
      </c>
      <c r="B516" s="9">
        <v>20</v>
      </c>
      <c r="C516" s="7" t="s">
        <v>6066</v>
      </c>
      <c r="D516" s="183">
        <v>3</v>
      </c>
      <c r="E516" s="7">
        <v>0.9</v>
      </c>
    </row>
    <row r="517" spans="1:7" ht="14.25" customHeight="1">
      <c r="A517" s="116" t="s">
        <v>2588</v>
      </c>
      <c r="B517" s="9">
        <v>20</v>
      </c>
      <c r="C517" s="7" t="s">
        <v>6067</v>
      </c>
      <c r="D517" s="183">
        <v>3</v>
      </c>
      <c r="E517" s="7">
        <v>0.9</v>
      </c>
    </row>
    <row r="518" spans="1:7" ht="14.25" customHeight="1">
      <c r="A518" s="116" t="s">
        <v>2589</v>
      </c>
      <c r="B518" s="9">
        <v>20</v>
      </c>
      <c r="C518" s="7" t="s">
        <v>6068</v>
      </c>
      <c r="D518" s="183">
        <v>3</v>
      </c>
      <c r="E518" s="7">
        <v>0.9</v>
      </c>
    </row>
    <row r="519" spans="1:7" ht="14.25" customHeight="1">
      <c r="A519" s="116" t="s">
        <v>2590</v>
      </c>
      <c r="B519" s="9">
        <v>20</v>
      </c>
      <c r="C519" s="7" t="s">
        <v>6069</v>
      </c>
      <c r="D519" s="183">
        <v>3</v>
      </c>
      <c r="E519" s="7">
        <v>0.9</v>
      </c>
    </row>
    <row r="520" spans="1:7" ht="14.25" customHeight="1">
      <c r="A520" s="116" t="s">
        <v>2591</v>
      </c>
      <c r="B520" s="9">
        <v>20</v>
      </c>
      <c r="C520" s="7" t="s">
        <v>6070</v>
      </c>
      <c r="D520" s="183">
        <v>3</v>
      </c>
      <c r="E520" s="7">
        <v>0.9</v>
      </c>
    </row>
    <row r="521" spans="1:7" ht="14.25" customHeight="1">
      <c r="A521" s="116" t="s">
        <v>2592</v>
      </c>
      <c r="B521" s="9">
        <v>20</v>
      </c>
      <c r="C521" s="7" t="s">
        <v>6071</v>
      </c>
      <c r="D521" s="183">
        <v>3</v>
      </c>
      <c r="E521" s="7">
        <v>0.9</v>
      </c>
    </row>
    <row r="522" spans="1:7" ht="14.25" customHeight="1">
      <c r="A522" s="116" t="s">
        <v>2593</v>
      </c>
      <c r="B522" s="9">
        <v>20</v>
      </c>
      <c r="C522" s="7" t="s">
        <v>6072</v>
      </c>
      <c r="D522" s="183">
        <v>3</v>
      </c>
      <c r="E522" s="7">
        <v>0.9</v>
      </c>
    </row>
    <row r="523" spans="1:7" ht="14.25" customHeight="1">
      <c r="A523" s="116" t="s">
        <v>2594</v>
      </c>
      <c r="B523" s="9">
        <v>20</v>
      </c>
      <c r="C523" s="7" t="s">
        <v>6073</v>
      </c>
      <c r="D523" s="183">
        <v>3</v>
      </c>
      <c r="E523" s="7">
        <v>0.9</v>
      </c>
    </row>
    <row r="524" spans="1:7" ht="14.25" customHeight="1">
      <c r="A524" s="116" t="s">
        <v>2595</v>
      </c>
      <c r="B524" s="9">
        <v>20</v>
      </c>
      <c r="C524" s="7" t="s">
        <v>6074</v>
      </c>
      <c r="D524" s="183">
        <v>3</v>
      </c>
      <c r="E524" s="7">
        <v>0.9</v>
      </c>
    </row>
    <row r="525" spans="1:7" ht="14.25" customHeight="1">
      <c r="A525" s="112">
        <v>268.01</v>
      </c>
      <c r="B525" s="9">
        <f>87.6/20</f>
        <v>4.38</v>
      </c>
      <c r="C525" s="212" t="s">
        <v>6076</v>
      </c>
      <c r="D525" s="184">
        <v>20</v>
      </c>
      <c r="E525" s="6">
        <v>0.44</v>
      </c>
      <c r="G525" s="212" t="s">
        <v>6076</v>
      </c>
    </row>
    <row r="526" spans="1:7" ht="14.25" customHeight="1">
      <c r="A526" s="112">
        <v>268.02</v>
      </c>
      <c r="B526" s="107">
        <f>92.7/20</f>
        <v>4.6349999999999998</v>
      </c>
      <c r="C526" s="1" t="s">
        <v>1822</v>
      </c>
      <c r="D526" s="184">
        <v>20</v>
      </c>
      <c r="E526" s="6">
        <v>0.44</v>
      </c>
    </row>
    <row r="527" spans="1:7" ht="14.25" customHeight="1">
      <c r="A527" s="112">
        <v>268.02999999999997</v>
      </c>
      <c r="B527" s="9">
        <f>94.6/20</f>
        <v>4.7299999999999995</v>
      </c>
      <c r="C527" s="1" t="s">
        <v>1820</v>
      </c>
      <c r="D527" s="184">
        <v>20</v>
      </c>
      <c r="E527" s="6">
        <v>0.44</v>
      </c>
    </row>
    <row r="528" spans="1:7" ht="14.25" customHeight="1">
      <c r="A528" s="112">
        <v>268.04000000000002</v>
      </c>
      <c r="B528" s="107">
        <f>99.3/20</f>
        <v>4.9649999999999999</v>
      </c>
      <c r="C528" s="1" t="s">
        <v>1821</v>
      </c>
      <c r="D528" s="184">
        <v>20</v>
      </c>
      <c r="E528" s="6">
        <v>0.44</v>
      </c>
    </row>
    <row r="529" spans="1:18" ht="14.25" customHeight="1">
      <c r="A529" s="112">
        <v>268.05</v>
      </c>
      <c r="B529" s="9">
        <v>8.6</v>
      </c>
      <c r="C529" s="212" t="s">
        <v>6078</v>
      </c>
      <c r="D529" s="184">
        <v>3</v>
      </c>
      <c r="E529" s="6">
        <v>0.6</v>
      </c>
      <c r="G529" s="212" t="s">
        <v>6078</v>
      </c>
      <c r="R529" s="4"/>
    </row>
    <row r="530" spans="1:18" ht="14.25" customHeight="1">
      <c r="A530" s="112">
        <v>268.06</v>
      </c>
      <c r="B530" s="9">
        <v>8.6</v>
      </c>
      <c r="C530" s="1" t="s">
        <v>1806</v>
      </c>
      <c r="D530" s="184">
        <v>3</v>
      </c>
      <c r="E530" s="6">
        <v>0.6</v>
      </c>
    </row>
    <row r="531" spans="1:18" ht="14.25" customHeight="1">
      <c r="A531" s="112">
        <v>268.07</v>
      </c>
      <c r="B531" s="9">
        <v>8.6</v>
      </c>
      <c r="C531" s="1" t="s">
        <v>1807</v>
      </c>
      <c r="D531" s="184">
        <v>3</v>
      </c>
      <c r="E531" s="6">
        <v>0.6</v>
      </c>
    </row>
    <row r="532" spans="1:18" ht="14.25" customHeight="1">
      <c r="A532" s="112">
        <v>268.08</v>
      </c>
      <c r="B532" s="9">
        <v>8.6</v>
      </c>
      <c r="C532" s="1" t="s">
        <v>1808</v>
      </c>
      <c r="D532" s="184">
        <v>3</v>
      </c>
      <c r="E532" s="6">
        <v>0.6</v>
      </c>
    </row>
    <row r="533" spans="1:18" ht="14.25" customHeight="1">
      <c r="A533" s="112">
        <v>268.08999999999997</v>
      </c>
      <c r="B533" s="9">
        <v>8.6</v>
      </c>
      <c r="C533" s="1" t="s">
        <v>1809</v>
      </c>
      <c r="D533" s="184">
        <v>3</v>
      </c>
      <c r="E533" s="6">
        <v>0.6</v>
      </c>
    </row>
    <row r="534" spans="1:18" ht="14.25" customHeight="1">
      <c r="A534" s="114" t="s">
        <v>2316</v>
      </c>
      <c r="B534" s="9">
        <v>8.6</v>
      </c>
      <c r="C534" s="1" t="s">
        <v>1810</v>
      </c>
      <c r="D534" s="184">
        <v>3</v>
      </c>
      <c r="E534" s="6">
        <v>0.6</v>
      </c>
    </row>
    <row r="535" spans="1:18" ht="14.25" customHeight="1">
      <c r="A535" s="114" t="s">
        <v>2317</v>
      </c>
      <c r="B535" s="9">
        <v>8.6</v>
      </c>
      <c r="C535" s="1" t="s">
        <v>1811</v>
      </c>
      <c r="D535" s="184">
        <v>3</v>
      </c>
      <c r="E535" s="6">
        <v>0.6</v>
      </c>
    </row>
    <row r="536" spans="1:18" ht="14.25" customHeight="1">
      <c r="A536" s="114" t="s">
        <v>2318</v>
      </c>
      <c r="B536" s="9">
        <v>8.6</v>
      </c>
      <c r="C536" s="1" t="s">
        <v>1812</v>
      </c>
      <c r="D536" s="184">
        <v>3</v>
      </c>
      <c r="E536" s="6">
        <v>0.6</v>
      </c>
    </row>
    <row r="537" spans="1:18" ht="14.25" customHeight="1">
      <c r="A537" s="114" t="s">
        <v>2319</v>
      </c>
      <c r="B537" s="9">
        <v>8.6</v>
      </c>
      <c r="C537" s="1" t="s">
        <v>1813</v>
      </c>
      <c r="D537" s="184">
        <v>3</v>
      </c>
      <c r="E537" s="6">
        <v>0.6</v>
      </c>
    </row>
    <row r="538" spans="1:18" ht="14.25" customHeight="1">
      <c r="A538" s="114" t="s">
        <v>2320</v>
      </c>
      <c r="B538" s="9">
        <v>8.6</v>
      </c>
      <c r="C538" s="1" t="s">
        <v>1814</v>
      </c>
      <c r="D538" s="184">
        <v>3</v>
      </c>
      <c r="E538" s="6">
        <v>0.6</v>
      </c>
    </row>
    <row r="539" spans="1:18" ht="14.25" customHeight="1">
      <c r="A539" s="114" t="s">
        <v>2321</v>
      </c>
      <c r="B539" s="9">
        <v>8.6</v>
      </c>
      <c r="C539" s="1" t="s">
        <v>1815</v>
      </c>
      <c r="D539" s="184">
        <v>3</v>
      </c>
      <c r="E539" s="6">
        <v>0.6</v>
      </c>
    </row>
    <row r="540" spans="1:18" ht="14.25" customHeight="1">
      <c r="A540" s="114" t="s">
        <v>2322</v>
      </c>
      <c r="B540" s="9">
        <v>8.6</v>
      </c>
      <c r="C540" s="196" t="s">
        <v>6080</v>
      </c>
      <c r="D540" s="184">
        <v>3</v>
      </c>
      <c r="E540" s="6">
        <v>0.6</v>
      </c>
    </row>
    <row r="541" spans="1:18" ht="14.25" customHeight="1">
      <c r="A541" s="114" t="s">
        <v>2323</v>
      </c>
      <c r="B541" s="9">
        <v>8.6</v>
      </c>
      <c r="C541" s="1" t="s">
        <v>1817</v>
      </c>
      <c r="D541" s="184">
        <v>3</v>
      </c>
      <c r="E541" s="6">
        <v>0.6</v>
      </c>
    </row>
    <row r="542" spans="1:18" ht="14.25" customHeight="1">
      <c r="A542" s="114" t="s">
        <v>2324</v>
      </c>
      <c r="B542" s="9">
        <v>8.6</v>
      </c>
      <c r="C542" s="1" t="s">
        <v>1818</v>
      </c>
      <c r="D542" s="184">
        <v>3</v>
      </c>
      <c r="E542" s="6">
        <v>0.6</v>
      </c>
    </row>
    <row r="543" spans="1:18" ht="14.25" customHeight="1">
      <c r="A543" s="114" t="s">
        <v>2325</v>
      </c>
      <c r="B543" s="9">
        <v>19.100000000000001</v>
      </c>
      <c r="C543" s="211" t="s">
        <v>1823</v>
      </c>
      <c r="D543" s="184">
        <v>2</v>
      </c>
      <c r="E543" s="6">
        <v>1.95</v>
      </c>
      <c r="G543" s="211" t="s">
        <v>1823</v>
      </c>
    </row>
    <row r="544" spans="1:18" ht="14.25" customHeight="1">
      <c r="A544" s="114" t="s">
        <v>2326</v>
      </c>
      <c r="B544" s="9">
        <v>19.100000000000001</v>
      </c>
      <c r="C544" s="1" t="s">
        <v>1824</v>
      </c>
      <c r="D544" s="184">
        <v>2</v>
      </c>
      <c r="E544" s="6">
        <v>1.95</v>
      </c>
    </row>
    <row r="545" spans="1:18" ht="14.25" customHeight="1">
      <c r="A545" s="114" t="s">
        <v>2327</v>
      </c>
      <c r="B545" s="9">
        <v>19.100000000000001</v>
      </c>
      <c r="C545" s="1" t="s">
        <v>1825</v>
      </c>
      <c r="D545" s="184">
        <v>2</v>
      </c>
      <c r="E545" s="6">
        <v>1.95</v>
      </c>
    </row>
    <row r="546" spans="1:18" ht="14.25" customHeight="1">
      <c r="A546" s="114" t="s">
        <v>2328</v>
      </c>
      <c r="B546" s="9">
        <v>19.100000000000001</v>
      </c>
      <c r="C546" s="1" t="s">
        <v>1826</v>
      </c>
      <c r="D546" s="184">
        <v>2</v>
      </c>
      <c r="E546" s="6">
        <v>1.95</v>
      </c>
    </row>
    <row r="547" spans="1:18" ht="14.25" customHeight="1">
      <c r="A547" s="114" t="s">
        <v>2329</v>
      </c>
      <c r="B547" s="9">
        <v>19.100000000000001</v>
      </c>
      <c r="C547" s="1" t="s">
        <v>1827</v>
      </c>
      <c r="D547" s="184">
        <v>2</v>
      </c>
      <c r="E547" s="6">
        <v>1.95</v>
      </c>
    </row>
    <row r="548" spans="1:18" ht="14.25" customHeight="1">
      <c r="A548" s="114" t="s">
        <v>2330</v>
      </c>
      <c r="B548" s="9">
        <v>19.100000000000001</v>
      </c>
      <c r="C548" s="1" t="s">
        <v>1828</v>
      </c>
      <c r="D548" s="184">
        <v>2</v>
      </c>
      <c r="E548" s="6">
        <v>1.95</v>
      </c>
      <c r="R548" s="4"/>
    </row>
    <row r="549" spans="1:18" ht="14.25" customHeight="1">
      <c r="A549" s="114" t="s">
        <v>2331</v>
      </c>
      <c r="B549" s="9">
        <v>19.100000000000001</v>
      </c>
      <c r="C549" s="1" t="s">
        <v>1840</v>
      </c>
      <c r="D549" s="184">
        <v>2</v>
      </c>
      <c r="E549" s="6">
        <v>1.95</v>
      </c>
    </row>
    <row r="550" spans="1:18" ht="14.25" customHeight="1">
      <c r="A550" s="114" t="s">
        <v>2332</v>
      </c>
      <c r="B550" s="9">
        <v>19.100000000000001</v>
      </c>
      <c r="C550" s="1" t="s">
        <v>1829</v>
      </c>
      <c r="D550" s="184">
        <v>2</v>
      </c>
      <c r="E550" s="6">
        <v>1.95</v>
      </c>
    </row>
    <row r="551" spans="1:18" ht="14.25" customHeight="1">
      <c r="A551" s="114" t="s">
        <v>2333</v>
      </c>
      <c r="B551" s="9">
        <v>19.100000000000001</v>
      </c>
      <c r="C551" s="1" t="s">
        <v>1830</v>
      </c>
      <c r="D551" s="184">
        <v>2</v>
      </c>
      <c r="E551" s="6">
        <v>1.95</v>
      </c>
    </row>
    <row r="552" spans="1:18" ht="14.25" customHeight="1">
      <c r="A552" s="114" t="s">
        <v>2334</v>
      </c>
      <c r="B552" s="9">
        <v>19.100000000000001</v>
      </c>
      <c r="C552" s="1" t="s">
        <v>1831</v>
      </c>
      <c r="D552" s="184">
        <v>2</v>
      </c>
      <c r="E552" s="6">
        <v>1.95</v>
      </c>
    </row>
    <row r="553" spans="1:18" ht="14.25" customHeight="1">
      <c r="A553" s="114" t="s">
        <v>2335</v>
      </c>
      <c r="B553" s="9">
        <v>19.100000000000001</v>
      </c>
      <c r="C553" s="1" t="s">
        <v>1832</v>
      </c>
      <c r="D553" s="184">
        <v>2</v>
      </c>
      <c r="E553" s="6">
        <v>1.95</v>
      </c>
    </row>
    <row r="554" spans="1:18" ht="14.25" customHeight="1">
      <c r="A554" s="114" t="s">
        <v>2336</v>
      </c>
      <c r="B554" s="9">
        <v>19.100000000000001</v>
      </c>
      <c r="C554" s="1" t="s">
        <v>1839</v>
      </c>
      <c r="D554" s="184">
        <v>2</v>
      </c>
      <c r="E554" s="6">
        <v>1.95</v>
      </c>
    </row>
    <row r="555" spans="1:18"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row>
    <row r="556" spans="1:18" ht="14.25" customHeight="1">
      <c r="A556" s="114" t="s">
        <v>2338</v>
      </c>
      <c r="B556" s="9">
        <v>19.100000000000001</v>
      </c>
      <c r="C556" s="1" t="s">
        <v>1837</v>
      </c>
      <c r="D556" s="184">
        <v>2</v>
      </c>
      <c r="E556" s="6">
        <v>1.95</v>
      </c>
    </row>
    <row r="557" spans="1:18" ht="14.25" customHeight="1">
      <c r="A557" s="114" t="s">
        <v>2339</v>
      </c>
      <c r="B557" s="9">
        <v>19.100000000000001</v>
      </c>
      <c r="C557" s="1" t="s">
        <v>1836</v>
      </c>
      <c r="D557" s="184">
        <v>2</v>
      </c>
      <c r="E557" s="6">
        <v>1.95</v>
      </c>
    </row>
    <row r="558" spans="1:18" ht="14.25" customHeight="1">
      <c r="A558" s="114" t="s">
        <v>2340</v>
      </c>
      <c r="B558" s="9">
        <v>19.100000000000001</v>
      </c>
      <c r="C558" s="1" t="s">
        <v>1835</v>
      </c>
      <c r="D558" s="184">
        <v>2</v>
      </c>
      <c r="E558" s="6">
        <v>1.95</v>
      </c>
    </row>
    <row r="559" spans="1:18" ht="14.25" customHeight="1">
      <c r="A559" s="114" t="s">
        <v>2341</v>
      </c>
      <c r="B559" s="9">
        <v>19.100000000000001</v>
      </c>
      <c r="C559" s="1" t="s">
        <v>1834</v>
      </c>
      <c r="D559" s="184">
        <v>2</v>
      </c>
      <c r="E559" s="6">
        <v>1.95</v>
      </c>
    </row>
    <row r="560" spans="1:18" ht="14.25" customHeight="1">
      <c r="A560" s="114" t="s">
        <v>2342</v>
      </c>
      <c r="B560" s="9">
        <v>19.100000000000001</v>
      </c>
      <c r="C560" s="1" t="s">
        <v>1833</v>
      </c>
      <c r="D560" s="184">
        <v>2</v>
      </c>
      <c r="E560" s="6">
        <v>1.95</v>
      </c>
    </row>
    <row r="561" spans="1:18" ht="14.25" customHeight="1">
      <c r="A561" s="148" t="s">
        <v>3359</v>
      </c>
      <c r="B561" s="9">
        <v>75.5</v>
      </c>
      <c r="C561" s="198" t="s">
        <v>5903</v>
      </c>
      <c r="D561" s="183">
        <v>5</v>
      </c>
      <c r="E561" s="7">
        <v>0.75</v>
      </c>
    </row>
    <row r="562" spans="1:18" ht="14.25" customHeight="1">
      <c r="A562" s="117" t="s">
        <v>2445</v>
      </c>
      <c r="B562" s="9">
        <v>36.299999999999997</v>
      </c>
      <c r="C562" s="211" t="s">
        <v>1493</v>
      </c>
      <c r="D562" s="183">
        <v>3</v>
      </c>
      <c r="E562" s="7">
        <v>2.5</v>
      </c>
      <c r="G562" s="211" t="s">
        <v>1493</v>
      </c>
    </row>
    <row r="563" spans="1:18" ht="14.25" customHeight="1">
      <c r="A563" s="117" t="s">
        <v>2446</v>
      </c>
      <c r="B563" s="9">
        <v>36.299999999999997</v>
      </c>
      <c r="C563" s="7" t="s">
        <v>1494</v>
      </c>
      <c r="D563" s="183">
        <v>3</v>
      </c>
      <c r="E563" s="7">
        <v>2.5</v>
      </c>
      <c r="R563" s="4"/>
    </row>
    <row r="564" spans="1:18" ht="14.25" customHeight="1">
      <c r="A564" s="117" t="s">
        <v>2447</v>
      </c>
      <c r="B564" s="9">
        <v>36.299999999999997</v>
      </c>
      <c r="C564" s="7" t="s">
        <v>1495</v>
      </c>
      <c r="D564" s="183">
        <v>3</v>
      </c>
      <c r="E564" s="7">
        <v>2.5</v>
      </c>
    </row>
    <row r="565" spans="1:18" ht="14.25" customHeight="1">
      <c r="A565" s="117" t="s">
        <v>2448</v>
      </c>
      <c r="B565" s="9">
        <v>36.299999999999997</v>
      </c>
      <c r="C565" s="7" t="s">
        <v>1496</v>
      </c>
      <c r="D565" s="183">
        <v>3</v>
      </c>
      <c r="E565" s="7">
        <v>2.5</v>
      </c>
    </row>
    <row r="566" spans="1:18" ht="14.25" customHeight="1">
      <c r="A566" s="117" t="s">
        <v>2449</v>
      </c>
      <c r="B566" s="9">
        <v>36.299999999999997</v>
      </c>
      <c r="C566" s="7" t="s">
        <v>1366</v>
      </c>
      <c r="D566" s="183">
        <v>3</v>
      </c>
      <c r="E566" s="7">
        <v>2.5</v>
      </c>
    </row>
    <row r="567" spans="1:18" ht="14.25" customHeight="1">
      <c r="A567" s="117" t="s">
        <v>2450</v>
      </c>
      <c r="B567" s="9">
        <v>36.299999999999997</v>
      </c>
      <c r="C567" s="7" t="s">
        <v>1497</v>
      </c>
      <c r="D567" s="183">
        <v>3</v>
      </c>
      <c r="E567" s="7">
        <v>2.5</v>
      </c>
    </row>
    <row r="568" spans="1:18" ht="14.25" customHeight="1">
      <c r="A568" s="117" t="s">
        <v>2451</v>
      </c>
      <c r="B568" s="9">
        <v>36.299999999999997</v>
      </c>
      <c r="C568" s="7" t="s">
        <v>1498</v>
      </c>
      <c r="D568" s="183">
        <v>3</v>
      </c>
      <c r="E568" s="7">
        <v>2.5</v>
      </c>
    </row>
    <row r="569" spans="1:18" ht="14.25" customHeight="1">
      <c r="A569" s="117" t="s">
        <v>2452</v>
      </c>
      <c r="B569" s="9">
        <v>36.299999999999997</v>
      </c>
      <c r="C569" s="7" t="s">
        <v>1499</v>
      </c>
      <c r="D569" s="183">
        <v>3</v>
      </c>
      <c r="E569" s="7">
        <v>2.5</v>
      </c>
    </row>
    <row r="570" spans="1:18"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row>
    <row r="571" spans="1:18" ht="14.25" customHeight="1">
      <c r="A571" s="117" t="s">
        <v>2454</v>
      </c>
      <c r="B571" s="9">
        <v>36.299999999999997</v>
      </c>
      <c r="C571" s="7" t="s">
        <v>1501</v>
      </c>
      <c r="D571" s="183">
        <v>3</v>
      </c>
      <c r="E571" s="7">
        <v>2.5</v>
      </c>
    </row>
    <row r="572" spans="1:18" ht="14.25" customHeight="1">
      <c r="A572" s="117" t="s">
        <v>2455</v>
      </c>
      <c r="B572" s="9">
        <v>36.299999999999997</v>
      </c>
      <c r="C572" s="7" t="s">
        <v>1502</v>
      </c>
      <c r="D572" s="183">
        <v>3</v>
      </c>
      <c r="E572" s="7">
        <v>2.5</v>
      </c>
    </row>
    <row r="573" spans="1:18" ht="14.25" customHeight="1">
      <c r="A573" s="117" t="s">
        <v>2456</v>
      </c>
      <c r="B573" s="9">
        <v>36.299999999999997</v>
      </c>
      <c r="C573" s="7" t="s">
        <v>1503</v>
      </c>
      <c r="D573" s="183">
        <v>3</v>
      </c>
      <c r="E573" s="7">
        <v>2.5</v>
      </c>
    </row>
    <row r="574" spans="1:18" ht="14.25" customHeight="1">
      <c r="A574" s="117" t="s">
        <v>2457</v>
      </c>
      <c r="B574" s="9">
        <v>9.5</v>
      </c>
      <c r="C574" s="211" t="s">
        <v>1267</v>
      </c>
      <c r="D574" s="183">
        <v>5</v>
      </c>
      <c r="E574" s="7">
        <v>0.55000000000000004</v>
      </c>
      <c r="G574" s="211" t="s">
        <v>1267</v>
      </c>
    </row>
    <row r="575" spans="1:18" ht="14.25" customHeight="1">
      <c r="A575" s="117" t="s">
        <v>2458</v>
      </c>
      <c r="B575" s="9">
        <v>9.5</v>
      </c>
      <c r="C575" s="1" t="s">
        <v>1280</v>
      </c>
      <c r="D575" s="183">
        <v>5</v>
      </c>
      <c r="E575" s="7">
        <v>0.55000000000000004</v>
      </c>
    </row>
    <row r="576" spans="1:18" ht="14.25" customHeight="1">
      <c r="A576" s="117" t="s">
        <v>2459</v>
      </c>
      <c r="B576" s="9">
        <v>9.5</v>
      </c>
      <c r="C576" s="1" t="s">
        <v>1268</v>
      </c>
      <c r="D576" s="183">
        <v>5</v>
      </c>
      <c r="E576" s="7">
        <v>0.55000000000000004</v>
      </c>
    </row>
    <row r="577" spans="1:18" ht="14.25" customHeight="1">
      <c r="A577" s="117" t="s">
        <v>2460</v>
      </c>
      <c r="B577" s="9">
        <v>9.5</v>
      </c>
      <c r="C577" s="1" t="s">
        <v>1269</v>
      </c>
      <c r="D577" s="183">
        <v>5</v>
      </c>
      <c r="E577" s="7">
        <v>0.55000000000000004</v>
      </c>
    </row>
    <row r="578" spans="1:18" ht="14.25" customHeight="1">
      <c r="A578" s="117" t="s">
        <v>2461</v>
      </c>
      <c r="B578" s="9">
        <v>9.5</v>
      </c>
      <c r="C578" s="1" t="s">
        <v>1270</v>
      </c>
      <c r="D578" s="183">
        <v>5</v>
      </c>
      <c r="E578" s="7">
        <v>0.55000000000000004</v>
      </c>
      <c r="R578" s="4"/>
    </row>
    <row r="579" spans="1:18" ht="14.25" customHeight="1">
      <c r="A579" s="117" t="s">
        <v>2462</v>
      </c>
      <c r="B579" s="9">
        <v>9.5</v>
      </c>
      <c r="C579" s="1" t="s">
        <v>1367</v>
      </c>
      <c r="D579" s="183">
        <v>5</v>
      </c>
      <c r="E579" s="7">
        <v>0.55000000000000004</v>
      </c>
    </row>
    <row r="580" spans="1:18" ht="14.25" customHeight="1">
      <c r="A580" s="117" t="s">
        <v>2463</v>
      </c>
      <c r="B580" s="9">
        <v>9.5</v>
      </c>
      <c r="C580" s="1" t="s">
        <v>1271</v>
      </c>
      <c r="D580" s="183">
        <v>5</v>
      </c>
      <c r="E580" s="7">
        <v>0.55000000000000004</v>
      </c>
    </row>
    <row r="581" spans="1:18" ht="14.25" customHeight="1">
      <c r="A581" s="117" t="s">
        <v>3130</v>
      </c>
      <c r="B581" s="9">
        <v>9.5</v>
      </c>
      <c r="C581" s="1" t="s">
        <v>1272</v>
      </c>
      <c r="D581" s="183">
        <v>5</v>
      </c>
      <c r="E581" s="7">
        <v>0.55000000000000004</v>
      </c>
    </row>
    <row r="582" spans="1:18" ht="14.25" customHeight="1">
      <c r="A582" s="117" t="s">
        <v>2464</v>
      </c>
      <c r="B582" s="9">
        <v>9.5</v>
      </c>
      <c r="C582" s="1" t="s">
        <v>1273</v>
      </c>
      <c r="D582" s="183">
        <v>5</v>
      </c>
      <c r="E582" s="7">
        <v>0.55000000000000004</v>
      </c>
    </row>
    <row r="583" spans="1:18" ht="14.25" customHeight="1">
      <c r="A583" s="117" t="s">
        <v>2465</v>
      </c>
      <c r="B583" s="9">
        <v>9.5</v>
      </c>
      <c r="C583" s="1" t="s">
        <v>1295</v>
      </c>
      <c r="D583" s="183">
        <v>5</v>
      </c>
      <c r="E583" s="7">
        <v>0.55000000000000004</v>
      </c>
    </row>
    <row r="584" spans="1:18" ht="14.25" customHeight="1">
      <c r="A584" s="117" t="s">
        <v>2466</v>
      </c>
      <c r="B584" s="9">
        <v>9.5</v>
      </c>
      <c r="C584" s="1" t="s">
        <v>1274</v>
      </c>
      <c r="D584" s="183">
        <v>5</v>
      </c>
      <c r="E584" s="7">
        <v>0.55000000000000004</v>
      </c>
    </row>
    <row r="585" spans="1:18"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row>
    <row r="586" spans="1:18" ht="14.25" customHeight="1">
      <c r="A586" s="117" t="s">
        <v>2468</v>
      </c>
      <c r="B586" s="9">
        <v>9.5</v>
      </c>
      <c r="C586" s="1" t="s">
        <v>1276</v>
      </c>
      <c r="D586" s="183">
        <v>5</v>
      </c>
      <c r="E586" s="7">
        <v>0.55000000000000004</v>
      </c>
    </row>
    <row r="587" spans="1:18" ht="14.25" customHeight="1">
      <c r="A587" s="117" t="s">
        <v>2469</v>
      </c>
      <c r="B587" s="9">
        <v>9.5</v>
      </c>
      <c r="C587" s="1" t="s">
        <v>1277</v>
      </c>
      <c r="D587" s="183">
        <v>5</v>
      </c>
      <c r="E587" s="7">
        <v>0.55000000000000004</v>
      </c>
    </row>
    <row r="588" spans="1:18" ht="14.25" customHeight="1">
      <c r="A588" s="117" t="s">
        <v>2470</v>
      </c>
      <c r="B588" s="9">
        <v>9.5</v>
      </c>
      <c r="C588" s="1" t="s">
        <v>1279</v>
      </c>
      <c r="D588" s="183">
        <v>5</v>
      </c>
      <c r="E588" s="7">
        <v>0.55000000000000004</v>
      </c>
    </row>
    <row r="589" spans="1:18" ht="14.25" customHeight="1">
      <c r="A589" s="117" t="s">
        <v>2471</v>
      </c>
      <c r="B589" s="9">
        <v>9.5</v>
      </c>
      <c r="C589" s="1" t="s">
        <v>1278</v>
      </c>
      <c r="D589" s="183">
        <v>5</v>
      </c>
      <c r="E589" s="7">
        <v>0.55000000000000004</v>
      </c>
    </row>
    <row r="590" spans="1:18" ht="14.25" customHeight="1">
      <c r="A590" s="117" t="s">
        <v>2472</v>
      </c>
      <c r="B590" s="9">
        <v>9.5</v>
      </c>
      <c r="C590" s="1" t="s">
        <v>1368</v>
      </c>
      <c r="D590" s="183">
        <v>5</v>
      </c>
      <c r="E590" s="7">
        <v>0.55000000000000004</v>
      </c>
    </row>
    <row r="591" spans="1:18" ht="14.25" customHeight="1">
      <c r="A591" s="117" t="s">
        <v>2473</v>
      </c>
      <c r="B591" s="9">
        <v>9.5</v>
      </c>
      <c r="C591" s="1" t="s">
        <v>1281</v>
      </c>
      <c r="D591" s="183">
        <v>5</v>
      </c>
      <c r="E591" s="7">
        <v>0.55000000000000004</v>
      </c>
    </row>
    <row r="592" spans="1:18" ht="14.25" customHeight="1">
      <c r="A592" s="117" t="s">
        <v>2474</v>
      </c>
      <c r="B592" s="9">
        <v>20</v>
      </c>
      <c r="C592" s="211" t="s">
        <v>1296</v>
      </c>
      <c r="D592" s="183">
        <v>3</v>
      </c>
      <c r="E592" s="7">
        <v>1.1000000000000001</v>
      </c>
      <c r="G592" s="211" t="s">
        <v>1296</v>
      </c>
    </row>
    <row r="593" spans="1:18" ht="14.25" customHeight="1">
      <c r="A593" s="117" t="s">
        <v>2475</v>
      </c>
      <c r="B593" s="9">
        <v>20</v>
      </c>
      <c r="C593" s="1" t="s">
        <v>3129</v>
      </c>
      <c r="D593" s="183">
        <v>3</v>
      </c>
      <c r="E593" s="7">
        <v>1.1000000000000001</v>
      </c>
      <c r="R593" s="4"/>
    </row>
    <row r="594" spans="1:18" ht="14.25" customHeight="1">
      <c r="A594" s="117" t="s">
        <v>2476</v>
      </c>
      <c r="B594" s="9">
        <v>20</v>
      </c>
      <c r="C594" s="1" t="s">
        <v>1282</v>
      </c>
      <c r="D594" s="183">
        <v>3</v>
      </c>
      <c r="E594" s="7">
        <v>1.1000000000000001</v>
      </c>
    </row>
    <row r="595" spans="1:18" ht="14.25" customHeight="1">
      <c r="A595" s="117" t="s">
        <v>2477</v>
      </c>
      <c r="B595" s="9">
        <v>20</v>
      </c>
      <c r="C595" s="1" t="s">
        <v>1283</v>
      </c>
      <c r="D595" s="183">
        <v>3</v>
      </c>
      <c r="E595" s="7">
        <v>1.1000000000000001</v>
      </c>
    </row>
    <row r="596" spans="1:18" ht="14.25" customHeight="1">
      <c r="A596" s="117" t="s">
        <v>2478</v>
      </c>
      <c r="B596" s="9">
        <v>20</v>
      </c>
      <c r="C596" s="1" t="s">
        <v>1284</v>
      </c>
      <c r="D596" s="183">
        <v>3</v>
      </c>
      <c r="E596" s="7">
        <v>1.1000000000000001</v>
      </c>
    </row>
    <row r="597" spans="1:18" ht="14.25" customHeight="1">
      <c r="A597" s="117" t="s">
        <v>2479</v>
      </c>
      <c r="B597" s="9">
        <v>20</v>
      </c>
      <c r="C597" s="1" t="s">
        <v>1370</v>
      </c>
      <c r="D597" s="183">
        <v>3</v>
      </c>
      <c r="E597" s="7">
        <v>1.1000000000000001</v>
      </c>
    </row>
    <row r="598" spans="1:18" ht="14.25" customHeight="1">
      <c r="A598" s="117" t="s">
        <v>2480</v>
      </c>
      <c r="B598" s="9">
        <v>20</v>
      </c>
      <c r="C598" s="1" t="s">
        <v>1285</v>
      </c>
      <c r="D598" s="183">
        <v>3</v>
      </c>
      <c r="E598" s="7">
        <v>1.1000000000000001</v>
      </c>
    </row>
    <row r="599" spans="1:18" ht="14.25" customHeight="1">
      <c r="A599" s="117" t="s">
        <v>2481</v>
      </c>
      <c r="B599" s="9">
        <v>20</v>
      </c>
      <c r="C599" s="1" t="s">
        <v>1286</v>
      </c>
      <c r="D599" s="183">
        <v>3</v>
      </c>
      <c r="E599" s="7">
        <v>1.1000000000000001</v>
      </c>
    </row>
    <row r="600" spans="1:18"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row>
    <row r="601" spans="1:18" ht="14.25" customHeight="1">
      <c r="A601" s="117" t="s">
        <v>2483</v>
      </c>
      <c r="B601" s="9">
        <v>20</v>
      </c>
      <c r="C601" s="1" t="s">
        <v>1297</v>
      </c>
      <c r="D601" s="183">
        <v>3</v>
      </c>
      <c r="E601" s="7">
        <v>1.1000000000000001</v>
      </c>
    </row>
    <row r="602" spans="1:18" ht="14.25" customHeight="1">
      <c r="A602" s="117" t="s">
        <v>2484</v>
      </c>
      <c r="B602" s="9">
        <v>20</v>
      </c>
      <c r="C602" s="1" t="s">
        <v>1369</v>
      </c>
      <c r="D602" s="183">
        <v>3</v>
      </c>
      <c r="E602" s="7">
        <v>1.1000000000000001</v>
      </c>
    </row>
    <row r="603" spans="1:18" ht="14.25" customHeight="1">
      <c r="A603" s="117" t="s">
        <v>2485</v>
      </c>
      <c r="B603" s="9">
        <v>20</v>
      </c>
      <c r="C603" s="1" t="s">
        <v>1289</v>
      </c>
      <c r="D603" s="183">
        <v>3</v>
      </c>
      <c r="E603" s="7">
        <v>1.1000000000000001</v>
      </c>
      <c r="R603" s="4"/>
    </row>
    <row r="604" spans="1:18" ht="14.25" customHeight="1">
      <c r="A604" s="117" t="s">
        <v>2486</v>
      </c>
      <c r="B604" s="9">
        <v>20</v>
      </c>
      <c r="C604" s="1" t="s">
        <v>1290</v>
      </c>
      <c r="D604" s="183">
        <v>3</v>
      </c>
      <c r="E604" s="7">
        <v>1.1000000000000001</v>
      </c>
    </row>
    <row r="605" spans="1:18" ht="14.25" customHeight="1">
      <c r="A605" s="117" t="s">
        <v>2487</v>
      </c>
      <c r="B605" s="9">
        <v>20</v>
      </c>
      <c r="C605" s="1" t="s">
        <v>1291</v>
      </c>
      <c r="D605" s="183">
        <v>3</v>
      </c>
      <c r="E605" s="7">
        <v>1.1000000000000001</v>
      </c>
      <c r="R605" s="4"/>
    </row>
    <row r="606" spans="1:18" ht="14.25" customHeight="1">
      <c r="A606" s="117" t="s">
        <v>2488</v>
      </c>
      <c r="B606" s="9">
        <v>20</v>
      </c>
      <c r="C606" s="1" t="s">
        <v>1292</v>
      </c>
      <c r="D606" s="183">
        <v>3</v>
      </c>
      <c r="E606" s="7">
        <v>1.1000000000000001</v>
      </c>
    </row>
    <row r="607" spans="1:18" ht="14.25" customHeight="1">
      <c r="A607" s="117" t="s">
        <v>2489</v>
      </c>
      <c r="B607" s="9">
        <v>20</v>
      </c>
      <c r="C607" s="1" t="s">
        <v>1293</v>
      </c>
      <c r="D607" s="183">
        <v>3</v>
      </c>
      <c r="E607" s="7">
        <v>1.1000000000000001</v>
      </c>
    </row>
    <row r="608" spans="1:18" ht="14.25" customHeight="1">
      <c r="A608" s="117" t="s">
        <v>2490</v>
      </c>
      <c r="B608" s="9">
        <v>20</v>
      </c>
      <c r="C608" s="1" t="s">
        <v>1288</v>
      </c>
      <c r="D608" s="183">
        <v>3</v>
      </c>
      <c r="E608" s="7">
        <v>1.1000000000000001</v>
      </c>
    </row>
    <row r="609" spans="1:18" ht="14.25" customHeight="1">
      <c r="A609" s="117" t="s">
        <v>2491</v>
      </c>
      <c r="B609" s="9">
        <v>20</v>
      </c>
      <c r="C609" s="1" t="s">
        <v>1294</v>
      </c>
      <c r="D609" s="183">
        <v>3</v>
      </c>
      <c r="E609" s="7">
        <v>1.1000000000000001</v>
      </c>
    </row>
    <row r="610" spans="1:18" s="4" customFormat="1" ht="14.25" customHeight="1">
      <c r="A610" s="116" t="s">
        <v>2815</v>
      </c>
      <c r="B610" s="9">
        <v>16.5</v>
      </c>
      <c r="C610" s="211" t="s">
        <v>1877</v>
      </c>
      <c r="D610" s="184">
        <v>5</v>
      </c>
      <c r="E610" s="6">
        <v>1.2</v>
      </c>
      <c r="F610" s="7"/>
      <c r="G610" s="211" t="s">
        <v>1877</v>
      </c>
      <c r="H610" s="7"/>
      <c r="I610" s="7"/>
      <c r="J610" s="7"/>
      <c r="K610" s="7"/>
      <c r="L610" s="7"/>
      <c r="M610" s="7"/>
      <c r="N610" s="7"/>
      <c r="O610" s="7"/>
      <c r="P610" s="7"/>
      <c r="Q610" s="7"/>
      <c r="R610" s="7"/>
    </row>
    <row r="611" spans="1:18" ht="14.25" customHeight="1">
      <c r="A611" s="116" t="s">
        <v>2816</v>
      </c>
      <c r="B611" s="9">
        <v>11.7</v>
      </c>
      <c r="C611" s="1" t="s">
        <v>1878</v>
      </c>
      <c r="D611" s="184">
        <v>5</v>
      </c>
      <c r="E611" s="6">
        <v>1.7</v>
      </c>
    </row>
    <row r="612" spans="1:18" s="4" customFormat="1" ht="14.25" customHeight="1">
      <c r="A612" s="116" t="s">
        <v>3134</v>
      </c>
      <c r="B612" s="9">
        <v>60.8</v>
      </c>
      <c r="C612" s="211" t="s">
        <v>1873</v>
      </c>
      <c r="D612" s="184">
        <v>3</v>
      </c>
      <c r="E612" s="6">
        <v>2.15</v>
      </c>
      <c r="F612" s="7"/>
      <c r="G612" s="211" t="s">
        <v>1873</v>
      </c>
      <c r="H612" s="7"/>
      <c r="I612" s="7"/>
      <c r="J612" s="7"/>
      <c r="K612" s="7"/>
      <c r="L612" s="7"/>
      <c r="M612" s="7"/>
      <c r="N612" s="7"/>
      <c r="O612" s="7"/>
      <c r="P612" s="7"/>
      <c r="Q612" s="7"/>
      <c r="R612" s="7"/>
    </row>
    <row r="613" spans="1:18" ht="14.25" customHeight="1">
      <c r="A613" s="116" t="s">
        <v>3135</v>
      </c>
      <c r="B613" s="9">
        <v>62.2</v>
      </c>
      <c r="C613" s="1" t="s">
        <v>1872</v>
      </c>
      <c r="D613" s="184">
        <v>3</v>
      </c>
      <c r="E613" s="6">
        <v>2.15</v>
      </c>
    </row>
    <row r="614" spans="1:18" ht="14.25" customHeight="1">
      <c r="A614" s="116" t="s">
        <v>3133</v>
      </c>
      <c r="B614" s="9">
        <v>22.3</v>
      </c>
      <c r="C614" s="1" t="s">
        <v>1879</v>
      </c>
      <c r="D614" s="184">
        <v>5</v>
      </c>
      <c r="E614" s="6">
        <f>11.39*2.38/(1.19+1.68+2.38+2.97+3.56)</f>
        <v>2.3012054329371816</v>
      </c>
    </row>
    <row r="615" spans="1:18" ht="14.25" customHeight="1">
      <c r="A615" s="116" t="s">
        <v>2817</v>
      </c>
      <c r="B615" s="9">
        <v>27.5</v>
      </c>
      <c r="C615" s="1" t="s">
        <v>1880</v>
      </c>
      <c r="D615" s="184">
        <v>5</v>
      </c>
      <c r="E615" s="6">
        <f>11.39*2.97/(1.19+1.68+2.38+2.97+3.56)</f>
        <v>2.8716723259762311</v>
      </c>
    </row>
    <row r="616" spans="1:18" ht="14.25" customHeight="1">
      <c r="A616" s="116" t="s">
        <v>2818</v>
      </c>
      <c r="B616" s="9">
        <v>30.5</v>
      </c>
      <c r="C616" s="1" t="s">
        <v>1881</v>
      </c>
      <c r="D616" s="184">
        <v>5</v>
      </c>
      <c r="E616" s="6">
        <f>11.39*3.56/(1.19+1.68+2.38+2.97+3.56)</f>
        <v>3.4421392190152797</v>
      </c>
    </row>
    <row r="617" spans="1:18" ht="14.25" customHeight="1">
      <c r="A617" s="116" t="s">
        <v>2819</v>
      </c>
      <c r="B617" s="9">
        <v>63</v>
      </c>
      <c r="C617" s="1" t="s">
        <v>1871</v>
      </c>
      <c r="D617" s="184">
        <v>3</v>
      </c>
      <c r="E617" s="6">
        <v>2.15</v>
      </c>
    </row>
    <row r="618" spans="1:18" ht="14.25" customHeight="1">
      <c r="A618" s="116" t="s">
        <v>3136</v>
      </c>
      <c r="B618" s="9">
        <v>78.8</v>
      </c>
      <c r="C618" s="1" t="s">
        <v>1876</v>
      </c>
      <c r="D618" s="184">
        <v>3</v>
      </c>
      <c r="E618" s="6">
        <v>2.15</v>
      </c>
    </row>
    <row r="619" spans="1:18" ht="14.25" customHeight="1">
      <c r="A619" s="116" t="s">
        <v>2820</v>
      </c>
      <c r="B619" s="9">
        <v>58.6</v>
      </c>
      <c r="C619" s="1" t="s">
        <v>1874</v>
      </c>
      <c r="D619" s="184">
        <v>3</v>
      </c>
      <c r="E619" s="6">
        <v>2.15</v>
      </c>
    </row>
    <row r="620" spans="1:18" ht="14.25" customHeight="1">
      <c r="A620" s="116" t="s">
        <v>2821</v>
      </c>
      <c r="B620" s="9">
        <v>82.4</v>
      </c>
      <c r="C620" s="1" t="s">
        <v>1875</v>
      </c>
      <c r="D620" s="184">
        <v>3</v>
      </c>
      <c r="E620" s="6">
        <v>2.15</v>
      </c>
    </row>
    <row r="621" spans="1:18" ht="14.25" customHeight="1">
      <c r="A621" s="133" t="s">
        <v>2492</v>
      </c>
      <c r="B621" s="9">
        <v>10</v>
      </c>
      <c r="C621" s="211" t="s">
        <v>1300</v>
      </c>
      <c r="D621" s="183">
        <v>20</v>
      </c>
      <c r="E621" s="7">
        <v>0.68</v>
      </c>
      <c r="G621" s="211" t="s">
        <v>1300</v>
      </c>
    </row>
    <row r="622" spans="1:18" ht="14.25" customHeight="1">
      <c r="A622" s="133" t="s">
        <v>2493</v>
      </c>
      <c r="B622" s="9">
        <v>10</v>
      </c>
      <c r="C622" s="7" t="s">
        <v>1301</v>
      </c>
      <c r="D622" s="183">
        <v>10</v>
      </c>
      <c r="E622" s="7">
        <v>0.68</v>
      </c>
    </row>
    <row r="623" spans="1:18" ht="14.25" customHeight="1">
      <c r="A623" s="133" t="s">
        <v>2494</v>
      </c>
      <c r="B623" s="9">
        <v>10</v>
      </c>
      <c r="C623" s="7" t="s">
        <v>1302</v>
      </c>
      <c r="D623" s="183">
        <v>10</v>
      </c>
      <c r="E623" s="7">
        <v>0.68</v>
      </c>
      <c r="R623" s="4"/>
    </row>
    <row r="624" spans="1:18" ht="14.25" customHeight="1">
      <c r="A624" s="133" t="s">
        <v>2495</v>
      </c>
      <c r="B624" s="9">
        <v>10</v>
      </c>
      <c r="C624" s="7" t="s">
        <v>1303</v>
      </c>
      <c r="D624" s="183">
        <v>10</v>
      </c>
      <c r="E624" s="7">
        <v>0.68</v>
      </c>
    </row>
    <row r="625" spans="1:18" ht="14.25" customHeight="1">
      <c r="A625" s="133" t="s">
        <v>2496</v>
      </c>
      <c r="B625" s="9">
        <v>10</v>
      </c>
      <c r="C625" s="7" t="s">
        <v>1304</v>
      </c>
      <c r="D625" s="183">
        <v>10</v>
      </c>
      <c r="E625" s="7">
        <v>0.68</v>
      </c>
    </row>
    <row r="626" spans="1:18" ht="14.25" customHeight="1">
      <c r="A626" s="116" t="s">
        <v>2734</v>
      </c>
      <c r="B626" s="9">
        <f>60/30</f>
        <v>2</v>
      </c>
      <c r="C626" s="211" t="s">
        <v>1627</v>
      </c>
      <c r="D626" s="183">
        <v>60</v>
      </c>
      <c r="E626" s="56">
        <f>4.5/30</f>
        <v>0.15</v>
      </c>
      <c r="G626" s="211" t="s">
        <v>1627</v>
      </c>
    </row>
    <row r="627" spans="1:18" ht="14.25" customHeight="1">
      <c r="A627" s="116" t="s">
        <v>2735</v>
      </c>
      <c r="B627" s="107">
        <f>57.8/30</f>
        <v>1.9266666666666665</v>
      </c>
      <c r="C627" s="7" t="s">
        <v>1626</v>
      </c>
      <c r="D627" s="183">
        <v>60</v>
      </c>
      <c r="E627" s="56">
        <f>4.5/30</f>
        <v>0.15</v>
      </c>
    </row>
    <row r="628" spans="1:18" ht="14.25" customHeight="1">
      <c r="A628" s="116" t="s">
        <v>2736</v>
      </c>
      <c r="B628" s="107">
        <f>68.2/30</f>
        <v>2.2733333333333334</v>
      </c>
      <c r="C628" s="7" t="s">
        <v>1628</v>
      </c>
      <c r="D628" s="183">
        <v>60</v>
      </c>
      <c r="E628" s="56">
        <f>5.5/30</f>
        <v>0.18333333333333332</v>
      </c>
    </row>
    <row r="629" spans="1:18" ht="14.25" customHeight="1">
      <c r="A629" s="116" t="s">
        <v>2737</v>
      </c>
      <c r="B629" s="107">
        <f>69.7/50</f>
        <v>1.3940000000000001</v>
      </c>
      <c r="C629" s="211" t="s">
        <v>1623</v>
      </c>
      <c r="D629" s="183">
        <v>50</v>
      </c>
      <c r="E629" s="56">
        <v>0.08</v>
      </c>
      <c r="G629" s="211" t="s">
        <v>1623</v>
      </c>
    </row>
    <row r="630" spans="1:18"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row>
    <row r="631" spans="1:18" ht="14.25" customHeight="1">
      <c r="A631" s="116" t="s">
        <v>2739</v>
      </c>
      <c r="B631" s="107">
        <f>123.4/50</f>
        <v>2.468</v>
      </c>
      <c r="C631" s="7" t="s">
        <v>1625</v>
      </c>
      <c r="D631" s="183">
        <v>50</v>
      </c>
      <c r="E631" s="56">
        <v>0.12</v>
      </c>
    </row>
    <row r="632" spans="1:18" ht="14.25" customHeight="1">
      <c r="A632" s="116" t="s">
        <v>2748</v>
      </c>
      <c r="B632" s="107">
        <f>232.5/1000</f>
        <v>0.23250000000000001</v>
      </c>
      <c r="C632" s="211" t="s">
        <v>1653</v>
      </c>
      <c r="D632" s="183">
        <v>1000</v>
      </c>
      <c r="E632" s="56">
        <f>15/D632</f>
        <v>1.4999999999999999E-2</v>
      </c>
      <c r="G632" s="211" t="s">
        <v>1653</v>
      </c>
    </row>
    <row r="633" spans="1:18" ht="14.25" customHeight="1">
      <c r="A633" s="116" t="s">
        <v>2749</v>
      </c>
      <c r="B633" s="107">
        <f>262.8/1000</f>
        <v>0.26280000000000003</v>
      </c>
      <c r="C633" s="7" t="s">
        <v>1654</v>
      </c>
      <c r="D633" s="183">
        <v>1000</v>
      </c>
      <c r="E633" s="56">
        <f>15/D633</f>
        <v>1.4999999999999999E-2</v>
      </c>
    </row>
    <row r="634" spans="1:18" ht="14.25" customHeight="1">
      <c r="A634" s="116" t="s">
        <v>2750</v>
      </c>
      <c r="B634" s="9">
        <f>5/10</f>
        <v>0.5</v>
      </c>
      <c r="C634" s="7" t="s">
        <v>1655</v>
      </c>
      <c r="D634" s="183">
        <v>1000</v>
      </c>
      <c r="E634" s="56">
        <f>28/D634</f>
        <v>2.8000000000000001E-2</v>
      </c>
    </row>
    <row r="635" spans="1:18" ht="14.25" customHeight="1">
      <c r="A635" s="116" t="s">
        <v>2720</v>
      </c>
      <c r="B635" s="9">
        <f>3.9/5</f>
        <v>0.78</v>
      </c>
      <c r="C635" s="211" t="s">
        <v>1638</v>
      </c>
      <c r="D635" s="183">
        <v>1000</v>
      </c>
      <c r="E635" s="56">
        <f>40/D635</f>
        <v>0.04</v>
      </c>
      <c r="G635" s="211" t="s">
        <v>1638</v>
      </c>
    </row>
    <row r="636" spans="1:18" ht="14.25" customHeight="1">
      <c r="A636" s="116" t="s">
        <v>2721</v>
      </c>
      <c r="B636" s="9">
        <f>3.6/5</f>
        <v>0.72</v>
      </c>
      <c r="C636" s="7" t="s">
        <v>1639</v>
      </c>
      <c r="D636" s="183">
        <v>1000</v>
      </c>
      <c r="E636" s="56">
        <f>47/D636</f>
        <v>4.7E-2</v>
      </c>
    </row>
    <row r="637" spans="1:18"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row>
    <row r="638" spans="1:18" ht="14.25" customHeight="1">
      <c r="A638" s="116" t="s">
        <v>2723</v>
      </c>
      <c r="B638" s="107">
        <f>12.9/50</f>
        <v>0.25800000000000001</v>
      </c>
      <c r="C638" s="211" t="s">
        <v>1642</v>
      </c>
      <c r="D638" s="183">
        <v>50</v>
      </c>
      <c r="E638" s="7">
        <v>0.14000000000000001</v>
      </c>
      <c r="G638" s="211" t="s">
        <v>1642</v>
      </c>
    </row>
    <row r="639" spans="1:18" ht="14.25" customHeight="1">
      <c r="A639" s="116" t="s">
        <v>2724</v>
      </c>
      <c r="B639" s="107">
        <f>41.2/50</f>
        <v>0.82400000000000007</v>
      </c>
      <c r="C639" s="7" t="s">
        <v>1641</v>
      </c>
      <c r="D639" s="183">
        <v>50</v>
      </c>
      <c r="E639" s="7">
        <v>0.11</v>
      </c>
    </row>
    <row r="640" spans="1:18" ht="14.25" customHeight="1">
      <c r="A640" s="116" t="s">
        <v>2725</v>
      </c>
      <c r="B640" s="107">
        <f>48.9/50</f>
        <v>0.97799999999999998</v>
      </c>
      <c r="C640" s="7" t="s">
        <v>1643</v>
      </c>
      <c r="D640" s="183">
        <v>50</v>
      </c>
      <c r="E640" s="7">
        <v>0.14000000000000001</v>
      </c>
    </row>
    <row r="641" spans="1:18" ht="14.25" customHeight="1">
      <c r="A641" s="116" t="s">
        <v>2726</v>
      </c>
      <c r="B641" s="107">
        <f>84.9/50</f>
        <v>1.6980000000000002</v>
      </c>
      <c r="C641" s="7" t="s">
        <v>1644</v>
      </c>
      <c r="D641" s="183">
        <v>50</v>
      </c>
      <c r="E641" s="7">
        <v>0.2</v>
      </c>
    </row>
    <row r="642" spans="1:18" ht="14.25" customHeight="1">
      <c r="A642" s="116" t="s">
        <v>2727</v>
      </c>
      <c r="B642" s="107">
        <f>5/30</f>
        <v>0.16666666666666666</v>
      </c>
      <c r="C642" s="211" t="s">
        <v>1645</v>
      </c>
      <c r="D642" s="183">
        <v>30</v>
      </c>
      <c r="E642" s="7">
        <v>0.27</v>
      </c>
      <c r="G642" s="211" t="s">
        <v>1645</v>
      </c>
    </row>
    <row r="643" spans="1:18" ht="14.25" customHeight="1">
      <c r="A643" s="116" t="s">
        <v>2728</v>
      </c>
      <c r="B643" s="107">
        <f>9.6/30</f>
        <v>0.32</v>
      </c>
      <c r="C643" s="7" t="s">
        <v>1646</v>
      </c>
      <c r="D643" s="183">
        <v>30</v>
      </c>
      <c r="E643" s="7">
        <v>0.33</v>
      </c>
    </row>
    <row r="644" spans="1:18" ht="14.25" customHeight="1">
      <c r="A644" s="116" t="s">
        <v>2729</v>
      </c>
      <c r="B644" s="107">
        <f>18.7/30</f>
        <v>0.62333333333333329</v>
      </c>
      <c r="C644" s="7" t="s">
        <v>1647</v>
      </c>
      <c r="D644" s="183">
        <v>30</v>
      </c>
      <c r="E644" s="7">
        <v>0.36</v>
      </c>
    </row>
    <row r="645" spans="1:18" ht="14.25" customHeight="1">
      <c r="A645" s="116" t="s">
        <v>2730</v>
      </c>
      <c r="B645" s="107">
        <f>24.5/30</f>
        <v>0.81666666666666665</v>
      </c>
      <c r="C645" s="7" t="s">
        <v>1648</v>
      </c>
      <c r="D645" s="183">
        <v>30</v>
      </c>
      <c r="E645" s="7">
        <v>0.43</v>
      </c>
    </row>
    <row r="646" spans="1:18" ht="14.25" customHeight="1">
      <c r="A646" s="116" t="s">
        <v>2731</v>
      </c>
      <c r="B646" s="9">
        <f>7.2/5</f>
        <v>1.44</v>
      </c>
      <c r="C646" s="211" t="s">
        <v>1649</v>
      </c>
      <c r="D646" s="183">
        <v>50</v>
      </c>
      <c r="E646" s="56">
        <f>5/D646</f>
        <v>0.1</v>
      </c>
      <c r="G646" s="211" t="s">
        <v>1649</v>
      </c>
      <c r="R646" s="4"/>
    </row>
    <row r="647" spans="1:18" ht="14.25" customHeight="1">
      <c r="A647" s="116" t="s">
        <v>2732</v>
      </c>
      <c r="B647" s="9">
        <f>7.8/5</f>
        <v>1.56</v>
      </c>
      <c r="C647" s="7" t="s">
        <v>1650</v>
      </c>
      <c r="D647" s="183">
        <v>50</v>
      </c>
      <c r="E647" s="56">
        <f>5/D647</f>
        <v>0.1</v>
      </c>
    </row>
    <row r="648" spans="1:18" ht="14.25" customHeight="1">
      <c r="A648" s="116" t="s">
        <v>2733</v>
      </c>
      <c r="B648" s="9">
        <f>9.6/5</f>
        <v>1.92</v>
      </c>
      <c r="C648" s="7" t="s">
        <v>1651</v>
      </c>
      <c r="D648" s="183">
        <v>50</v>
      </c>
      <c r="E648" s="56">
        <f>10/D648</f>
        <v>0.2</v>
      </c>
    </row>
    <row r="649" spans="1:18" ht="14.25" customHeight="1">
      <c r="A649" s="116" t="s">
        <v>2751</v>
      </c>
      <c r="B649" s="9">
        <f>7.8/5</f>
        <v>1.56</v>
      </c>
      <c r="C649" s="211" t="s">
        <v>1656</v>
      </c>
      <c r="D649" s="183">
        <v>60</v>
      </c>
      <c r="E649" s="7">
        <v>0.35</v>
      </c>
      <c r="G649" s="211" t="s">
        <v>1656</v>
      </c>
    </row>
    <row r="650" spans="1:18" ht="14.25" customHeight="1">
      <c r="A650" s="116" t="s">
        <v>2752</v>
      </c>
      <c r="B650" s="9">
        <f>8.4/5</f>
        <v>1.6800000000000002</v>
      </c>
      <c r="C650" s="7" t="s">
        <v>1657</v>
      </c>
      <c r="D650" s="183">
        <v>60</v>
      </c>
      <c r="E650" s="7">
        <v>0.35</v>
      </c>
    </row>
    <row r="651" spans="1:18" ht="14.25" customHeight="1">
      <c r="A651" s="116" t="s">
        <v>2753</v>
      </c>
      <c r="B651" s="9">
        <f>11/5</f>
        <v>2.2000000000000002</v>
      </c>
      <c r="C651" s="7" t="s">
        <v>1658</v>
      </c>
      <c r="D651" s="183">
        <v>30</v>
      </c>
      <c r="E651" s="7">
        <v>0.6</v>
      </c>
    </row>
    <row r="652" spans="1:18" ht="14.25" customHeight="1">
      <c r="A652" s="116" t="s">
        <v>3157</v>
      </c>
      <c r="B652" s="9">
        <f>8.6/5</f>
        <v>1.72</v>
      </c>
      <c r="C652" s="211" t="s">
        <v>1659</v>
      </c>
      <c r="D652" s="183">
        <v>60</v>
      </c>
      <c r="E652" s="7">
        <v>0.35</v>
      </c>
      <c r="G652" s="211" t="s">
        <v>1659</v>
      </c>
    </row>
    <row r="653" spans="1:18"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row>
    <row r="654" spans="1:18" ht="14.25" customHeight="1">
      <c r="A654" s="116" t="s">
        <v>3158</v>
      </c>
      <c r="B654" s="9">
        <f>10.5/5</f>
        <v>2.1</v>
      </c>
      <c r="C654" s="7" t="s">
        <v>1661</v>
      </c>
      <c r="D654" s="183">
        <v>30</v>
      </c>
      <c r="E654" s="7">
        <v>0.6</v>
      </c>
      <c r="R654" s="4"/>
    </row>
    <row r="655" spans="1:18" ht="14.25" customHeight="1">
      <c r="A655" s="116" t="s">
        <v>2740</v>
      </c>
      <c r="B655" s="107">
        <f>56.8/30</f>
        <v>1.8933333333333333</v>
      </c>
      <c r="C655" s="211" t="s">
        <v>1629</v>
      </c>
      <c r="D655" s="183">
        <v>30</v>
      </c>
      <c r="E655" s="56">
        <v>0.25</v>
      </c>
      <c r="G655" s="211" t="s">
        <v>1629</v>
      </c>
    </row>
    <row r="656" spans="1:18" ht="14.25" customHeight="1">
      <c r="A656" s="116" t="s">
        <v>2741</v>
      </c>
      <c r="B656" s="107">
        <f>50.5/30</f>
        <v>1.6833333333333333</v>
      </c>
      <c r="C656" s="7" t="s">
        <v>1630</v>
      </c>
      <c r="D656" s="183">
        <v>30</v>
      </c>
      <c r="E656" s="56">
        <v>0.25</v>
      </c>
    </row>
    <row r="657" spans="1:18" ht="14.25" customHeight="1">
      <c r="A657" s="116" t="s">
        <v>2742</v>
      </c>
      <c r="B657" s="9">
        <f>92.1/30</f>
        <v>3.07</v>
      </c>
      <c r="C657" s="7" t="s">
        <v>1631</v>
      </c>
      <c r="D657" s="183">
        <v>30</v>
      </c>
      <c r="E657" s="56">
        <v>0.26</v>
      </c>
    </row>
    <row r="658" spans="1:18" ht="14.25" customHeight="1">
      <c r="A658" s="116" t="s">
        <v>2743</v>
      </c>
      <c r="B658" s="107">
        <f>83.2/30</f>
        <v>2.7733333333333334</v>
      </c>
      <c r="C658" s="7" t="s">
        <v>1632</v>
      </c>
      <c r="D658" s="183">
        <v>30</v>
      </c>
      <c r="E658" s="56">
        <v>0.26</v>
      </c>
    </row>
    <row r="659" spans="1:18" ht="14.25" customHeight="1">
      <c r="A659" s="116" t="s">
        <v>2744</v>
      </c>
      <c r="B659" s="107">
        <f>144.4/30</f>
        <v>4.8133333333333335</v>
      </c>
      <c r="C659" s="7" t="s">
        <v>1633</v>
      </c>
      <c r="D659" s="183">
        <v>30</v>
      </c>
      <c r="E659" s="56">
        <v>0.35</v>
      </c>
    </row>
    <row r="660" spans="1:18" ht="14.25" customHeight="1">
      <c r="A660" s="116" t="s">
        <v>2745</v>
      </c>
      <c r="B660" s="9">
        <f>133.5/30</f>
        <v>4.45</v>
      </c>
      <c r="C660" s="7" t="s">
        <v>1634</v>
      </c>
      <c r="D660" s="183">
        <v>30</v>
      </c>
      <c r="E660" s="56">
        <v>0.35</v>
      </c>
    </row>
    <row r="661" spans="1:18"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row>
    <row r="662" spans="1:18" ht="14.25" customHeight="1">
      <c r="A662" s="116" t="s">
        <v>2747</v>
      </c>
      <c r="B662" s="107">
        <f>190.3/30</f>
        <v>6.3433333333333337</v>
      </c>
      <c r="C662" s="7" t="s">
        <v>1636</v>
      </c>
      <c r="D662" s="183">
        <v>30</v>
      </c>
      <c r="E662" s="56">
        <v>0.5</v>
      </c>
      <c r="R662" s="4"/>
    </row>
    <row r="663" spans="1:18" ht="14.25" customHeight="1">
      <c r="A663" s="116" t="s">
        <v>3039</v>
      </c>
      <c r="B663" s="9">
        <f>26.7</f>
        <v>26.7</v>
      </c>
      <c r="C663" s="211" t="s">
        <v>3164</v>
      </c>
      <c r="D663" s="184">
        <v>50</v>
      </c>
      <c r="E663" s="6">
        <v>0.12</v>
      </c>
      <c r="G663" s="211" t="s">
        <v>3164</v>
      </c>
    </row>
    <row r="664" spans="1:18" ht="14.25" customHeight="1">
      <c r="A664" s="116" t="s">
        <v>3140</v>
      </c>
      <c r="B664" s="9">
        <v>24.7</v>
      </c>
      <c r="C664" s="1" t="s">
        <v>3165</v>
      </c>
      <c r="D664" s="184">
        <v>50</v>
      </c>
      <c r="E664" s="6">
        <v>0.12</v>
      </c>
    </row>
    <row r="665" spans="1:18" ht="14.25" customHeight="1">
      <c r="A665" s="116" t="s">
        <v>3141</v>
      </c>
      <c r="B665" s="9">
        <v>25.2</v>
      </c>
      <c r="C665" s="1" t="s">
        <v>3166</v>
      </c>
      <c r="D665" s="184">
        <v>20</v>
      </c>
      <c r="E665" s="6">
        <v>0.12</v>
      </c>
      <c r="R665" s="4"/>
    </row>
    <row r="666" spans="1:18" ht="14.25" customHeight="1">
      <c r="A666" s="116" t="s">
        <v>3142</v>
      </c>
      <c r="B666" s="9">
        <v>23.6</v>
      </c>
      <c r="C666" s="1" t="s">
        <v>3167</v>
      </c>
      <c r="D666" s="184">
        <v>50</v>
      </c>
      <c r="E666" s="6">
        <v>0.12</v>
      </c>
    </row>
    <row r="667" spans="1:18" ht="14.25" customHeight="1">
      <c r="A667" s="116" t="s">
        <v>3143</v>
      </c>
      <c r="B667" s="9">
        <v>25.1</v>
      </c>
      <c r="C667" s="1" t="s">
        <v>3168</v>
      </c>
      <c r="D667" s="184">
        <v>50</v>
      </c>
      <c r="E667" s="6">
        <v>0.12</v>
      </c>
    </row>
    <row r="668" spans="1:18" ht="14.25" customHeight="1">
      <c r="A668" s="116" t="s">
        <v>3144</v>
      </c>
      <c r="B668" s="9">
        <v>24.4</v>
      </c>
      <c r="C668" s="1" t="s">
        <v>3169</v>
      </c>
      <c r="D668" s="184">
        <v>20</v>
      </c>
      <c r="E668" s="6">
        <v>0.12</v>
      </c>
    </row>
    <row r="669" spans="1:18"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row>
    <row r="670" spans="1:18" ht="14.25" customHeight="1">
      <c r="A670" s="116" t="s">
        <v>3146</v>
      </c>
      <c r="B670" s="9">
        <v>10.9</v>
      </c>
      <c r="C670" s="1" t="s">
        <v>3171</v>
      </c>
      <c r="D670" s="184">
        <v>50</v>
      </c>
      <c r="E670" s="6">
        <v>0.12</v>
      </c>
    </row>
    <row r="671" spans="1:18" ht="14.25" customHeight="1">
      <c r="A671" s="116" t="s">
        <v>3147</v>
      </c>
      <c r="B671" s="9">
        <v>10.5</v>
      </c>
      <c r="C671" s="1" t="s">
        <v>3172</v>
      </c>
      <c r="D671" s="184">
        <v>50</v>
      </c>
      <c r="E671" s="6">
        <v>0.12</v>
      </c>
    </row>
    <row r="672" spans="1:18" s="4" customFormat="1" ht="14.25" customHeight="1">
      <c r="A672" s="116" t="s">
        <v>3149</v>
      </c>
      <c r="B672" s="9">
        <v>26.7</v>
      </c>
      <c r="C672" s="211" t="s">
        <v>3184</v>
      </c>
      <c r="D672" s="184">
        <v>20</v>
      </c>
      <c r="E672" s="6">
        <v>0.13</v>
      </c>
      <c r="F672" s="7"/>
      <c r="G672" s="211" t="s">
        <v>3184</v>
      </c>
      <c r="H672" s="7"/>
      <c r="I672" s="7"/>
      <c r="J672" s="7"/>
      <c r="K672" s="7"/>
      <c r="L672" s="7"/>
      <c r="M672" s="7"/>
      <c r="N672" s="7"/>
      <c r="O672" s="7"/>
      <c r="P672" s="7"/>
      <c r="Q672" s="7"/>
      <c r="R672" s="7"/>
    </row>
    <row r="673" spans="1:18" ht="14.25" customHeight="1">
      <c r="A673" s="116" t="s">
        <v>3150</v>
      </c>
      <c r="B673" s="9">
        <v>28.2</v>
      </c>
      <c r="C673" s="1" t="s">
        <v>3185</v>
      </c>
      <c r="D673" s="184">
        <v>20</v>
      </c>
      <c r="E673" s="6">
        <v>0.1</v>
      </c>
    </row>
    <row r="674" spans="1:18" ht="14.25" customHeight="1">
      <c r="A674" s="116" t="s">
        <v>3151</v>
      </c>
      <c r="B674" s="9">
        <v>64</v>
      </c>
      <c r="C674" s="1" t="s">
        <v>3186</v>
      </c>
      <c r="D674" s="184">
        <v>50</v>
      </c>
      <c r="E674" s="6">
        <v>0.1</v>
      </c>
    </row>
    <row r="675" spans="1:18" ht="14.25" customHeight="1">
      <c r="A675" s="116" t="s">
        <v>3040</v>
      </c>
      <c r="B675" s="9">
        <v>13.2</v>
      </c>
      <c r="C675" s="211" t="s">
        <v>3173</v>
      </c>
      <c r="D675" s="184">
        <v>20</v>
      </c>
      <c r="E675" s="6">
        <v>0.13</v>
      </c>
      <c r="G675" s="211" t="s">
        <v>3173</v>
      </c>
      <c r="R675" s="4"/>
    </row>
    <row r="676" spans="1:18" ht="14.25" customHeight="1">
      <c r="A676" s="116" t="s">
        <v>3041</v>
      </c>
      <c r="B676" s="9">
        <v>13.7</v>
      </c>
      <c r="C676" s="1" t="s">
        <v>3174</v>
      </c>
      <c r="D676" s="184">
        <v>20</v>
      </c>
      <c r="E676" s="6">
        <v>0.1</v>
      </c>
    </row>
    <row r="677" spans="1:18" ht="14.25" customHeight="1">
      <c r="A677" s="116" t="s">
        <v>3042</v>
      </c>
      <c r="B677" s="9">
        <v>32.9</v>
      </c>
      <c r="C677" s="1" t="s">
        <v>3175</v>
      </c>
      <c r="D677" s="184">
        <v>50</v>
      </c>
      <c r="E677" s="6">
        <v>0.1</v>
      </c>
    </row>
    <row r="678" spans="1:18" ht="14.25" customHeight="1">
      <c r="A678" s="116" t="s">
        <v>3043</v>
      </c>
      <c r="B678" s="9">
        <v>27.9</v>
      </c>
      <c r="C678" s="1" t="s">
        <v>3176</v>
      </c>
      <c r="D678" s="184">
        <v>50</v>
      </c>
      <c r="E678" s="6">
        <v>0.1</v>
      </c>
    </row>
    <row r="679" spans="1:18" ht="14.25" customHeight="1">
      <c r="A679" s="116" t="s">
        <v>3044</v>
      </c>
      <c r="B679" s="9">
        <v>36.1</v>
      </c>
      <c r="C679" s="1" t="s">
        <v>3177</v>
      </c>
      <c r="D679" s="184">
        <v>50</v>
      </c>
      <c r="E679" s="6">
        <v>0.1</v>
      </c>
    </row>
    <row r="680" spans="1:18" ht="14.25" customHeight="1">
      <c r="A680" s="116" t="s">
        <v>3045</v>
      </c>
      <c r="B680" s="9">
        <v>33.9</v>
      </c>
      <c r="C680" s="1" t="s">
        <v>3178</v>
      </c>
      <c r="D680" s="184">
        <v>50</v>
      </c>
      <c r="E680" s="6">
        <v>0.1</v>
      </c>
    </row>
    <row r="681" spans="1:18" ht="14.25" customHeight="1">
      <c r="A681" s="116" t="s">
        <v>3046</v>
      </c>
      <c r="B681" s="9">
        <v>30.7</v>
      </c>
      <c r="C681" s="1" t="s">
        <v>3179</v>
      </c>
      <c r="D681" s="184">
        <v>50</v>
      </c>
      <c r="E681" s="6">
        <v>0.1</v>
      </c>
    </row>
    <row r="682" spans="1:18"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row>
    <row r="683" spans="1:18" ht="14.25" customHeight="1">
      <c r="A683" s="116" t="s">
        <v>3048</v>
      </c>
      <c r="B683" s="9">
        <v>34.1</v>
      </c>
      <c r="C683" s="1" t="s">
        <v>3181</v>
      </c>
      <c r="D683" s="184">
        <v>50</v>
      </c>
      <c r="E683" s="6">
        <v>0.1</v>
      </c>
    </row>
    <row r="684" spans="1:18" ht="14.25" customHeight="1">
      <c r="A684" s="116" t="s">
        <v>3148</v>
      </c>
      <c r="B684" s="9">
        <v>15.9</v>
      </c>
      <c r="C684" s="1" t="s">
        <v>3182</v>
      </c>
      <c r="D684" s="184">
        <v>50</v>
      </c>
      <c r="E684" s="6">
        <v>0.1</v>
      </c>
    </row>
    <row r="685" spans="1:18" ht="14.25" customHeight="1">
      <c r="A685" s="116" t="s">
        <v>2763</v>
      </c>
      <c r="B685" s="9">
        <v>17.3</v>
      </c>
      <c r="C685" s="1" t="s">
        <v>3183</v>
      </c>
      <c r="D685" s="184">
        <v>20</v>
      </c>
      <c r="E685" s="6">
        <v>0.1</v>
      </c>
      <c r="R685" s="4"/>
    </row>
    <row r="686" spans="1:18" ht="14.25" customHeight="1">
      <c r="A686" s="116" t="s">
        <v>3152</v>
      </c>
      <c r="B686" s="9">
        <v>68.900000000000006</v>
      </c>
      <c r="C686" s="1" t="s">
        <v>3187</v>
      </c>
      <c r="D686" s="184">
        <v>50</v>
      </c>
      <c r="E686" s="6">
        <v>0.1</v>
      </c>
    </row>
    <row r="687" spans="1:18" ht="14.25" customHeight="1">
      <c r="A687" s="116" t="s">
        <v>2764</v>
      </c>
      <c r="B687" s="9">
        <v>71.900000000000006</v>
      </c>
      <c r="C687" s="1" t="s">
        <v>3188</v>
      </c>
      <c r="D687" s="184">
        <v>50</v>
      </c>
      <c r="E687" s="6">
        <v>0.1</v>
      </c>
    </row>
    <row r="688" spans="1:18" ht="14.25" customHeight="1">
      <c r="A688" s="116" t="s">
        <v>2765</v>
      </c>
      <c r="B688" s="9">
        <v>71</v>
      </c>
      <c r="C688" s="1" t="s">
        <v>3189</v>
      </c>
      <c r="D688" s="184">
        <v>50</v>
      </c>
      <c r="E688" s="6">
        <v>0.1</v>
      </c>
    </row>
    <row r="689" spans="1:18" ht="14.25" customHeight="1">
      <c r="A689" s="116" t="s">
        <v>2766</v>
      </c>
      <c r="B689" s="9">
        <v>73.400000000000006</v>
      </c>
      <c r="C689" s="1" t="s">
        <v>3190</v>
      </c>
      <c r="D689" s="184">
        <v>50</v>
      </c>
      <c r="E689" s="6">
        <v>0.1</v>
      </c>
    </row>
    <row r="690" spans="1:18" ht="14.25" customHeight="1">
      <c r="A690" s="116" t="s">
        <v>2767</v>
      </c>
      <c r="B690" s="9">
        <v>70.400000000000006</v>
      </c>
      <c r="C690" s="1" t="s">
        <v>3191</v>
      </c>
      <c r="D690" s="184">
        <v>50</v>
      </c>
      <c r="E690" s="6">
        <v>0.1</v>
      </c>
    </row>
    <row r="691" spans="1:18" ht="14.25" customHeight="1">
      <c r="A691" s="116" t="s">
        <v>2768</v>
      </c>
      <c r="B691" s="9">
        <v>69.3</v>
      </c>
      <c r="C691" s="1" t="s">
        <v>3192</v>
      </c>
      <c r="D691" s="184">
        <v>50</v>
      </c>
      <c r="E691" s="6">
        <v>0.1</v>
      </c>
    </row>
    <row r="692" spans="1:18"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row>
    <row r="693" spans="1:18" ht="14.25" customHeight="1">
      <c r="A693" s="116" t="s">
        <v>2770</v>
      </c>
      <c r="B693" s="9">
        <v>28.7</v>
      </c>
      <c r="C693" s="1" t="s">
        <v>3194</v>
      </c>
      <c r="D693" s="184">
        <v>20</v>
      </c>
      <c r="E693" s="6">
        <v>0.1</v>
      </c>
    </row>
    <row r="694" spans="1:18" ht="14.25" customHeight="1">
      <c r="A694" s="116" t="s">
        <v>2771</v>
      </c>
      <c r="B694" s="9">
        <v>26.5</v>
      </c>
      <c r="C694" s="1" t="s">
        <v>3195</v>
      </c>
      <c r="D694" s="184">
        <v>20</v>
      </c>
      <c r="E694" s="6">
        <v>0.12</v>
      </c>
    </row>
    <row r="695" spans="1:18" ht="14.25" customHeight="1">
      <c r="A695" s="116" t="s">
        <v>2785</v>
      </c>
      <c r="B695" s="107">
        <f>16.9/3</f>
        <v>5.6333333333333329</v>
      </c>
      <c r="C695" s="211" t="s">
        <v>3196</v>
      </c>
      <c r="D695" s="184">
        <v>3</v>
      </c>
      <c r="E695" s="6">
        <v>1</v>
      </c>
      <c r="G695" s="211" t="s">
        <v>3196</v>
      </c>
    </row>
    <row r="696" spans="1:18" ht="14.25" customHeight="1">
      <c r="A696" s="116" t="s">
        <v>2786</v>
      </c>
      <c r="B696" s="107">
        <f>17.1/3</f>
        <v>5.7</v>
      </c>
      <c r="C696" s="1" t="s">
        <v>3197</v>
      </c>
      <c r="D696" s="184">
        <v>3</v>
      </c>
      <c r="E696" s="6">
        <v>1</v>
      </c>
    </row>
    <row r="697" spans="1:18" ht="14.25" customHeight="1">
      <c r="A697" s="116" t="s">
        <v>2787</v>
      </c>
      <c r="B697" s="107">
        <f>20/3</f>
        <v>6.666666666666667</v>
      </c>
      <c r="C697" s="1" t="s">
        <v>3198</v>
      </c>
      <c r="D697" s="184">
        <v>3</v>
      </c>
      <c r="E697" s="6">
        <v>1</v>
      </c>
    </row>
    <row r="698" spans="1:18" ht="14.25" customHeight="1">
      <c r="A698" s="116" t="s">
        <v>2788</v>
      </c>
      <c r="B698" s="107">
        <f>19.2/3</f>
        <v>6.3999999999999995</v>
      </c>
      <c r="C698" s="1" t="s">
        <v>3199</v>
      </c>
      <c r="D698" s="184">
        <v>3</v>
      </c>
      <c r="E698" s="6">
        <v>1</v>
      </c>
    </row>
    <row r="699" spans="1:18" ht="14.25" customHeight="1">
      <c r="A699" s="116" t="s">
        <v>2789</v>
      </c>
      <c r="B699" s="107">
        <f>20.2/3</f>
        <v>6.7333333333333334</v>
      </c>
      <c r="C699" s="1" t="s">
        <v>3200</v>
      </c>
      <c r="D699" s="184">
        <v>3</v>
      </c>
      <c r="E699" s="6">
        <v>1</v>
      </c>
    </row>
    <row r="700" spans="1:18" ht="14.25" customHeight="1">
      <c r="A700" s="116" t="s">
        <v>2790</v>
      </c>
      <c r="B700" s="107">
        <f>18.8/3</f>
        <v>6.2666666666666666</v>
      </c>
      <c r="C700" s="1" t="s">
        <v>3201</v>
      </c>
      <c r="D700" s="184">
        <v>3</v>
      </c>
      <c r="E700" s="6">
        <v>1</v>
      </c>
    </row>
    <row r="701" spans="1:18" ht="14.25" customHeight="1">
      <c r="A701" s="116" t="s">
        <v>2791</v>
      </c>
      <c r="B701" s="107">
        <f>20/3</f>
        <v>6.666666666666667</v>
      </c>
      <c r="C701" s="1" t="s">
        <v>3202</v>
      </c>
      <c r="D701" s="184">
        <v>3</v>
      </c>
      <c r="E701" s="6">
        <v>1</v>
      </c>
    </row>
    <row r="702" spans="1:18" ht="14.25" customHeight="1">
      <c r="A702" s="116" t="s">
        <v>2774</v>
      </c>
      <c r="B702" s="107">
        <f t="shared" ref="B702:B711" si="16">358/500</f>
        <v>0.71599999999999997</v>
      </c>
      <c r="C702" s="211" t="s">
        <v>3203</v>
      </c>
      <c r="D702" s="184">
        <v>100</v>
      </c>
      <c r="E702" s="6">
        <f t="shared" ref="E702:E711" si="17">6/100</f>
        <v>0.06</v>
      </c>
      <c r="G702" s="211" t="s">
        <v>3203</v>
      </c>
      <c r="R702" s="4"/>
    </row>
    <row r="703" spans="1:18" ht="14.25" customHeight="1">
      <c r="A703" s="116" t="s">
        <v>2775</v>
      </c>
      <c r="B703" s="107">
        <f t="shared" si="16"/>
        <v>0.71599999999999997</v>
      </c>
      <c r="C703" s="1" t="s">
        <v>3204</v>
      </c>
      <c r="D703" s="184">
        <v>100</v>
      </c>
      <c r="E703" s="6">
        <f t="shared" si="17"/>
        <v>0.06</v>
      </c>
    </row>
    <row r="704" spans="1:18" ht="14.25" customHeight="1">
      <c r="A704" s="116" t="s">
        <v>2776</v>
      </c>
      <c r="B704" s="107">
        <f t="shared" si="16"/>
        <v>0.71599999999999997</v>
      </c>
      <c r="C704" s="1" t="s">
        <v>3205</v>
      </c>
      <c r="D704" s="184">
        <v>100</v>
      </c>
      <c r="E704" s="6">
        <f t="shared" si="17"/>
        <v>0.06</v>
      </c>
    </row>
    <row r="705" spans="1:18" ht="14.25" customHeight="1">
      <c r="A705" s="116" t="s">
        <v>2777</v>
      </c>
      <c r="B705" s="107">
        <f t="shared" si="16"/>
        <v>0.71599999999999997</v>
      </c>
      <c r="C705" s="1" t="s">
        <v>3206</v>
      </c>
      <c r="D705" s="184">
        <v>100</v>
      </c>
      <c r="E705" s="6">
        <f t="shared" si="17"/>
        <v>0.06</v>
      </c>
    </row>
    <row r="706" spans="1:18" ht="14.25" customHeight="1">
      <c r="A706" s="116" t="s">
        <v>2778</v>
      </c>
      <c r="B706" s="107">
        <f t="shared" si="16"/>
        <v>0.71599999999999997</v>
      </c>
      <c r="C706" s="1" t="s">
        <v>3207</v>
      </c>
      <c r="D706" s="184">
        <v>100</v>
      </c>
      <c r="E706" s="6">
        <f t="shared" si="17"/>
        <v>0.06</v>
      </c>
    </row>
    <row r="707" spans="1:18" ht="14.25" customHeight="1">
      <c r="A707" s="116" t="s">
        <v>2779</v>
      </c>
      <c r="B707" s="107">
        <f t="shared" si="16"/>
        <v>0.71599999999999997</v>
      </c>
      <c r="C707" s="1" t="s">
        <v>3208</v>
      </c>
      <c r="D707" s="184">
        <v>100</v>
      </c>
      <c r="E707" s="6">
        <f t="shared" si="17"/>
        <v>0.06</v>
      </c>
    </row>
    <row r="708" spans="1:18" ht="14.25" customHeight="1">
      <c r="A708" s="116" t="s">
        <v>2780</v>
      </c>
      <c r="B708" s="107">
        <f t="shared" si="16"/>
        <v>0.71599999999999997</v>
      </c>
      <c r="C708" s="1" t="s">
        <v>3209</v>
      </c>
      <c r="D708" s="184">
        <v>100</v>
      </c>
      <c r="E708" s="6">
        <f t="shared" si="17"/>
        <v>0.06</v>
      </c>
    </row>
    <row r="709" spans="1:18"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row>
    <row r="710" spans="1:18" ht="14.25" customHeight="1">
      <c r="A710" s="116" t="s">
        <v>2782</v>
      </c>
      <c r="B710" s="107">
        <f t="shared" si="16"/>
        <v>0.71599999999999997</v>
      </c>
      <c r="C710" s="1" t="s">
        <v>3211</v>
      </c>
      <c r="D710" s="184">
        <v>100</v>
      </c>
      <c r="E710" s="6">
        <f t="shared" si="17"/>
        <v>0.06</v>
      </c>
    </row>
    <row r="711" spans="1:18" ht="14.25" customHeight="1">
      <c r="A711" s="116" t="s">
        <v>2783</v>
      </c>
      <c r="B711" s="107">
        <f t="shared" si="16"/>
        <v>0.71599999999999997</v>
      </c>
      <c r="C711" s="1" t="s">
        <v>3212</v>
      </c>
      <c r="D711" s="184">
        <v>100</v>
      </c>
      <c r="E711" s="6">
        <f t="shared" si="17"/>
        <v>0.06</v>
      </c>
    </row>
    <row r="712" spans="1:18" ht="14.25" customHeight="1">
      <c r="A712" s="116" t="s">
        <v>2792</v>
      </c>
      <c r="B712" s="107">
        <f t="shared" ref="B712:B720" si="18">497/400</f>
        <v>1.2424999999999999</v>
      </c>
      <c r="C712" s="211" t="s">
        <v>3213</v>
      </c>
      <c r="D712" s="184">
        <v>100</v>
      </c>
      <c r="E712" s="6">
        <f t="shared" ref="E712:E720" si="19">7/100</f>
        <v>7.0000000000000007E-2</v>
      </c>
      <c r="G712" s="211" t="s">
        <v>3213</v>
      </c>
    </row>
    <row r="713" spans="1:18" ht="14.25" customHeight="1">
      <c r="A713" s="116" t="s">
        <v>2793</v>
      </c>
      <c r="B713" s="107">
        <f t="shared" si="18"/>
        <v>1.2424999999999999</v>
      </c>
      <c r="C713" s="1" t="s">
        <v>3214</v>
      </c>
      <c r="D713" s="184">
        <v>100</v>
      </c>
      <c r="E713" s="6">
        <f t="shared" si="19"/>
        <v>7.0000000000000007E-2</v>
      </c>
    </row>
    <row r="714" spans="1:18" ht="14.25" customHeight="1">
      <c r="A714" s="116" t="s">
        <v>2794</v>
      </c>
      <c r="B714" s="107">
        <f t="shared" si="18"/>
        <v>1.2424999999999999</v>
      </c>
      <c r="C714" s="1" t="s">
        <v>3215</v>
      </c>
      <c r="D714" s="184">
        <v>100</v>
      </c>
      <c r="E714" s="6">
        <f t="shared" si="19"/>
        <v>7.0000000000000007E-2</v>
      </c>
    </row>
    <row r="715" spans="1:18" ht="14.25" customHeight="1">
      <c r="A715" s="116" t="s">
        <v>2795</v>
      </c>
      <c r="B715" s="107">
        <f t="shared" si="18"/>
        <v>1.2424999999999999</v>
      </c>
      <c r="C715" s="1" t="s">
        <v>3216</v>
      </c>
      <c r="D715" s="184">
        <v>100</v>
      </c>
      <c r="E715" s="6">
        <f t="shared" si="19"/>
        <v>7.0000000000000007E-2</v>
      </c>
    </row>
    <row r="716" spans="1:18" ht="14.25" customHeight="1">
      <c r="A716" s="116" t="s">
        <v>2796</v>
      </c>
      <c r="B716" s="107">
        <f t="shared" si="18"/>
        <v>1.2424999999999999</v>
      </c>
      <c r="C716" s="1" t="s">
        <v>3217</v>
      </c>
      <c r="D716" s="184">
        <v>100</v>
      </c>
      <c r="E716" s="6">
        <f t="shared" si="19"/>
        <v>7.0000000000000007E-2</v>
      </c>
    </row>
    <row r="717" spans="1:18" ht="14.25" customHeight="1">
      <c r="A717" s="116" t="s">
        <v>2797</v>
      </c>
      <c r="B717" s="107">
        <f t="shared" si="18"/>
        <v>1.2424999999999999</v>
      </c>
      <c r="C717" s="1" t="s">
        <v>3218</v>
      </c>
      <c r="D717" s="184">
        <v>100</v>
      </c>
      <c r="E717" s="6">
        <f t="shared" si="19"/>
        <v>7.0000000000000007E-2</v>
      </c>
    </row>
    <row r="718" spans="1:18" ht="14.25" customHeight="1">
      <c r="A718" s="116" t="s">
        <v>2798</v>
      </c>
      <c r="B718" s="107">
        <f t="shared" si="18"/>
        <v>1.2424999999999999</v>
      </c>
      <c r="C718" s="1" t="s">
        <v>3219</v>
      </c>
      <c r="D718" s="184">
        <v>100</v>
      </c>
      <c r="E718" s="6">
        <f t="shared" si="19"/>
        <v>7.0000000000000007E-2</v>
      </c>
    </row>
    <row r="719" spans="1:18" ht="14.25" customHeight="1">
      <c r="A719" s="116" t="s">
        <v>2799</v>
      </c>
      <c r="B719" s="107">
        <f t="shared" si="18"/>
        <v>1.2424999999999999</v>
      </c>
      <c r="C719" s="1" t="s">
        <v>3220</v>
      </c>
      <c r="D719" s="184">
        <v>100</v>
      </c>
      <c r="E719" s="6">
        <f t="shared" si="19"/>
        <v>7.0000000000000007E-2</v>
      </c>
    </row>
    <row r="720" spans="1:18" ht="14.25" customHeight="1">
      <c r="A720" s="116" t="s">
        <v>2800</v>
      </c>
      <c r="B720" s="107">
        <f t="shared" si="18"/>
        <v>1.2424999999999999</v>
      </c>
      <c r="C720" s="1" t="s">
        <v>3221</v>
      </c>
      <c r="D720" s="184">
        <v>100</v>
      </c>
      <c r="E720" s="6">
        <f t="shared" si="19"/>
        <v>7.0000000000000007E-2</v>
      </c>
    </row>
    <row r="721" spans="1:18" ht="14.25" customHeight="1">
      <c r="A721" s="116" t="s">
        <v>3139</v>
      </c>
      <c r="B721" s="9">
        <f>36.1/5</f>
        <v>7.2200000000000006</v>
      </c>
      <c r="C721" s="211" t="s">
        <v>5834</v>
      </c>
      <c r="D721" s="184">
        <v>5</v>
      </c>
      <c r="E721" s="6">
        <v>1.7</v>
      </c>
      <c r="G721" s="211" t="s">
        <v>5834</v>
      </c>
      <c r="R721" s="4"/>
    </row>
    <row r="722" spans="1:18" ht="14.25" customHeight="1">
      <c r="A722" s="116" t="s">
        <v>2759</v>
      </c>
      <c r="B722" s="9">
        <f>39.8/5</f>
        <v>7.9599999999999991</v>
      </c>
      <c r="C722" s="1" t="s">
        <v>3223</v>
      </c>
      <c r="D722" s="184">
        <f>5+5</f>
        <v>10</v>
      </c>
      <c r="E722" s="6">
        <v>1.7</v>
      </c>
    </row>
    <row r="723" spans="1:18" ht="14.25" customHeight="1">
      <c r="A723" s="116" t="s">
        <v>2760</v>
      </c>
      <c r="B723" s="9">
        <f>35.3/5</f>
        <v>7.06</v>
      </c>
      <c r="C723" s="211" t="s">
        <v>5835</v>
      </c>
      <c r="D723" s="184">
        <v>5</v>
      </c>
      <c r="E723" s="6">
        <v>1.7</v>
      </c>
      <c r="G723" s="211" t="s">
        <v>5835</v>
      </c>
      <c r="R723" s="4"/>
    </row>
    <row r="724" spans="1:18" ht="14.25" customHeight="1">
      <c r="A724" s="110" t="s">
        <v>3287</v>
      </c>
      <c r="B724" s="9">
        <f>39.5/5</f>
        <v>7.9</v>
      </c>
      <c r="C724" s="1" t="s">
        <v>3225</v>
      </c>
      <c r="D724" s="184">
        <v>10</v>
      </c>
      <c r="E724" s="6">
        <v>1.7</v>
      </c>
    </row>
    <row r="725" spans="1:18" ht="14.25" customHeight="1">
      <c r="A725" s="116" t="s">
        <v>2761</v>
      </c>
      <c r="B725" s="9">
        <f>48.6/5</f>
        <v>9.7200000000000006</v>
      </c>
      <c r="C725" s="211" t="s">
        <v>5836</v>
      </c>
      <c r="D725" s="184">
        <v>5</v>
      </c>
      <c r="E725" s="6">
        <v>1.7</v>
      </c>
      <c r="G725" s="211" t="s">
        <v>5836</v>
      </c>
    </row>
    <row r="726" spans="1:18" ht="14.25" customHeight="1">
      <c r="A726" s="116" t="s">
        <v>2762</v>
      </c>
      <c r="B726" s="9">
        <f>53.5/5</f>
        <v>10.7</v>
      </c>
      <c r="C726" s="1" t="s">
        <v>3227</v>
      </c>
      <c r="D726" s="184">
        <v>5</v>
      </c>
      <c r="E726" s="6">
        <v>1.7</v>
      </c>
    </row>
    <row r="727" spans="1:18"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row>
    <row r="728" spans="1:18"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row>
    <row r="729" spans="1:18" ht="14.25" customHeight="1">
      <c r="A729" s="116" t="s">
        <v>5868</v>
      </c>
      <c r="B729" s="107">
        <f>26.9/50</f>
        <v>0.53799999999999992</v>
      </c>
      <c r="C729" s="1" t="s">
        <v>5869</v>
      </c>
      <c r="D729" s="184">
        <v>50</v>
      </c>
      <c r="E729" s="6">
        <v>0.05</v>
      </c>
    </row>
    <row r="730" spans="1:18" ht="14.25" customHeight="1">
      <c r="A730" s="125" t="s">
        <v>3137</v>
      </c>
      <c r="B730" s="9">
        <f>24.7/5</f>
        <v>4.9399999999999995</v>
      </c>
      <c r="C730" s="211" t="s">
        <v>3229</v>
      </c>
      <c r="D730" s="183">
        <v>10</v>
      </c>
      <c r="E730" s="7">
        <f>5.92/10</f>
        <v>0.59199999999999997</v>
      </c>
      <c r="G730" s="211" t="s">
        <v>3229</v>
      </c>
    </row>
    <row r="731" spans="1:18" ht="14.25" customHeight="1">
      <c r="A731" s="125" t="s">
        <v>3138</v>
      </c>
      <c r="B731" s="9">
        <f>45.7/5</f>
        <v>9.14</v>
      </c>
      <c r="C731" s="7" t="s">
        <v>3230</v>
      </c>
      <c r="D731" s="183">
        <v>10</v>
      </c>
      <c r="E731" s="7">
        <f>6.91/10</f>
        <v>0.69100000000000006</v>
      </c>
    </row>
    <row r="732" spans="1:18" ht="14.25" customHeight="1">
      <c r="A732" s="167" t="s">
        <v>3504</v>
      </c>
      <c r="B732" s="191">
        <f>92.5/3</f>
        <v>30.833333333333332</v>
      </c>
      <c r="C732" s="216" t="s">
        <v>6085</v>
      </c>
      <c r="D732" s="183">
        <v>3</v>
      </c>
      <c r="E732" s="7">
        <v>0.5</v>
      </c>
      <c r="F732"/>
      <c r="G732" s="213" t="s">
        <v>3867</v>
      </c>
      <c r="H732"/>
      <c r="I732"/>
      <c r="J732"/>
      <c r="K732"/>
      <c r="L732"/>
      <c r="M732"/>
      <c r="N732"/>
      <c r="O732"/>
      <c r="P732"/>
    </row>
    <row r="733" spans="1:18" ht="14.25" customHeight="1">
      <c r="A733" s="167" t="s">
        <v>3505</v>
      </c>
      <c r="B733" s="165">
        <v>81.3</v>
      </c>
      <c r="C733" s="169" t="s">
        <v>6086</v>
      </c>
      <c r="D733" s="183">
        <v>3</v>
      </c>
      <c r="E733" s="7">
        <v>2</v>
      </c>
      <c r="F733"/>
      <c r="G733" s="169" t="s">
        <v>6086</v>
      </c>
      <c r="H733"/>
      <c r="I733"/>
      <c r="J733"/>
      <c r="K733"/>
      <c r="L733"/>
      <c r="M733"/>
      <c r="N733"/>
      <c r="O733"/>
      <c r="P733"/>
    </row>
    <row r="734" spans="1:18" ht="14.25" customHeight="1">
      <c r="A734" s="167" t="s">
        <v>3506</v>
      </c>
      <c r="B734" s="165">
        <v>84.5</v>
      </c>
      <c r="C734" s="169" t="s">
        <v>6087</v>
      </c>
      <c r="D734" s="183">
        <v>3</v>
      </c>
      <c r="E734" s="7">
        <v>2</v>
      </c>
      <c r="F734"/>
      <c r="G734"/>
      <c r="H734"/>
      <c r="I734"/>
      <c r="J734"/>
      <c r="K734"/>
      <c r="L734"/>
      <c r="M734"/>
      <c r="N734"/>
      <c r="O734"/>
      <c r="P734"/>
    </row>
    <row r="735" spans="1:18" ht="14.25" customHeight="1">
      <c r="A735" s="171" t="s">
        <v>3885</v>
      </c>
      <c r="B735" s="165">
        <v>13</v>
      </c>
      <c r="C735" s="166" t="s">
        <v>6088</v>
      </c>
      <c r="D735" s="183">
        <v>3</v>
      </c>
      <c r="E735" s="7">
        <v>0.18</v>
      </c>
      <c r="F735"/>
      <c r="G735"/>
      <c r="H735"/>
      <c r="I735"/>
      <c r="J735"/>
      <c r="K735"/>
      <c r="L735"/>
      <c r="M735"/>
      <c r="N735"/>
      <c r="O735"/>
      <c r="P735"/>
    </row>
    <row r="736" spans="1:18" ht="14.25" customHeight="1">
      <c r="A736" s="171" t="s">
        <v>3886</v>
      </c>
      <c r="B736" s="165">
        <v>22.2</v>
      </c>
      <c r="C736" s="166" t="s">
        <v>6089</v>
      </c>
      <c r="D736" s="183">
        <v>3</v>
      </c>
      <c r="E736" s="7">
        <v>0.3</v>
      </c>
      <c r="F736"/>
      <c r="G736"/>
      <c r="H736"/>
      <c r="I736"/>
      <c r="J736"/>
      <c r="K736"/>
      <c r="L736"/>
      <c r="M736"/>
      <c r="N736"/>
      <c r="O736"/>
      <c r="P736"/>
    </row>
    <row r="737" spans="1:16" ht="14.25" customHeight="1">
      <c r="A737" s="171" t="s">
        <v>3507</v>
      </c>
      <c r="B737" s="165">
        <v>32.700000000000003</v>
      </c>
      <c r="C737" s="169" t="s">
        <v>6090</v>
      </c>
      <c r="D737" s="183">
        <v>3</v>
      </c>
      <c r="E737" s="7">
        <v>0.8</v>
      </c>
      <c r="F737"/>
      <c r="G737" s="169" t="s">
        <v>6090</v>
      </c>
      <c r="H737"/>
      <c r="I737"/>
      <c r="J737"/>
      <c r="K737"/>
      <c r="L737"/>
      <c r="M737"/>
      <c r="N737"/>
      <c r="O737"/>
      <c r="P737"/>
    </row>
    <row r="738" spans="1:16" ht="14.25" customHeight="1">
      <c r="A738" s="171" t="s">
        <v>3508</v>
      </c>
      <c r="B738" s="165">
        <v>32</v>
      </c>
      <c r="C738" s="169" t="s">
        <v>6091</v>
      </c>
      <c r="D738" s="183">
        <v>3</v>
      </c>
      <c r="E738" s="7">
        <v>0.8</v>
      </c>
      <c r="F738"/>
      <c r="G738"/>
      <c r="H738"/>
      <c r="I738"/>
      <c r="J738"/>
      <c r="K738"/>
      <c r="L738"/>
      <c r="M738"/>
      <c r="N738"/>
      <c r="O738"/>
      <c r="P738"/>
    </row>
    <row r="739" spans="1:16" ht="14.25" customHeight="1">
      <c r="A739" s="172" t="s">
        <v>3456</v>
      </c>
      <c r="B739" s="165">
        <f>29.4/5</f>
        <v>5.88</v>
      </c>
      <c r="C739" s="166" t="s">
        <v>3384</v>
      </c>
      <c r="D739" s="183">
        <v>5</v>
      </c>
      <c r="E739" s="7">
        <v>0.5</v>
      </c>
      <c r="F739"/>
      <c r="G739"/>
      <c r="H739"/>
      <c r="I739"/>
      <c r="J739"/>
      <c r="K739"/>
      <c r="L739"/>
      <c r="M739"/>
      <c r="N739"/>
      <c r="O739"/>
      <c r="P739"/>
    </row>
    <row r="740" spans="1:16" ht="14.25" customHeight="1">
      <c r="A740" s="172" t="s">
        <v>3457</v>
      </c>
      <c r="B740" s="165">
        <f>59/5</f>
        <v>11.8</v>
      </c>
      <c r="C740" s="166" t="s">
        <v>3443</v>
      </c>
      <c r="D740" s="183">
        <v>5</v>
      </c>
      <c r="E740" s="7">
        <v>0.75</v>
      </c>
      <c r="F740"/>
      <c r="G740"/>
      <c r="H740"/>
      <c r="I740"/>
      <c r="J740"/>
      <c r="K740"/>
      <c r="L740"/>
      <c r="M740"/>
      <c r="N740"/>
      <c r="O740"/>
      <c r="P740"/>
    </row>
    <row r="741" spans="1:16" ht="14.25" customHeight="1">
      <c r="A741" s="172" t="s">
        <v>3458</v>
      </c>
      <c r="B741" s="165">
        <f>42.2/5</f>
        <v>8.4400000000000013</v>
      </c>
      <c r="C741" s="166" t="s">
        <v>3419</v>
      </c>
      <c r="D741" s="183">
        <v>5</v>
      </c>
      <c r="E741" s="7">
        <v>0.68</v>
      </c>
      <c r="F741"/>
      <c r="G741"/>
      <c r="H741"/>
      <c r="I741"/>
      <c r="J741"/>
      <c r="K741"/>
      <c r="L741"/>
      <c r="M741"/>
      <c r="N741"/>
      <c r="O741"/>
      <c r="P741"/>
    </row>
    <row r="742" spans="1:16" ht="14.25" customHeight="1">
      <c r="A742" s="172" t="s">
        <v>3459</v>
      </c>
      <c r="B742" s="165">
        <f>51.8/5</f>
        <v>10.36</v>
      </c>
      <c r="C742" s="166" t="s">
        <v>3442</v>
      </c>
      <c r="D742" s="183">
        <v>5</v>
      </c>
      <c r="E742" s="7">
        <v>0.8</v>
      </c>
      <c r="F742"/>
      <c r="G742"/>
      <c r="H742"/>
      <c r="I742"/>
      <c r="J742"/>
      <c r="K742"/>
      <c r="L742"/>
      <c r="M742"/>
      <c r="N742"/>
      <c r="O742"/>
      <c r="P742"/>
    </row>
    <row r="743" spans="1:16" ht="14.25" customHeight="1">
      <c r="A743" s="172" t="s">
        <v>3460</v>
      </c>
      <c r="B743" s="165">
        <f>60.9/5</f>
        <v>12.18</v>
      </c>
      <c r="C743" s="135" t="s">
        <v>3408</v>
      </c>
      <c r="D743" s="183">
        <v>5</v>
      </c>
      <c r="E743" s="7">
        <v>1.4</v>
      </c>
      <c r="F743"/>
      <c r="G743"/>
      <c r="H743"/>
      <c r="I743"/>
      <c r="J743"/>
      <c r="K743"/>
      <c r="L743"/>
      <c r="M743"/>
      <c r="N743"/>
      <c r="O743"/>
      <c r="P743"/>
    </row>
    <row r="744" spans="1:16" ht="14.25" customHeight="1">
      <c r="A744" s="172" t="s">
        <v>3461</v>
      </c>
      <c r="B744" s="165">
        <f>55/5</f>
        <v>11</v>
      </c>
      <c r="C744" s="135" t="s">
        <v>3410</v>
      </c>
      <c r="D744" s="183">
        <v>5</v>
      </c>
      <c r="E744" s="7">
        <v>0.55000000000000004</v>
      </c>
      <c r="F744"/>
      <c r="G744"/>
      <c r="H744"/>
      <c r="I744"/>
      <c r="J744"/>
      <c r="K744"/>
      <c r="L744"/>
      <c r="M744"/>
      <c r="N744"/>
      <c r="O744"/>
      <c r="P744"/>
    </row>
    <row r="745" spans="1:16" ht="14.25" customHeight="1">
      <c r="A745" s="172" t="s">
        <v>3462</v>
      </c>
      <c r="B745" s="165">
        <f>21.3/5</f>
        <v>4.26</v>
      </c>
      <c r="C745" s="166" t="s">
        <v>3416</v>
      </c>
      <c r="D745" s="183">
        <v>5</v>
      </c>
      <c r="E745" s="7">
        <v>0.3</v>
      </c>
      <c r="F745"/>
      <c r="G745"/>
      <c r="H745"/>
      <c r="I745"/>
      <c r="J745"/>
      <c r="K745"/>
      <c r="L745"/>
      <c r="M745"/>
      <c r="N745"/>
      <c r="O745"/>
      <c r="P745"/>
    </row>
    <row r="746" spans="1:16" ht="14.25" customHeight="1">
      <c r="A746" s="172" t="s">
        <v>3463</v>
      </c>
      <c r="B746" s="165">
        <f>49.3/5</f>
        <v>9.86</v>
      </c>
      <c r="C746" s="135" t="s">
        <v>3409</v>
      </c>
      <c r="D746" s="183">
        <v>5</v>
      </c>
      <c r="E746" s="7">
        <v>1.5</v>
      </c>
      <c r="F746"/>
      <c r="G746"/>
      <c r="H746"/>
      <c r="I746"/>
      <c r="J746"/>
      <c r="K746"/>
      <c r="L746"/>
      <c r="M746"/>
      <c r="N746"/>
      <c r="O746"/>
      <c r="P746"/>
    </row>
    <row r="747" spans="1:16" ht="14.25" customHeight="1">
      <c r="A747" s="172" t="s">
        <v>3464</v>
      </c>
      <c r="B747" s="165">
        <f>41.2/5</f>
        <v>8.24</v>
      </c>
      <c r="C747" s="135" t="s">
        <v>3411</v>
      </c>
      <c r="D747" s="183">
        <v>5</v>
      </c>
      <c r="E747" s="7">
        <v>0.6</v>
      </c>
      <c r="F747"/>
      <c r="G747"/>
      <c r="H747"/>
      <c r="I747"/>
      <c r="J747"/>
      <c r="K747"/>
      <c r="L747"/>
      <c r="M747"/>
      <c r="N747"/>
      <c r="O747"/>
      <c r="P747"/>
    </row>
    <row r="748" spans="1:16" s="120" customFormat="1" ht="14.25" customHeight="1">
      <c r="A748" s="201" t="s">
        <v>6092</v>
      </c>
      <c r="B748" s="168">
        <f>37.8-4.2</f>
        <v>33.599999999999994</v>
      </c>
      <c r="C748" s="204" t="s">
        <v>5945</v>
      </c>
      <c r="D748" s="186">
        <v>5</v>
      </c>
      <c r="E748" s="120">
        <v>3.8</v>
      </c>
    </row>
    <row r="749" spans="1:16" ht="14.25" customHeight="1">
      <c r="A749" s="125" t="s">
        <v>3263</v>
      </c>
      <c r="B749" s="9">
        <f>27.8/5</f>
        <v>5.5600000000000005</v>
      </c>
      <c r="C749" s="137" t="s">
        <v>5838</v>
      </c>
      <c r="D749" s="183">
        <v>20</v>
      </c>
      <c r="E749" s="7">
        <v>0.24</v>
      </c>
    </row>
    <row r="750" spans="1:16" ht="14.25" customHeight="1">
      <c r="A750" s="125" t="s">
        <v>3264</v>
      </c>
      <c r="B750" s="9">
        <f>35.7/5</f>
        <v>7.1400000000000006</v>
      </c>
      <c r="C750" s="137" t="s">
        <v>5839</v>
      </c>
      <c r="D750" s="183">
        <v>20</v>
      </c>
      <c r="E750" s="7">
        <v>0.28000000000000003</v>
      </c>
    </row>
    <row r="751" spans="1:16" ht="14.25" customHeight="1">
      <c r="A751" s="125" t="s">
        <v>3265</v>
      </c>
      <c r="B751" s="9">
        <f>37.6/5</f>
        <v>7.5200000000000005</v>
      </c>
      <c r="C751" s="137" t="s">
        <v>5840</v>
      </c>
      <c r="D751" s="183">
        <v>20</v>
      </c>
      <c r="E751" s="7">
        <v>1</v>
      </c>
    </row>
    <row r="752" spans="1:16" ht="14.25" customHeight="1">
      <c r="A752" s="125" t="s">
        <v>3266</v>
      </c>
      <c r="B752" s="9">
        <f>40.4/5</f>
        <v>8.08</v>
      </c>
      <c r="C752" s="137" t="s">
        <v>5841</v>
      </c>
      <c r="D752" s="183">
        <v>20</v>
      </c>
      <c r="E752" s="7">
        <v>1.1000000000000001</v>
      </c>
    </row>
    <row r="753" spans="1:16" ht="14.25" customHeight="1">
      <c r="A753" s="125" t="s">
        <v>3267</v>
      </c>
      <c r="B753" s="9">
        <f>30/5</f>
        <v>6</v>
      </c>
      <c r="C753" s="137" t="s">
        <v>5842</v>
      </c>
      <c r="D753" s="183">
        <f>10+5</f>
        <v>15</v>
      </c>
      <c r="E753" s="7">
        <v>0.3</v>
      </c>
    </row>
    <row r="754" spans="1:16" ht="14.25" customHeight="1">
      <c r="A754" s="125" t="s">
        <v>3268</v>
      </c>
      <c r="B754" s="9">
        <f>39.5/5</f>
        <v>7.9</v>
      </c>
      <c r="C754" s="137" t="s">
        <v>5843</v>
      </c>
      <c r="D754" s="183">
        <f>10+5</f>
        <v>15</v>
      </c>
      <c r="E754" s="7">
        <v>0.24</v>
      </c>
    </row>
    <row r="755" spans="1:16" ht="14.25" customHeight="1">
      <c r="A755" s="125" t="s">
        <v>3269</v>
      </c>
      <c r="B755" s="9">
        <f>217/10</f>
        <v>21.7</v>
      </c>
      <c r="C755" s="137" t="s">
        <v>3393</v>
      </c>
      <c r="D755" s="183">
        <v>10</v>
      </c>
      <c r="E755" s="7">
        <v>2</v>
      </c>
    </row>
    <row r="756" spans="1:16" ht="14.25" customHeight="1">
      <c r="A756" s="171" t="s">
        <v>3872</v>
      </c>
      <c r="B756" s="191">
        <f>74.5/3</f>
        <v>24.833333333333332</v>
      </c>
      <c r="C756" s="166" t="s">
        <v>3450</v>
      </c>
      <c r="D756" s="183">
        <v>3</v>
      </c>
      <c r="E756" s="7">
        <v>0.99</v>
      </c>
      <c r="F756"/>
      <c r="G756"/>
      <c r="H756"/>
      <c r="I756"/>
      <c r="J756"/>
      <c r="K756"/>
      <c r="L756"/>
      <c r="M756"/>
      <c r="N756"/>
      <c r="O756"/>
      <c r="P756"/>
    </row>
    <row r="757" spans="1:16" ht="14.25" customHeight="1">
      <c r="A757" s="171" t="s">
        <v>3873</v>
      </c>
      <c r="B757" s="191">
        <f>68.3/3</f>
        <v>22.766666666666666</v>
      </c>
      <c r="C757" s="166" t="s">
        <v>3451</v>
      </c>
      <c r="D757" s="183">
        <v>3</v>
      </c>
      <c r="E757" s="7">
        <v>0.72</v>
      </c>
      <c r="F757"/>
      <c r="G757"/>
      <c r="H757"/>
      <c r="I757"/>
      <c r="J757"/>
      <c r="K757"/>
      <c r="L757"/>
      <c r="M757"/>
      <c r="N757"/>
      <c r="O757"/>
      <c r="P757"/>
    </row>
    <row r="758" spans="1:16" ht="14.25" customHeight="1">
      <c r="A758" s="171" t="s">
        <v>3874</v>
      </c>
      <c r="B758" s="165">
        <f>45.9/3</f>
        <v>15.299999999999999</v>
      </c>
      <c r="C758" s="166" t="s">
        <v>3452</v>
      </c>
      <c r="D758" s="183">
        <v>3</v>
      </c>
      <c r="E758" s="7">
        <v>1.43</v>
      </c>
      <c r="F758"/>
      <c r="G758"/>
      <c r="H758"/>
      <c r="I758"/>
      <c r="J758"/>
      <c r="K758"/>
      <c r="L758"/>
      <c r="M758"/>
      <c r="N758"/>
      <c r="O758"/>
      <c r="P758"/>
    </row>
    <row r="759" spans="1:16" ht="14.25" customHeight="1">
      <c r="A759" s="171" t="s">
        <v>3875</v>
      </c>
      <c r="B759" s="191">
        <f>46.4/3</f>
        <v>15.466666666666667</v>
      </c>
      <c r="C759" s="166" t="s">
        <v>3453</v>
      </c>
      <c r="D759" s="183">
        <v>3</v>
      </c>
      <c r="E759" s="7">
        <v>1.54</v>
      </c>
      <c r="F759"/>
      <c r="G759"/>
      <c r="H759"/>
      <c r="I759"/>
      <c r="J759"/>
      <c r="K759"/>
      <c r="L759"/>
      <c r="M759"/>
      <c r="N759"/>
      <c r="O759"/>
      <c r="P759"/>
    </row>
    <row r="760" spans="1:16" ht="14.25" customHeight="1">
      <c r="A760" s="171" t="s">
        <v>3876</v>
      </c>
      <c r="B760" s="165">
        <v>2.9</v>
      </c>
      <c r="C760" s="166" t="s">
        <v>3899</v>
      </c>
      <c r="D760" s="183">
        <v>3</v>
      </c>
      <c r="E760" s="7">
        <v>0.15</v>
      </c>
      <c r="F760"/>
      <c r="G760"/>
      <c r="H760"/>
      <c r="I760"/>
      <c r="J760"/>
      <c r="K760"/>
      <c r="L760"/>
      <c r="M760"/>
      <c r="N760"/>
      <c r="O760"/>
      <c r="P760"/>
    </row>
    <row r="761" spans="1:16" ht="14.25" customHeight="1">
      <c r="A761" s="171" t="s">
        <v>3877</v>
      </c>
      <c r="B761" s="165">
        <v>5.4</v>
      </c>
      <c r="C761" s="166" t="s">
        <v>3898</v>
      </c>
      <c r="D761" s="183">
        <v>3</v>
      </c>
      <c r="E761" s="7">
        <v>0.22</v>
      </c>
      <c r="F761"/>
      <c r="G761"/>
      <c r="H761"/>
      <c r="I761"/>
      <c r="J761"/>
      <c r="K761"/>
      <c r="L761"/>
      <c r="M761"/>
      <c r="N761"/>
      <c r="O761"/>
      <c r="P761"/>
    </row>
    <row r="762" spans="1:16" ht="14.25" customHeight="1">
      <c r="A762" s="171" t="s">
        <v>3465</v>
      </c>
      <c r="B762" s="165">
        <v>4.7</v>
      </c>
      <c r="C762" s="166" t="s">
        <v>3897</v>
      </c>
      <c r="D762" s="183">
        <v>3</v>
      </c>
      <c r="E762" s="7">
        <v>0.2</v>
      </c>
      <c r="F762"/>
      <c r="G762"/>
      <c r="H762"/>
      <c r="I762"/>
      <c r="J762"/>
      <c r="K762"/>
      <c r="L762"/>
      <c r="M762"/>
      <c r="N762"/>
      <c r="O762"/>
      <c r="P762"/>
    </row>
    <row r="763" spans="1:16" ht="14.25" customHeight="1">
      <c r="A763" s="171" t="s">
        <v>3878</v>
      </c>
      <c r="B763" s="165">
        <v>6.8</v>
      </c>
      <c r="C763" s="166" t="s">
        <v>3896</v>
      </c>
      <c r="D763" s="183">
        <v>3</v>
      </c>
      <c r="E763" s="7">
        <v>0.18</v>
      </c>
      <c r="F763"/>
      <c r="G763"/>
      <c r="H763"/>
      <c r="I763"/>
      <c r="J763"/>
      <c r="K763"/>
      <c r="L763"/>
      <c r="M763"/>
      <c r="N763"/>
      <c r="O763"/>
      <c r="P763"/>
    </row>
    <row r="764" spans="1:16" ht="14.25" customHeight="1">
      <c r="A764" s="171" t="s">
        <v>3888</v>
      </c>
      <c r="B764" s="165">
        <v>16.5</v>
      </c>
      <c r="C764" s="169" t="s">
        <v>3870</v>
      </c>
      <c r="D764" s="183">
        <v>3</v>
      </c>
      <c r="E764" s="7">
        <v>0.85</v>
      </c>
      <c r="F764"/>
      <c r="G764" s="169" t="s">
        <v>3870</v>
      </c>
      <c r="H764"/>
      <c r="I764"/>
      <c r="J764"/>
      <c r="K764"/>
      <c r="L764"/>
      <c r="M764"/>
      <c r="N764"/>
      <c r="O764"/>
      <c r="P764"/>
    </row>
    <row r="765" spans="1:16" ht="14.25" customHeight="1">
      <c r="A765" s="171" t="s">
        <v>3889</v>
      </c>
      <c r="B765" s="165">
        <v>18.2</v>
      </c>
      <c r="C765" s="169" t="s">
        <v>3871</v>
      </c>
      <c r="D765" s="183">
        <v>3</v>
      </c>
      <c r="E765" s="7">
        <v>0.85</v>
      </c>
      <c r="F765"/>
      <c r="G765"/>
      <c r="H765"/>
      <c r="I765"/>
      <c r="J765"/>
      <c r="K765"/>
      <c r="L765"/>
      <c r="M765"/>
      <c r="N765"/>
      <c r="O765"/>
      <c r="P765"/>
    </row>
    <row r="766" spans="1:16" ht="14.25" customHeight="1">
      <c r="A766" s="171" t="s">
        <v>3890</v>
      </c>
      <c r="B766" s="165">
        <v>26.9</v>
      </c>
      <c r="C766" s="166" t="s">
        <v>3509</v>
      </c>
      <c r="D766" s="183">
        <v>4</v>
      </c>
      <c r="E766" s="7">
        <v>0.3</v>
      </c>
      <c r="F766"/>
      <c r="G766"/>
      <c r="H766"/>
      <c r="I766"/>
      <c r="J766"/>
      <c r="K766"/>
      <c r="L766"/>
      <c r="M766"/>
      <c r="N766"/>
      <c r="O766"/>
      <c r="P766"/>
    </row>
    <row r="767" spans="1:16" ht="14.25" customHeight="1">
      <c r="A767" s="171" t="s">
        <v>3879</v>
      </c>
      <c r="B767" s="165">
        <v>30.2</v>
      </c>
      <c r="C767" s="166" t="s">
        <v>3510</v>
      </c>
      <c r="D767" s="183">
        <v>4</v>
      </c>
      <c r="E767" s="7">
        <v>0.44</v>
      </c>
      <c r="F767"/>
      <c r="G767"/>
      <c r="H767"/>
      <c r="I767"/>
      <c r="J767"/>
      <c r="K767"/>
      <c r="L767"/>
      <c r="M767"/>
      <c r="N767"/>
      <c r="O767"/>
      <c r="P767"/>
    </row>
    <row r="768" spans="1:16" ht="14.25" customHeight="1">
      <c r="A768" s="171" t="s">
        <v>3880</v>
      </c>
      <c r="B768" s="165">
        <v>7.4</v>
      </c>
      <c r="C768" s="166" t="s">
        <v>3893</v>
      </c>
      <c r="D768" s="183">
        <v>5</v>
      </c>
      <c r="E768" s="7">
        <v>0.13</v>
      </c>
      <c r="F768"/>
      <c r="G768"/>
      <c r="H768"/>
      <c r="I768"/>
      <c r="J768"/>
      <c r="K768"/>
      <c r="L768"/>
      <c r="M768"/>
      <c r="N768"/>
      <c r="O768"/>
      <c r="P768"/>
    </row>
    <row r="769" spans="1:16" ht="14.25" customHeight="1">
      <c r="A769" s="171" t="s">
        <v>3881</v>
      </c>
      <c r="B769" s="165">
        <v>3</v>
      </c>
      <c r="C769" s="166" t="s">
        <v>3895</v>
      </c>
      <c r="D769" s="183">
        <v>5</v>
      </c>
      <c r="E769" s="7">
        <v>0.1</v>
      </c>
      <c r="F769"/>
      <c r="G769"/>
      <c r="H769"/>
      <c r="I769"/>
      <c r="J769"/>
      <c r="K769"/>
      <c r="L769"/>
      <c r="M769"/>
      <c r="N769"/>
      <c r="O769"/>
      <c r="P769"/>
    </row>
    <row r="770" spans="1:16" ht="14.25" customHeight="1">
      <c r="A770" s="171" t="s">
        <v>3882</v>
      </c>
      <c r="B770" s="165">
        <v>4.0999999999999996</v>
      </c>
      <c r="C770" s="166" t="s">
        <v>3894</v>
      </c>
      <c r="D770" s="183">
        <v>5</v>
      </c>
      <c r="E770" s="7">
        <v>0.08</v>
      </c>
      <c r="F770"/>
      <c r="G770"/>
      <c r="H770"/>
      <c r="I770"/>
      <c r="J770"/>
      <c r="K770"/>
      <c r="L770"/>
      <c r="M770"/>
      <c r="N770"/>
      <c r="O770"/>
      <c r="P770"/>
    </row>
    <row r="771" spans="1:16" ht="14.25" customHeight="1">
      <c r="A771" s="171" t="s">
        <v>3883</v>
      </c>
      <c r="B771" s="165">
        <v>7.6</v>
      </c>
      <c r="C771" s="166" t="s">
        <v>3390</v>
      </c>
      <c r="D771" s="183">
        <v>3</v>
      </c>
      <c r="E771" s="7">
        <v>0.5</v>
      </c>
      <c r="F771"/>
      <c r="G771"/>
      <c r="H771"/>
      <c r="I771"/>
      <c r="J771"/>
      <c r="K771"/>
      <c r="L771"/>
      <c r="M771"/>
      <c r="N771"/>
      <c r="O771"/>
      <c r="P771"/>
    </row>
    <row r="772" spans="1:16" ht="14.25" customHeight="1">
      <c r="A772" s="167" t="s">
        <v>3498</v>
      </c>
      <c r="B772" s="165">
        <f>186.2/5</f>
        <v>37.239999999999995</v>
      </c>
      <c r="C772" s="166" t="s">
        <v>5844</v>
      </c>
      <c r="D772" s="183">
        <v>5</v>
      </c>
      <c r="E772" s="7">
        <v>2.04</v>
      </c>
      <c r="F772"/>
      <c r="G772"/>
      <c r="H772"/>
      <c r="I772"/>
      <c r="J772"/>
      <c r="K772"/>
      <c r="L772"/>
      <c r="M772"/>
      <c r="N772"/>
      <c r="O772"/>
      <c r="P772"/>
    </row>
    <row r="773" spans="1:16" ht="14.25" customHeight="1">
      <c r="A773" s="167" t="s">
        <v>3499</v>
      </c>
      <c r="B773" s="165">
        <f>190.2/5</f>
        <v>38.04</v>
      </c>
      <c r="C773" s="166" t="s">
        <v>5845</v>
      </c>
      <c r="D773" s="183">
        <v>5</v>
      </c>
      <c r="E773" s="7">
        <v>1.85</v>
      </c>
      <c r="F773"/>
      <c r="G773"/>
      <c r="H773"/>
      <c r="I773"/>
      <c r="J773"/>
      <c r="K773"/>
      <c r="L773"/>
      <c r="M773"/>
      <c r="N773"/>
      <c r="O773"/>
      <c r="P773"/>
    </row>
    <row r="774" spans="1:16" ht="14.25" customHeight="1">
      <c r="A774" s="167" t="s">
        <v>3500</v>
      </c>
      <c r="B774" s="165">
        <f>154.6/5</f>
        <v>30.919999999999998</v>
      </c>
      <c r="C774" s="166" t="s">
        <v>5846</v>
      </c>
      <c r="D774" s="183">
        <v>5</v>
      </c>
      <c r="E774" s="7">
        <v>1.6</v>
      </c>
      <c r="F774"/>
      <c r="G774"/>
      <c r="H774"/>
      <c r="I774"/>
      <c r="J774"/>
      <c r="K774"/>
      <c r="L774"/>
      <c r="M774"/>
      <c r="N774"/>
      <c r="O774"/>
      <c r="P774"/>
    </row>
    <row r="775" spans="1:16" s="4" customFormat="1" ht="14.25" customHeight="1">
      <c r="A775" s="167" t="s">
        <v>3501</v>
      </c>
      <c r="B775" s="165">
        <f>108/5</f>
        <v>21.6</v>
      </c>
      <c r="C775" s="166" t="s">
        <v>5951</v>
      </c>
      <c r="D775" s="183">
        <v>5</v>
      </c>
      <c r="E775" s="7">
        <v>1.65</v>
      </c>
      <c r="F775"/>
      <c r="G775"/>
      <c r="H775"/>
      <c r="I775"/>
      <c r="J775"/>
      <c r="K775"/>
      <c r="L775"/>
      <c r="M775"/>
      <c r="N775"/>
      <c r="O775"/>
      <c r="P775"/>
    </row>
    <row r="776" spans="1:16" ht="14.25" customHeight="1">
      <c r="A776" s="167" t="s">
        <v>3502</v>
      </c>
      <c r="B776" s="165">
        <v>77.900000000000006</v>
      </c>
      <c r="C776" s="166" t="s">
        <v>5847</v>
      </c>
      <c r="D776" s="183">
        <v>5</v>
      </c>
      <c r="E776" s="7">
        <v>3</v>
      </c>
      <c r="F776"/>
      <c r="G776"/>
      <c r="H776"/>
      <c r="I776"/>
      <c r="J776"/>
      <c r="K776"/>
      <c r="L776"/>
      <c r="M776"/>
      <c r="N776"/>
      <c r="O776"/>
      <c r="P776"/>
    </row>
    <row r="777" spans="1:16" ht="14.25" customHeight="1">
      <c r="A777" s="167" t="s">
        <v>3503</v>
      </c>
      <c r="B777" s="165">
        <f>156.2/5</f>
        <v>31.24</v>
      </c>
      <c r="C777" s="166" t="s">
        <v>5848</v>
      </c>
      <c r="D777" s="183">
        <v>5</v>
      </c>
      <c r="E777" s="7">
        <v>1.76</v>
      </c>
      <c r="F777"/>
      <c r="G777"/>
      <c r="H777"/>
      <c r="I777"/>
      <c r="J777"/>
      <c r="K777"/>
      <c r="L777"/>
      <c r="M777"/>
      <c r="N777"/>
      <c r="O777"/>
      <c r="P777"/>
    </row>
    <row r="778" spans="1:16" ht="14.25" customHeight="1">
      <c r="A778" s="167" t="s">
        <v>3531</v>
      </c>
      <c r="B778" s="165">
        <f>100.3/5</f>
        <v>20.059999999999999</v>
      </c>
      <c r="C778" s="166" t="s">
        <v>3422</v>
      </c>
      <c r="D778" s="183">
        <v>5</v>
      </c>
      <c r="E778" s="7">
        <v>0.6</v>
      </c>
      <c r="F778"/>
      <c r="G778"/>
      <c r="H778"/>
      <c r="I778"/>
      <c r="J778"/>
      <c r="K778"/>
      <c r="L778"/>
      <c r="M778"/>
      <c r="N778"/>
      <c r="O778"/>
      <c r="P778"/>
    </row>
    <row r="779" spans="1:16" ht="14.25" customHeight="1">
      <c r="A779" s="167" t="s">
        <v>3532</v>
      </c>
      <c r="B779" s="165">
        <f>107.5/5</f>
        <v>21.5</v>
      </c>
      <c r="C779" s="166" t="s">
        <v>3421</v>
      </c>
      <c r="D779" s="183">
        <v>5</v>
      </c>
      <c r="E779" s="7">
        <v>0.72</v>
      </c>
      <c r="F779"/>
      <c r="G779"/>
      <c r="H779"/>
      <c r="I779"/>
      <c r="J779"/>
      <c r="K779"/>
      <c r="L779"/>
      <c r="M779"/>
      <c r="N779"/>
      <c r="O779"/>
      <c r="P779"/>
    </row>
    <row r="780" spans="1:16" ht="14.25" customHeight="1">
      <c r="A780" s="167" t="s">
        <v>3533</v>
      </c>
      <c r="B780" s="165">
        <f>99.4/5</f>
        <v>19.880000000000003</v>
      </c>
      <c r="C780" s="166" t="s">
        <v>3402</v>
      </c>
      <c r="D780" s="183">
        <v>5</v>
      </c>
      <c r="E780" s="7">
        <v>0.53</v>
      </c>
      <c r="F780"/>
      <c r="G780"/>
      <c r="H780"/>
      <c r="I780"/>
      <c r="J780"/>
      <c r="K780"/>
      <c r="L780"/>
      <c r="M780"/>
      <c r="N780"/>
      <c r="O780"/>
      <c r="P780"/>
    </row>
    <row r="781" spans="1:16" ht="14.25" customHeight="1">
      <c r="A781" s="167" t="s">
        <v>3534</v>
      </c>
      <c r="B781" s="165">
        <f>104.7/5</f>
        <v>20.94</v>
      </c>
      <c r="C781" s="173" t="s">
        <v>3389</v>
      </c>
      <c r="D781" s="183">
        <v>10</v>
      </c>
      <c r="E781" s="7">
        <v>2.75</v>
      </c>
      <c r="F781"/>
      <c r="G781"/>
      <c r="H781"/>
      <c r="I781"/>
      <c r="J781"/>
      <c r="K781"/>
      <c r="L781"/>
      <c r="M781"/>
      <c r="N781"/>
      <c r="O781"/>
      <c r="P781"/>
    </row>
    <row r="782" spans="1:16" ht="14.25" customHeight="1">
      <c r="A782" s="167" t="s">
        <v>3535</v>
      </c>
      <c r="B782" s="165">
        <v>80.7</v>
      </c>
      <c r="C782" s="166" t="s">
        <v>3861</v>
      </c>
      <c r="D782" s="183">
        <v>3</v>
      </c>
      <c r="E782" s="7">
        <v>4.2</v>
      </c>
      <c r="F782"/>
      <c r="G782"/>
      <c r="H782"/>
      <c r="I782"/>
      <c r="J782"/>
      <c r="K782"/>
      <c r="L782"/>
      <c r="M782"/>
      <c r="N782"/>
      <c r="O782"/>
      <c r="P782"/>
    </row>
    <row r="783" spans="1:16" ht="14.25" customHeight="1">
      <c r="A783" s="167" t="s">
        <v>3536</v>
      </c>
      <c r="B783" s="165">
        <f>91.9/5</f>
        <v>18.380000000000003</v>
      </c>
      <c r="C783" s="166" t="s">
        <v>3417</v>
      </c>
      <c r="D783" s="183">
        <v>5</v>
      </c>
      <c r="E783" s="7">
        <v>0.76</v>
      </c>
      <c r="F783"/>
      <c r="G783"/>
      <c r="H783"/>
      <c r="I783"/>
      <c r="J783"/>
      <c r="K783"/>
      <c r="L783"/>
      <c r="M783"/>
      <c r="N783"/>
      <c r="O783"/>
      <c r="P783"/>
    </row>
    <row r="784" spans="1:16" ht="14.25" customHeight="1">
      <c r="A784" s="167" t="s">
        <v>3537</v>
      </c>
      <c r="B784" s="165">
        <f>108/5</f>
        <v>21.6</v>
      </c>
      <c r="C784" s="166" t="s">
        <v>3418</v>
      </c>
      <c r="D784" s="183">
        <v>5</v>
      </c>
      <c r="E784" s="7">
        <v>0.73</v>
      </c>
      <c r="F784"/>
      <c r="G784"/>
      <c r="H784"/>
      <c r="I784"/>
      <c r="J784"/>
      <c r="K784"/>
      <c r="L784"/>
      <c r="M784"/>
      <c r="N784"/>
      <c r="O784"/>
      <c r="P784"/>
    </row>
    <row r="785" spans="1:16" s="4" customFormat="1" ht="14.25" customHeight="1">
      <c r="A785" s="167" t="s">
        <v>3538</v>
      </c>
      <c r="B785" s="165">
        <f>109/5</f>
        <v>21.8</v>
      </c>
      <c r="C785" s="166" t="s">
        <v>3385</v>
      </c>
      <c r="D785" s="183">
        <v>5</v>
      </c>
      <c r="E785" s="7">
        <v>0.95</v>
      </c>
      <c r="F785"/>
      <c r="G785"/>
      <c r="H785"/>
      <c r="I785"/>
      <c r="J785"/>
      <c r="K785"/>
      <c r="L785"/>
      <c r="M785"/>
      <c r="N785"/>
      <c r="O785"/>
      <c r="P785"/>
    </row>
    <row r="786" spans="1:16" ht="14.25" customHeight="1">
      <c r="A786" s="148" t="s">
        <v>3120</v>
      </c>
      <c r="B786" s="9">
        <f>15.2/10</f>
        <v>1.52</v>
      </c>
      <c r="C786" s="1" t="s">
        <v>5875</v>
      </c>
      <c r="D786" s="184">
        <v>1000</v>
      </c>
      <c r="E786" s="25">
        <f>72/1000</f>
        <v>7.1999999999999995E-2</v>
      </c>
    </row>
    <row r="787" spans="1:16" ht="14.25" customHeight="1">
      <c r="A787" s="148" t="s">
        <v>3121</v>
      </c>
      <c r="B787" s="9">
        <f>13.3/10</f>
        <v>1.33</v>
      </c>
      <c r="C787" s="1" t="s">
        <v>5878</v>
      </c>
      <c r="D787" s="184">
        <v>1000</v>
      </c>
      <c r="E787" s="25">
        <f>80/1000</f>
        <v>0.08</v>
      </c>
    </row>
    <row r="788" spans="1:16" ht="14.25" customHeight="1">
      <c r="A788" s="148" t="s">
        <v>3122</v>
      </c>
      <c r="B788" s="9">
        <f>14.8/10</f>
        <v>1.48</v>
      </c>
      <c r="C788" s="1" t="s">
        <v>5877</v>
      </c>
      <c r="D788" s="184">
        <v>100</v>
      </c>
      <c r="E788" s="25">
        <f>13/100</f>
        <v>0.13</v>
      </c>
    </row>
    <row r="789" spans="1:16" ht="14.25" customHeight="1">
      <c r="A789" s="148" t="s">
        <v>3123</v>
      </c>
      <c r="B789" s="9">
        <f>15.1/10</f>
        <v>1.51</v>
      </c>
      <c r="C789" s="1" t="s">
        <v>5876</v>
      </c>
      <c r="D789" s="184">
        <v>1000</v>
      </c>
      <c r="E789" s="25">
        <f>75/1000</f>
        <v>7.4999999999999997E-2</v>
      </c>
    </row>
    <row r="790" spans="1:16" ht="14.25" customHeight="1">
      <c r="A790" s="112" t="s">
        <v>3839</v>
      </c>
      <c r="B790" s="165">
        <f>7.4/5</f>
        <v>1.48</v>
      </c>
      <c r="C790" s="1" t="s">
        <v>5874</v>
      </c>
      <c r="D790" s="183">
        <v>500</v>
      </c>
      <c r="E790" s="7">
        <f>4.8/100</f>
        <v>4.8000000000000001E-2</v>
      </c>
      <c r="F790"/>
      <c r="G790"/>
      <c r="H790"/>
      <c r="I790"/>
      <c r="J790"/>
      <c r="K790"/>
      <c r="L790"/>
      <c r="M790"/>
      <c r="N790"/>
      <c r="O790"/>
      <c r="P790"/>
    </row>
    <row r="791" spans="1:16" ht="14.25" customHeight="1">
      <c r="A791" s="147" t="s">
        <v>3578</v>
      </c>
      <c r="B791" s="9">
        <v>1.2</v>
      </c>
      <c r="C791" s="1" t="s">
        <v>5879</v>
      </c>
      <c r="D791" s="184">
        <v>99</v>
      </c>
      <c r="E791" s="6">
        <v>0.1</v>
      </c>
    </row>
    <row r="792" spans="1:16" s="4" customFormat="1" ht="14.25" customHeight="1">
      <c r="A792" s="147" t="s">
        <v>3579</v>
      </c>
      <c r="B792" s="9">
        <f>13.5/10</f>
        <v>1.35</v>
      </c>
      <c r="C792" s="211" t="s">
        <v>5880</v>
      </c>
      <c r="D792" s="184">
        <f t="shared" ref="D792:D797" si="20">600/6</f>
        <v>100</v>
      </c>
      <c r="E792" s="6">
        <v>0.09</v>
      </c>
      <c r="F792" s="7"/>
      <c r="G792" s="211" t="s">
        <v>5880</v>
      </c>
      <c r="H792" s="7"/>
      <c r="I792" s="7"/>
      <c r="J792" s="7"/>
      <c r="K792" s="7"/>
      <c r="L792" s="7"/>
      <c r="M792" s="7"/>
      <c r="N792" s="7"/>
      <c r="O792" s="7"/>
      <c r="P792" s="7"/>
    </row>
    <row r="793" spans="1:16" ht="14.25" customHeight="1">
      <c r="A793" s="147" t="s">
        <v>3580</v>
      </c>
      <c r="B793" s="9">
        <f>13.6/10</f>
        <v>1.3599999999999999</v>
      </c>
      <c r="C793" s="1" t="s">
        <v>5881</v>
      </c>
      <c r="D793" s="184">
        <f t="shared" si="20"/>
        <v>100</v>
      </c>
      <c r="E793" s="6">
        <v>0.09</v>
      </c>
    </row>
    <row r="794" spans="1:16" ht="14.25" customHeight="1">
      <c r="A794" s="147" t="s">
        <v>3581</v>
      </c>
      <c r="B794" s="9">
        <f>13.6/10</f>
        <v>1.3599999999999999</v>
      </c>
      <c r="C794" s="1" t="s">
        <v>5882</v>
      </c>
      <c r="D794" s="184">
        <f t="shared" si="20"/>
        <v>100</v>
      </c>
      <c r="E794" s="6">
        <v>0.09</v>
      </c>
    </row>
    <row r="795" spans="1:16" ht="14.25" customHeight="1">
      <c r="A795" s="147" t="s">
        <v>3582</v>
      </c>
      <c r="B795" s="9">
        <f>13.6/10</f>
        <v>1.3599999999999999</v>
      </c>
      <c r="C795" s="1" t="s">
        <v>5883</v>
      </c>
      <c r="D795" s="184">
        <f t="shared" si="20"/>
        <v>100</v>
      </c>
      <c r="E795" s="6">
        <v>0.09</v>
      </c>
    </row>
    <row r="796" spans="1:16" ht="14.25" customHeight="1">
      <c r="A796" s="147" t="s">
        <v>3583</v>
      </c>
      <c r="B796" s="9">
        <f>13.6/10</f>
        <v>1.3599999999999999</v>
      </c>
      <c r="C796" s="1" t="s">
        <v>5884</v>
      </c>
      <c r="D796" s="184">
        <f t="shared" si="20"/>
        <v>100</v>
      </c>
      <c r="E796" s="6">
        <v>0.09</v>
      </c>
    </row>
    <row r="797" spans="1:16" ht="14.25" customHeight="1">
      <c r="A797" s="147" t="s">
        <v>3584</v>
      </c>
      <c r="B797" s="9">
        <f>13.6/10</f>
        <v>1.3599999999999999</v>
      </c>
      <c r="C797" s="1" t="s">
        <v>5885</v>
      </c>
      <c r="D797" s="184">
        <f t="shared" si="20"/>
        <v>100</v>
      </c>
      <c r="E797" s="6">
        <v>0.09</v>
      </c>
    </row>
    <row r="798" spans="1:16" ht="14.25" customHeight="1">
      <c r="A798" s="147" t="s">
        <v>3585</v>
      </c>
      <c r="B798" s="9">
        <f t="shared" ref="B798:B803" si="21">80.5/50</f>
        <v>1.61</v>
      </c>
      <c r="C798" s="211" t="s">
        <v>5886</v>
      </c>
      <c r="D798" s="184">
        <v>50</v>
      </c>
      <c r="E798" s="6">
        <v>0.15</v>
      </c>
      <c r="G798" s="211" t="s">
        <v>5886</v>
      </c>
    </row>
    <row r="799" spans="1:16" ht="14.25" customHeight="1">
      <c r="A799" s="147" t="s">
        <v>3586</v>
      </c>
      <c r="B799" s="9">
        <f t="shared" si="21"/>
        <v>1.61</v>
      </c>
      <c r="C799" s="1" t="s">
        <v>5887</v>
      </c>
      <c r="D799" s="184">
        <v>50</v>
      </c>
      <c r="E799" s="6">
        <v>0.15</v>
      </c>
    </row>
    <row r="800" spans="1:16" ht="14.25" customHeight="1">
      <c r="A800" s="147" t="s">
        <v>3587</v>
      </c>
      <c r="B800" s="9">
        <f t="shared" si="21"/>
        <v>1.61</v>
      </c>
      <c r="C800" s="1" t="s">
        <v>5888</v>
      </c>
      <c r="D800" s="184">
        <v>50</v>
      </c>
      <c r="E800" s="6">
        <v>0.15</v>
      </c>
    </row>
    <row r="801" spans="1:16" ht="14.25" customHeight="1">
      <c r="A801" s="147" t="s">
        <v>3588</v>
      </c>
      <c r="B801" s="9">
        <f t="shared" si="21"/>
        <v>1.61</v>
      </c>
      <c r="C801" s="1" t="s">
        <v>5889</v>
      </c>
      <c r="D801" s="184">
        <v>50</v>
      </c>
      <c r="E801" s="6">
        <v>0.15</v>
      </c>
    </row>
    <row r="802" spans="1:16" ht="14.25" customHeight="1">
      <c r="A802" s="147" t="s">
        <v>3589</v>
      </c>
      <c r="B802" s="9">
        <f t="shared" si="21"/>
        <v>1.61</v>
      </c>
      <c r="C802" s="1" t="s">
        <v>5890</v>
      </c>
      <c r="D802" s="184">
        <v>53</v>
      </c>
      <c r="E802" s="6">
        <v>0.15</v>
      </c>
    </row>
    <row r="803" spans="1:16" ht="14.25" customHeight="1">
      <c r="A803" s="147" t="s">
        <v>3590</v>
      </c>
      <c r="B803" s="9">
        <f t="shared" si="21"/>
        <v>1.61</v>
      </c>
      <c r="C803" s="1" t="s">
        <v>5891</v>
      </c>
      <c r="D803" s="184">
        <v>50</v>
      </c>
      <c r="E803" s="6">
        <v>0.15</v>
      </c>
    </row>
    <row r="804" spans="1:16" ht="14.25" customHeight="1">
      <c r="A804" s="147" t="s">
        <v>3591</v>
      </c>
      <c r="B804" s="9">
        <f>11.4/10</f>
        <v>1.1400000000000001</v>
      </c>
      <c r="C804" s="211" t="s">
        <v>5892</v>
      </c>
      <c r="D804" s="184">
        <v>100</v>
      </c>
      <c r="E804" s="6">
        <v>0.08</v>
      </c>
      <c r="G804" s="211" t="s">
        <v>5892</v>
      </c>
    </row>
    <row r="805" spans="1:16" ht="14.25" customHeight="1">
      <c r="A805" s="147" t="s">
        <v>3598</v>
      </c>
      <c r="B805" s="9">
        <f>13/10</f>
        <v>1.3</v>
      </c>
      <c r="C805" s="1" t="s">
        <v>5893</v>
      </c>
      <c r="D805" s="184">
        <f>600/5</f>
        <v>120</v>
      </c>
      <c r="E805" s="6">
        <v>7.0000000000000007E-2</v>
      </c>
    </row>
    <row r="806" spans="1:16" ht="14.25" customHeight="1">
      <c r="A806" s="147" t="s">
        <v>3599</v>
      </c>
      <c r="B806" s="9">
        <f>14/10</f>
        <v>1.4</v>
      </c>
      <c r="C806" s="1" t="s">
        <v>5894</v>
      </c>
      <c r="D806" s="184">
        <f>600/5</f>
        <v>120</v>
      </c>
      <c r="E806" s="6">
        <v>7.0000000000000007E-2</v>
      </c>
    </row>
    <row r="807" spans="1:16" ht="14.25" customHeight="1">
      <c r="A807" s="147" t="s">
        <v>3600</v>
      </c>
      <c r="B807" s="9">
        <f>14/10</f>
        <v>1.4</v>
      </c>
      <c r="C807" s="1" t="s">
        <v>5895</v>
      </c>
      <c r="D807" s="184">
        <f>600/5</f>
        <v>120</v>
      </c>
      <c r="E807" s="6">
        <v>7.0000000000000007E-2</v>
      </c>
    </row>
    <row r="808" spans="1:16" ht="14.25" customHeight="1">
      <c r="A808" s="147" t="s">
        <v>3601</v>
      </c>
      <c r="B808" s="9">
        <f>14/10</f>
        <v>1.4</v>
      </c>
      <c r="C808" s="1" t="s">
        <v>5896</v>
      </c>
      <c r="D808" s="184">
        <f>600/5</f>
        <v>120</v>
      </c>
      <c r="E808" s="6">
        <v>7.0000000000000007E-2</v>
      </c>
    </row>
    <row r="809" spans="1:16" ht="14.25" customHeight="1">
      <c r="A809" s="147" t="s">
        <v>3602</v>
      </c>
      <c r="B809" s="9">
        <f>14/10</f>
        <v>1.4</v>
      </c>
      <c r="C809" s="1" t="s">
        <v>5897</v>
      </c>
      <c r="D809" s="184">
        <f>600/5</f>
        <v>120</v>
      </c>
      <c r="E809" s="6">
        <v>7.0000000000000007E-2</v>
      </c>
    </row>
    <row r="810" spans="1:16" s="4" customFormat="1" ht="14.25" customHeight="1">
      <c r="A810" s="112" t="s">
        <v>3840</v>
      </c>
      <c r="B810" s="165">
        <f>7.7/5</f>
        <v>1.54</v>
      </c>
      <c r="C810" s="211" t="s">
        <v>5898</v>
      </c>
      <c r="D810" s="183">
        <v>251</v>
      </c>
      <c r="E810" s="7">
        <v>3.5</v>
      </c>
      <c r="F810"/>
      <c r="G810" s="211" t="s">
        <v>5898</v>
      </c>
      <c r="H810"/>
      <c r="I810"/>
      <c r="J810"/>
      <c r="K810"/>
      <c r="L810"/>
      <c r="M810"/>
      <c r="N810"/>
      <c r="O810"/>
      <c r="P810"/>
    </row>
    <row r="811" spans="1:16" ht="14.25" customHeight="1">
      <c r="A811" s="112" t="s">
        <v>3841</v>
      </c>
      <c r="B811" s="165">
        <f>7.6/5</f>
        <v>1.52</v>
      </c>
      <c r="C811" s="1" t="s">
        <v>5899</v>
      </c>
      <c r="D811" s="183">
        <v>251</v>
      </c>
      <c r="E811" s="7">
        <v>0.76</v>
      </c>
      <c r="F811"/>
      <c r="G811"/>
      <c r="H811"/>
      <c r="I811"/>
      <c r="J811"/>
      <c r="K811"/>
      <c r="L811"/>
      <c r="M811"/>
      <c r="N811"/>
      <c r="O811"/>
      <c r="P811"/>
    </row>
    <row r="812" spans="1:16" ht="14.25" customHeight="1">
      <c r="A812" s="147" t="s">
        <v>3605</v>
      </c>
      <c r="B812" s="9">
        <v>30.5</v>
      </c>
      <c r="C812" s="196" t="s">
        <v>5900</v>
      </c>
      <c r="D812" s="184">
        <v>5</v>
      </c>
      <c r="E812" s="6">
        <v>0.6</v>
      </c>
    </row>
    <row r="813" spans="1:16" ht="14.25" customHeight="1">
      <c r="A813" s="147" t="s">
        <v>3606</v>
      </c>
      <c r="B813" s="9">
        <v>6.5</v>
      </c>
      <c r="C813" s="196" t="s">
        <v>5952</v>
      </c>
      <c r="D813" s="184">
        <v>5</v>
      </c>
      <c r="E813" s="6">
        <v>0.18</v>
      </c>
    </row>
    <row r="814" spans="1:16" ht="14.25" customHeight="1">
      <c r="A814" s="147" t="s">
        <v>3607</v>
      </c>
      <c r="B814" s="9">
        <v>18.3</v>
      </c>
      <c r="C814" s="197" t="s">
        <v>5912</v>
      </c>
      <c r="D814" s="184">
        <v>5</v>
      </c>
      <c r="E814" s="6">
        <v>2</v>
      </c>
    </row>
    <row r="815" spans="1:16" ht="14.25" customHeight="1">
      <c r="A815" s="147" t="s">
        <v>3608</v>
      </c>
      <c r="B815" s="9">
        <v>9.6</v>
      </c>
      <c r="C815" s="196" t="s">
        <v>5901</v>
      </c>
      <c r="D815" s="184">
        <v>5</v>
      </c>
      <c r="E815" s="6">
        <v>1.6</v>
      </c>
    </row>
    <row r="816" spans="1:16" s="120" customFormat="1" ht="14.25" customHeight="1">
      <c r="A816" s="206" t="s">
        <v>3609</v>
      </c>
      <c r="B816" s="168">
        <v>10</v>
      </c>
      <c r="C816" s="204" t="s">
        <v>6000</v>
      </c>
      <c r="D816" s="186">
        <f>5+5</f>
        <v>10</v>
      </c>
      <c r="E816" s="205">
        <v>1.6</v>
      </c>
    </row>
    <row r="817" spans="1:16" ht="14.25" customHeight="1">
      <c r="A817" s="167" t="s">
        <v>3568</v>
      </c>
      <c r="B817" s="165">
        <v>33.1</v>
      </c>
      <c r="C817" s="197" t="s">
        <v>5902</v>
      </c>
      <c r="D817" s="183">
        <v>5</v>
      </c>
      <c r="E817" s="7">
        <v>3</v>
      </c>
      <c r="F817"/>
      <c r="G817"/>
      <c r="H817"/>
      <c r="I817"/>
      <c r="J817"/>
      <c r="K817"/>
      <c r="L817"/>
      <c r="M817"/>
      <c r="N817"/>
      <c r="O817"/>
      <c r="P817"/>
    </row>
    <row r="818" spans="1:16" ht="14.25" customHeight="1">
      <c r="A818" s="125" t="s">
        <v>3272</v>
      </c>
      <c r="B818" s="9">
        <v>47.6</v>
      </c>
      <c r="C818" s="7" t="s">
        <v>5946</v>
      </c>
      <c r="D818" s="183">
        <v>3</v>
      </c>
      <c r="E818" s="7">
        <v>4.4000000000000004</v>
      </c>
      <c r="P818" s="4"/>
    </row>
    <row r="819" spans="1:16" ht="14.25" customHeight="1">
      <c r="A819" s="167" t="s">
        <v>3477</v>
      </c>
      <c r="B819" s="165">
        <f>9.8/5</f>
        <v>1.9600000000000002</v>
      </c>
      <c r="C819" s="166" t="s">
        <v>3386</v>
      </c>
      <c r="D819" s="183">
        <v>5</v>
      </c>
      <c r="E819" s="7">
        <v>0.16</v>
      </c>
      <c r="F819"/>
      <c r="G819"/>
      <c r="H819"/>
      <c r="I819"/>
      <c r="J819"/>
      <c r="K819"/>
      <c r="L819"/>
      <c r="M819"/>
      <c r="N819"/>
      <c r="O819"/>
      <c r="P819"/>
    </row>
    <row r="820" spans="1:16" ht="14.25" customHeight="1">
      <c r="A820" s="167" t="s">
        <v>3478</v>
      </c>
      <c r="B820" s="165">
        <f>11.1/5</f>
        <v>2.2199999999999998</v>
      </c>
      <c r="C820" s="166" t="s">
        <v>3387</v>
      </c>
      <c r="D820" s="183">
        <v>5</v>
      </c>
      <c r="E820" s="7">
        <v>0.17</v>
      </c>
      <c r="F820"/>
      <c r="G820"/>
      <c r="H820"/>
      <c r="I820"/>
      <c r="J820"/>
      <c r="K820"/>
      <c r="L820"/>
      <c r="M820"/>
      <c r="N820"/>
      <c r="O820"/>
      <c r="P820"/>
    </row>
    <row r="821" spans="1:16" ht="14.25" customHeight="1">
      <c r="A821" s="167" t="s">
        <v>3479</v>
      </c>
      <c r="B821" s="165">
        <f>36/5</f>
        <v>7.2</v>
      </c>
      <c r="C821" s="166" t="s">
        <v>3436</v>
      </c>
      <c r="D821" s="183">
        <v>5</v>
      </c>
      <c r="E821" s="7">
        <v>0.36</v>
      </c>
      <c r="F821"/>
      <c r="G821"/>
      <c r="H821"/>
      <c r="I821"/>
      <c r="J821"/>
      <c r="K821"/>
      <c r="L821"/>
      <c r="M821"/>
      <c r="N821"/>
      <c r="O821"/>
      <c r="P821"/>
    </row>
    <row r="822" spans="1:16" s="4" customFormat="1" ht="14.25" customHeight="1">
      <c r="A822" s="167" t="s">
        <v>3480</v>
      </c>
      <c r="B822" s="165">
        <f>35.5/5</f>
        <v>7.1</v>
      </c>
      <c r="C822" s="166" t="s">
        <v>3447</v>
      </c>
      <c r="D822" s="183">
        <v>5</v>
      </c>
      <c r="E822" s="7">
        <v>0.65</v>
      </c>
      <c r="F822"/>
      <c r="G822"/>
      <c r="H822"/>
      <c r="I822"/>
      <c r="J822"/>
      <c r="K822"/>
      <c r="L822"/>
      <c r="M822"/>
      <c r="N822"/>
      <c r="O822"/>
      <c r="P822"/>
    </row>
    <row r="823" spans="1:16" ht="14.25" customHeight="1">
      <c r="A823" s="167" t="s">
        <v>3481</v>
      </c>
      <c r="B823" s="165">
        <f>39.7/5</f>
        <v>7.94</v>
      </c>
      <c r="C823" s="166" t="s">
        <v>3437</v>
      </c>
      <c r="D823" s="183">
        <v>5</v>
      </c>
      <c r="E823" s="7">
        <v>0.85</v>
      </c>
      <c r="F823"/>
      <c r="G823"/>
      <c r="H823"/>
      <c r="I823"/>
      <c r="J823"/>
      <c r="K823"/>
      <c r="L823"/>
      <c r="M823"/>
      <c r="N823"/>
      <c r="O823"/>
      <c r="P823"/>
    </row>
    <row r="824" spans="1:16" ht="14.25" customHeight="1">
      <c r="A824" s="167" t="s">
        <v>3482</v>
      </c>
      <c r="B824" s="165">
        <f>35.5/5</f>
        <v>7.1</v>
      </c>
      <c r="C824" s="166" t="s">
        <v>3438</v>
      </c>
      <c r="D824" s="183">
        <v>5</v>
      </c>
      <c r="E824" s="7">
        <v>0.6</v>
      </c>
      <c r="F824"/>
      <c r="G824"/>
      <c r="H824"/>
      <c r="I824"/>
      <c r="J824"/>
      <c r="K824"/>
      <c r="L824"/>
      <c r="M824"/>
      <c r="N824"/>
      <c r="O824"/>
      <c r="P824"/>
    </row>
    <row r="825" spans="1:16" ht="14.25" customHeight="1">
      <c r="A825" s="167" t="s">
        <v>3483</v>
      </c>
      <c r="B825" s="165">
        <f>22.9/5</f>
        <v>4.58</v>
      </c>
      <c r="C825" s="166" t="s">
        <v>3432</v>
      </c>
      <c r="D825" s="183">
        <v>5</v>
      </c>
      <c r="E825" s="7">
        <v>0.5</v>
      </c>
      <c r="F825"/>
      <c r="G825"/>
      <c r="H825"/>
      <c r="I825"/>
      <c r="J825"/>
      <c r="K825"/>
      <c r="L825"/>
      <c r="M825"/>
      <c r="N825"/>
      <c r="O825"/>
      <c r="P825"/>
    </row>
    <row r="826" spans="1:16" ht="14.25" customHeight="1">
      <c r="A826" s="167" t="s">
        <v>3484</v>
      </c>
      <c r="B826" s="165">
        <f>33.1/5</f>
        <v>6.62</v>
      </c>
      <c r="C826" s="135" t="s">
        <v>3412</v>
      </c>
      <c r="D826" s="183">
        <v>5</v>
      </c>
      <c r="E826" s="7">
        <v>0.36</v>
      </c>
      <c r="F826"/>
      <c r="G826"/>
      <c r="H826"/>
      <c r="I826"/>
      <c r="J826"/>
      <c r="K826"/>
      <c r="L826"/>
      <c r="M826"/>
      <c r="N826"/>
      <c r="O826"/>
      <c r="P826"/>
    </row>
    <row r="827" spans="1:16" ht="14.25" customHeight="1">
      <c r="A827" s="167" t="s">
        <v>3485</v>
      </c>
      <c r="B827" s="165">
        <f>33.8/10</f>
        <v>3.38</v>
      </c>
      <c r="C827" s="173" t="s">
        <v>3431</v>
      </c>
      <c r="D827" s="183">
        <v>5</v>
      </c>
      <c r="E827" s="7">
        <v>0.23</v>
      </c>
      <c r="F827"/>
      <c r="G827"/>
      <c r="H827"/>
      <c r="I827"/>
      <c r="J827"/>
      <c r="K827"/>
      <c r="L827"/>
      <c r="M827"/>
      <c r="N827"/>
      <c r="O827"/>
      <c r="P827"/>
    </row>
    <row r="828" spans="1:16" ht="14.25" customHeight="1">
      <c r="A828" s="167" t="s">
        <v>3486</v>
      </c>
      <c r="B828" s="165">
        <f>17.1/5</f>
        <v>3.4200000000000004</v>
      </c>
      <c r="C828" s="166" t="s">
        <v>3910</v>
      </c>
      <c r="D828" s="183">
        <v>5</v>
      </c>
      <c r="E828" s="7">
        <v>0.38</v>
      </c>
      <c r="F828"/>
      <c r="G828"/>
      <c r="H828"/>
      <c r="I828"/>
      <c r="J828"/>
      <c r="K828"/>
      <c r="L828"/>
      <c r="M828"/>
      <c r="N828"/>
      <c r="O828"/>
      <c r="P828"/>
    </row>
    <row r="829" spans="1:16" ht="14.25" customHeight="1">
      <c r="A829" s="167" t="s">
        <v>3487</v>
      </c>
      <c r="B829" s="165">
        <f>33.7/5</f>
        <v>6.74</v>
      </c>
      <c r="C829" s="135" t="s">
        <v>3413</v>
      </c>
      <c r="D829" s="183">
        <v>5</v>
      </c>
      <c r="E829" s="7">
        <v>0.5</v>
      </c>
      <c r="F829"/>
      <c r="G829"/>
      <c r="H829"/>
      <c r="I829"/>
      <c r="J829"/>
      <c r="K829"/>
      <c r="L829"/>
      <c r="M829"/>
      <c r="N829"/>
      <c r="O829"/>
      <c r="P829"/>
    </row>
    <row r="830" spans="1:16" ht="14.25" customHeight="1">
      <c r="A830" s="167" t="s">
        <v>3488</v>
      </c>
      <c r="B830" s="165">
        <v>23.1</v>
      </c>
      <c r="C830" s="166" t="s">
        <v>3908</v>
      </c>
      <c r="D830" s="183">
        <v>3</v>
      </c>
      <c r="E830" s="7">
        <v>1.3</v>
      </c>
      <c r="F830"/>
      <c r="G830"/>
      <c r="H830"/>
      <c r="I830"/>
      <c r="J830"/>
      <c r="K830"/>
      <c r="L830"/>
      <c r="M830"/>
      <c r="N830"/>
      <c r="O830"/>
      <c r="P830"/>
    </row>
    <row r="831" spans="1:16" ht="14.25" customHeight="1">
      <c r="A831" s="167" t="s">
        <v>3489</v>
      </c>
      <c r="B831" s="165">
        <v>17.3</v>
      </c>
      <c r="C831" s="166" t="s">
        <v>3909</v>
      </c>
      <c r="D831" s="183">
        <v>3</v>
      </c>
      <c r="E831" s="7">
        <v>1.3</v>
      </c>
      <c r="F831"/>
      <c r="G831"/>
      <c r="H831"/>
      <c r="I831"/>
      <c r="J831"/>
      <c r="K831"/>
      <c r="L831"/>
      <c r="M831"/>
      <c r="N831"/>
      <c r="O831"/>
      <c r="P831"/>
    </row>
    <row r="832" spans="1:16" ht="14.25" customHeight="1">
      <c r="A832" s="167" t="s">
        <v>3490</v>
      </c>
      <c r="B832" s="165">
        <v>51.5</v>
      </c>
      <c r="C832" s="166" t="s">
        <v>3851</v>
      </c>
      <c r="D832" s="184">
        <v>4</v>
      </c>
      <c r="E832" s="7">
        <v>1.1000000000000001</v>
      </c>
      <c r="F832"/>
      <c r="G832"/>
      <c r="H832"/>
      <c r="I832"/>
      <c r="J832"/>
      <c r="K832"/>
      <c r="L832"/>
      <c r="M832"/>
      <c r="N832"/>
      <c r="O832"/>
      <c r="P832"/>
    </row>
    <row r="833" spans="1:16" s="4" customFormat="1" ht="14.25" customHeight="1">
      <c r="A833" s="167" t="s">
        <v>3491</v>
      </c>
      <c r="B833" s="165">
        <v>67</v>
      </c>
      <c r="C833" s="166" t="s">
        <v>3852</v>
      </c>
      <c r="D833" s="183">
        <v>3</v>
      </c>
      <c r="E833" s="7">
        <v>1.5</v>
      </c>
      <c r="F833"/>
      <c r="G833"/>
      <c r="H833"/>
      <c r="I833"/>
      <c r="J833"/>
      <c r="K833"/>
      <c r="L833"/>
      <c r="M833"/>
      <c r="N833"/>
      <c r="O833"/>
      <c r="P833"/>
    </row>
    <row r="834" spans="1:16" ht="14.25" customHeight="1">
      <c r="A834" s="171" t="s">
        <v>3918</v>
      </c>
      <c r="B834" s="165">
        <f>51.2/5</f>
        <v>10.24</v>
      </c>
      <c r="C834" s="173" t="s">
        <v>3424</v>
      </c>
      <c r="D834" s="183">
        <v>5</v>
      </c>
      <c r="E834" s="7">
        <v>1.18</v>
      </c>
      <c r="F834"/>
      <c r="G834"/>
      <c r="H834"/>
      <c r="I834"/>
      <c r="J834"/>
      <c r="K834"/>
      <c r="L834"/>
      <c r="M834"/>
      <c r="N834"/>
      <c r="O834"/>
      <c r="P834"/>
    </row>
    <row r="835" spans="1:16" ht="14.25" customHeight="1">
      <c r="A835" s="167" t="s">
        <v>3467</v>
      </c>
      <c r="B835" s="165">
        <f>67/5</f>
        <v>13.4</v>
      </c>
      <c r="C835" s="166" t="s">
        <v>3430</v>
      </c>
      <c r="D835" s="183">
        <v>5</v>
      </c>
      <c r="E835" s="7">
        <v>1.8</v>
      </c>
      <c r="F835"/>
      <c r="G835"/>
      <c r="H835"/>
      <c r="I835"/>
      <c r="J835"/>
      <c r="K835"/>
      <c r="L835"/>
      <c r="M835"/>
      <c r="N835"/>
      <c r="O835"/>
      <c r="P835"/>
    </row>
    <row r="836" spans="1:16" ht="14.25" customHeight="1">
      <c r="A836" s="167" t="s">
        <v>3468</v>
      </c>
      <c r="B836" s="165">
        <f>59.6/5</f>
        <v>11.92</v>
      </c>
      <c r="C836" s="166" t="s">
        <v>3433</v>
      </c>
      <c r="D836" s="183">
        <v>5</v>
      </c>
      <c r="E836" s="7">
        <v>2</v>
      </c>
      <c r="F836"/>
      <c r="G836"/>
      <c r="H836"/>
      <c r="I836"/>
      <c r="J836"/>
      <c r="K836"/>
      <c r="L836"/>
      <c r="M836"/>
      <c r="N836"/>
      <c r="O836"/>
      <c r="P836"/>
    </row>
    <row r="837" spans="1:16" ht="14.25" customHeight="1">
      <c r="A837" s="167" t="s">
        <v>3469</v>
      </c>
      <c r="B837" s="191">
        <f>59.8/3</f>
        <v>19.933333333333334</v>
      </c>
      <c r="C837" s="166" t="s">
        <v>3406</v>
      </c>
      <c r="D837" s="183">
        <v>5</v>
      </c>
      <c r="E837" s="7">
        <v>1.5</v>
      </c>
      <c r="F837"/>
      <c r="G837"/>
      <c r="H837"/>
      <c r="I837"/>
      <c r="J837"/>
      <c r="K837"/>
      <c r="L837"/>
      <c r="M837"/>
      <c r="N837"/>
      <c r="O837"/>
      <c r="P837"/>
    </row>
    <row r="838" spans="1:16" ht="14.25" customHeight="1">
      <c r="A838" s="167" t="s">
        <v>3470</v>
      </c>
      <c r="B838" s="165">
        <f>36/5</f>
        <v>7.2</v>
      </c>
      <c r="C838" s="166" t="s">
        <v>3425</v>
      </c>
      <c r="D838" s="183">
        <v>5</v>
      </c>
      <c r="E838" s="7">
        <v>1.1499999999999999</v>
      </c>
      <c r="F838"/>
      <c r="G838"/>
      <c r="H838"/>
      <c r="I838"/>
      <c r="J838"/>
      <c r="K838"/>
      <c r="L838"/>
      <c r="M838"/>
      <c r="N838"/>
      <c r="O838"/>
      <c r="P838"/>
    </row>
    <row r="839" spans="1:16" s="4" customFormat="1" ht="14.25" customHeight="1">
      <c r="A839" s="167" t="s">
        <v>3471</v>
      </c>
      <c r="B839" s="165">
        <f>40.4/5</f>
        <v>8.08</v>
      </c>
      <c r="C839" s="166" t="s">
        <v>3427</v>
      </c>
      <c r="D839" s="183">
        <v>5</v>
      </c>
      <c r="E839" s="7">
        <v>1.1499999999999999</v>
      </c>
      <c r="F839"/>
      <c r="G839"/>
      <c r="H839"/>
      <c r="I839"/>
      <c r="J839"/>
      <c r="K839"/>
      <c r="L839"/>
      <c r="M839"/>
      <c r="N839"/>
      <c r="O839"/>
      <c r="P839"/>
    </row>
    <row r="840" spans="1:16" ht="14.25" customHeight="1">
      <c r="A840" s="167" t="s">
        <v>3472</v>
      </c>
      <c r="B840" s="165">
        <f>58.3/5</f>
        <v>11.66</v>
      </c>
      <c r="C840" s="166" t="s">
        <v>3426</v>
      </c>
      <c r="D840" s="183">
        <v>5</v>
      </c>
      <c r="E840" s="7">
        <v>3</v>
      </c>
      <c r="F840"/>
      <c r="G840"/>
      <c r="H840"/>
      <c r="I840"/>
      <c r="J840"/>
      <c r="K840"/>
      <c r="L840"/>
      <c r="M840"/>
      <c r="N840"/>
      <c r="O840"/>
      <c r="P840"/>
    </row>
    <row r="841" spans="1:16" ht="14.25" customHeight="1">
      <c r="A841" s="167" t="s">
        <v>3473</v>
      </c>
      <c r="B841" s="165">
        <f>45.5/5</f>
        <v>9.1</v>
      </c>
      <c r="C841" s="166" t="s">
        <v>3407</v>
      </c>
      <c r="D841" s="183">
        <v>5</v>
      </c>
      <c r="E841" s="7">
        <v>1.1000000000000001</v>
      </c>
      <c r="F841"/>
      <c r="G841"/>
      <c r="H841"/>
      <c r="I841"/>
      <c r="J841"/>
      <c r="K841"/>
      <c r="L841"/>
      <c r="M841"/>
      <c r="N841"/>
      <c r="O841"/>
      <c r="P841"/>
    </row>
    <row r="842" spans="1:16" ht="14.25" customHeight="1">
      <c r="A842" s="167" t="s">
        <v>3474</v>
      </c>
      <c r="B842" s="165">
        <f>48.6/5</f>
        <v>9.7200000000000006</v>
      </c>
      <c r="C842" s="166" t="s">
        <v>3444</v>
      </c>
      <c r="D842" s="183">
        <v>5</v>
      </c>
      <c r="E842" s="7">
        <v>0.63</v>
      </c>
      <c r="F842"/>
      <c r="G842"/>
      <c r="H842"/>
      <c r="I842"/>
      <c r="J842"/>
      <c r="K842"/>
      <c r="L842"/>
      <c r="M842"/>
      <c r="N842"/>
      <c r="O842"/>
      <c r="P842"/>
    </row>
    <row r="843" spans="1:16" ht="14.25" customHeight="1">
      <c r="A843" s="167" t="s">
        <v>3475</v>
      </c>
      <c r="B843" s="165">
        <f>87.5/5</f>
        <v>17.5</v>
      </c>
      <c r="C843" s="173" t="s">
        <v>3429</v>
      </c>
      <c r="D843" s="183">
        <v>5</v>
      </c>
      <c r="E843" s="7">
        <v>2.5</v>
      </c>
      <c r="F843"/>
      <c r="G843"/>
      <c r="H843"/>
      <c r="I843"/>
      <c r="J843"/>
      <c r="K843"/>
      <c r="L843"/>
      <c r="M843"/>
      <c r="N843"/>
      <c r="O843"/>
      <c r="P843"/>
    </row>
    <row r="844" spans="1:16" s="4" customFormat="1" ht="14.25" customHeight="1">
      <c r="A844" s="167" t="s">
        <v>3476</v>
      </c>
      <c r="B844" s="165">
        <f>80.5/5</f>
        <v>16.100000000000001</v>
      </c>
      <c r="C844" s="173" t="s">
        <v>3428</v>
      </c>
      <c r="D844" s="183">
        <v>5</v>
      </c>
      <c r="E844" s="7">
        <v>2.5</v>
      </c>
      <c r="F844"/>
      <c r="G844"/>
      <c r="H844"/>
      <c r="I844"/>
      <c r="J844"/>
      <c r="K844"/>
      <c r="L844"/>
      <c r="M844"/>
      <c r="N844"/>
      <c r="O844"/>
      <c r="P844"/>
    </row>
    <row r="845" spans="1:16" ht="14.25" customHeight="1">
      <c r="A845" s="171" t="s">
        <v>3917</v>
      </c>
      <c r="B845" s="165">
        <f>50.9/5</f>
        <v>10.18</v>
      </c>
      <c r="C845" s="166" t="s">
        <v>3423</v>
      </c>
      <c r="D845" s="183">
        <v>5</v>
      </c>
      <c r="E845" s="7">
        <v>1.18</v>
      </c>
      <c r="F845"/>
      <c r="G845"/>
      <c r="H845"/>
      <c r="I845"/>
      <c r="J845"/>
      <c r="K845"/>
      <c r="L845"/>
      <c r="M845"/>
      <c r="N845"/>
      <c r="O845"/>
      <c r="P845"/>
    </row>
    <row r="846" spans="1:16"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row>
    <row r="847" spans="1:16" ht="14.25" customHeight="1">
      <c r="A847" s="148" t="s">
        <v>3275</v>
      </c>
      <c r="B847" s="9">
        <v>98.2</v>
      </c>
      <c r="C847" s="7" t="s">
        <v>5850</v>
      </c>
      <c r="D847" s="183">
        <v>10</v>
      </c>
      <c r="E847" s="7">
        <v>3.3</v>
      </c>
    </row>
    <row r="848" spans="1:16" ht="14.25" customHeight="1">
      <c r="A848" s="148" t="s">
        <v>3276</v>
      </c>
      <c r="B848" s="9">
        <v>50</v>
      </c>
      <c r="C848" s="7" t="s">
        <v>5851</v>
      </c>
      <c r="D848" s="183">
        <v>10</v>
      </c>
      <c r="E848" s="7">
        <v>2.5</v>
      </c>
    </row>
    <row r="849" spans="1:16" ht="14.25" customHeight="1">
      <c r="A849" s="167" t="s">
        <v>3528</v>
      </c>
      <c r="B849" s="165">
        <f>16.2/3</f>
        <v>5.3999999999999995</v>
      </c>
      <c r="C849" s="166" t="s">
        <v>3543</v>
      </c>
      <c r="D849" s="183">
        <v>3</v>
      </c>
      <c r="E849" s="7">
        <v>0.4</v>
      </c>
      <c r="F849"/>
      <c r="G849"/>
      <c r="H849"/>
      <c r="I849"/>
      <c r="J849"/>
      <c r="K849"/>
      <c r="L849"/>
      <c r="M849"/>
      <c r="N849"/>
      <c r="O849"/>
      <c r="P849"/>
    </row>
    <row r="850" spans="1:16" ht="14.25" customHeight="1">
      <c r="A850" s="171" t="s">
        <v>3912</v>
      </c>
      <c r="B850" s="191">
        <f>14.2/3</f>
        <v>4.7333333333333334</v>
      </c>
      <c r="C850" s="166" t="s">
        <v>3546</v>
      </c>
      <c r="D850" s="183">
        <v>3</v>
      </c>
      <c r="E850" s="7">
        <v>0.4</v>
      </c>
      <c r="F850"/>
      <c r="G850"/>
      <c r="H850"/>
      <c r="I850"/>
      <c r="J850"/>
      <c r="K850"/>
      <c r="L850"/>
      <c r="M850"/>
      <c r="N850"/>
      <c r="O850"/>
      <c r="P850"/>
    </row>
    <row r="851" spans="1:16" ht="14.25" customHeight="1">
      <c r="A851" s="171" t="s">
        <v>3913</v>
      </c>
      <c r="B851" s="191">
        <f>14.6/3</f>
        <v>4.8666666666666663</v>
      </c>
      <c r="C851" s="166" t="s">
        <v>3544</v>
      </c>
      <c r="D851" s="183">
        <v>3</v>
      </c>
      <c r="E851" s="7">
        <v>0.4</v>
      </c>
      <c r="F851"/>
      <c r="G851"/>
      <c r="H851"/>
      <c r="I851"/>
      <c r="J851"/>
      <c r="K851"/>
      <c r="L851"/>
      <c r="M851"/>
      <c r="N851"/>
      <c r="O851"/>
      <c r="P851"/>
    </row>
    <row r="852" spans="1:16" ht="14.25" customHeight="1">
      <c r="A852" s="171" t="s">
        <v>3914</v>
      </c>
      <c r="B852" s="191">
        <f>15.5/3</f>
        <v>5.166666666666667</v>
      </c>
      <c r="C852" s="166" t="s">
        <v>3545</v>
      </c>
      <c r="D852" s="183">
        <v>3</v>
      </c>
      <c r="E852" s="7">
        <v>0.4</v>
      </c>
      <c r="F852"/>
      <c r="G852"/>
      <c r="H852"/>
      <c r="I852"/>
      <c r="J852"/>
      <c r="K852"/>
      <c r="L852"/>
      <c r="M852"/>
      <c r="N852"/>
      <c r="O852"/>
      <c r="P852"/>
    </row>
    <row r="853" spans="1:16" ht="14.25" customHeight="1">
      <c r="A853" s="167" t="s">
        <v>3529</v>
      </c>
      <c r="B853" s="191">
        <f>20.7/3</f>
        <v>6.8999999999999995</v>
      </c>
      <c r="C853" s="166" t="s">
        <v>5852</v>
      </c>
      <c r="D853" s="183">
        <v>3</v>
      </c>
      <c r="E853" s="7">
        <v>1.5</v>
      </c>
      <c r="F853"/>
      <c r="G853"/>
      <c r="H853"/>
      <c r="I853"/>
      <c r="J853"/>
      <c r="K853"/>
      <c r="L853"/>
      <c r="M853"/>
      <c r="N853"/>
      <c r="O853"/>
      <c r="P853"/>
    </row>
    <row r="854" spans="1:16" ht="14.25" customHeight="1">
      <c r="A854" s="167" t="s">
        <v>3530</v>
      </c>
      <c r="B854" s="191">
        <f>24.9/3</f>
        <v>8.2999999999999989</v>
      </c>
      <c r="C854" s="166" t="s">
        <v>3441</v>
      </c>
      <c r="D854" s="183">
        <v>3</v>
      </c>
      <c r="E854" s="7">
        <v>1.8</v>
      </c>
      <c r="F854"/>
      <c r="G854"/>
      <c r="H854"/>
      <c r="I854"/>
      <c r="J854"/>
      <c r="K854"/>
      <c r="L854"/>
      <c r="M854"/>
      <c r="N854"/>
      <c r="O854"/>
      <c r="P854"/>
    </row>
    <row r="855" spans="1:16" ht="14.25" customHeight="1">
      <c r="A855" s="167" t="s">
        <v>3547</v>
      </c>
      <c r="B855" s="191">
        <v>36.299999999999997</v>
      </c>
      <c r="C855" s="166" t="s">
        <v>3853</v>
      </c>
      <c r="D855" s="183">
        <v>3</v>
      </c>
      <c r="E855" s="7">
        <v>0.9</v>
      </c>
      <c r="F855"/>
      <c r="G855"/>
      <c r="H855"/>
      <c r="I855"/>
      <c r="J855"/>
      <c r="K855"/>
      <c r="L855"/>
      <c r="M855"/>
      <c r="N855"/>
      <c r="O855"/>
      <c r="P855"/>
    </row>
    <row r="856" spans="1:16" ht="14.25" customHeight="1">
      <c r="A856" s="167" t="s">
        <v>3548</v>
      </c>
      <c r="B856" s="191">
        <f>66.7/5</f>
        <v>13.34</v>
      </c>
      <c r="C856" s="166" t="s">
        <v>3904</v>
      </c>
      <c r="D856" s="183">
        <v>5</v>
      </c>
      <c r="E856" s="7">
        <v>2</v>
      </c>
      <c r="F856"/>
      <c r="G856"/>
      <c r="H856"/>
      <c r="I856"/>
      <c r="J856"/>
      <c r="K856"/>
      <c r="L856"/>
      <c r="M856"/>
      <c r="N856"/>
      <c r="O856"/>
      <c r="P856"/>
    </row>
    <row r="857" spans="1:16" ht="14.25" customHeight="1">
      <c r="A857" s="167" t="s">
        <v>3549</v>
      </c>
      <c r="B857" s="191">
        <f>53.6/3</f>
        <v>17.866666666666667</v>
      </c>
      <c r="C857" s="166" t="s">
        <v>3903</v>
      </c>
      <c r="D857" s="183">
        <v>3</v>
      </c>
      <c r="E857" s="7">
        <v>2.2000000000000002</v>
      </c>
      <c r="F857"/>
      <c r="G857"/>
      <c r="H857"/>
      <c r="I857"/>
      <c r="J857"/>
      <c r="K857"/>
      <c r="L857"/>
      <c r="M857"/>
      <c r="N857"/>
      <c r="O857"/>
      <c r="P857"/>
    </row>
    <row r="858" spans="1:16" ht="14.25" customHeight="1">
      <c r="A858" s="167" t="s">
        <v>3550</v>
      </c>
      <c r="B858" s="191">
        <v>37.200000000000003</v>
      </c>
      <c r="C858" s="166" t="s">
        <v>3854</v>
      </c>
      <c r="D858" s="183">
        <v>3</v>
      </c>
      <c r="E858" s="7">
        <v>1.98</v>
      </c>
      <c r="F858"/>
      <c r="G858"/>
      <c r="H858"/>
      <c r="I858"/>
      <c r="J858"/>
      <c r="K858"/>
      <c r="L858"/>
      <c r="M858"/>
      <c r="N858"/>
      <c r="O858"/>
      <c r="P858"/>
    </row>
    <row r="859" spans="1:16" ht="14.25" customHeight="1">
      <c r="A859" s="167" t="s">
        <v>3512</v>
      </c>
      <c r="B859" s="191">
        <f>6.7/3</f>
        <v>2.2333333333333334</v>
      </c>
      <c r="C859" s="169" t="s">
        <v>3919</v>
      </c>
      <c r="D859" s="183">
        <v>3</v>
      </c>
      <c r="E859" s="7">
        <v>1.4</v>
      </c>
      <c r="F859"/>
      <c r="G859" s="169" t="s">
        <v>3919</v>
      </c>
      <c r="H859"/>
      <c r="I859"/>
      <c r="J859"/>
      <c r="K859"/>
      <c r="L859"/>
      <c r="M859"/>
      <c r="N859"/>
      <c r="O859"/>
      <c r="P859"/>
    </row>
    <row r="860" spans="1:16" ht="14.25" customHeight="1">
      <c r="A860" s="167" t="s">
        <v>3513</v>
      </c>
      <c r="B860" s="191">
        <f>6.7/3</f>
        <v>2.2333333333333334</v>
      </c>
      <c r="C860" s="169" t="s">
        <v>3920</v>
      </c>
      <c r="D860" s="183">
        <v>3</v>
      </c>
      <c r="E860" s="7">
        <v>1.4</v>
      </c>
      <c r="F860"/>
      <c r="G860"/>
      <c r="H860"/>
      <c r="I860"/>
      <c r="J860"/>
      <c r="K860"/>
      <c r="L860"/>
      <c r="M860"/>
      <c r="N860"/>
      <c r="O860"/>
      <c r="P860"/>
    </row>
    <row r="861" spans="1:16" ht="14.25" customHeight="1">
      <c r="A861" s="167" t="s">
        <v>3514</v>
      </c>
      <c r="B861" s="165">
        <f>21.6/3</f>
        <v>7.2</v>
      </c>
      <c r="C861" s="169" t="s">
        <v>3921</v>
      </c>
      <c r="D861" s="183">
        <v>3</v>
      </c>
      <c r="E861" s="7">
        <v>0.7</v>
      </c>
      <c r="F861"/>
      <c r="G861" s="169" t="s">
        <v>3921</v>
      </c>
      <c r="H861"/>
      <c r="I861"/>
      <c r="J861"/>
      <c r="K861"/>
      <c r="L861"/>
      <c r="M861"/>
      <c r="N861"/>
      <c r="O861"/>
      <c r="P861"/>
    </row>
    <row r="862" spans="1:16" ht="14.25" customHeight="1">
      <c r="A862" s="167" t="s">
        <v>3515</v>
      </c>
      <c r="B862" s="165">
        <f>21.6/3</f>
        <v>7.2</v>
      </c>
      <c r="C862" s="169" t="s">
        <v>3922</v>
      </c>
      <c r="D862" s="183">
        <v>3</v>
      </c>
      <c r="E862" s="7">
        <v>0.7</v>
      </c>
      <c r="F862"/>
      <c r="G862"/>
      <c r="H862"/>
      <c r="I862"/>
      <c r="J862"/>
      <c r="K862"/>
      <c r="L862"/>
      <c r="M862"/>
      <c r="N862"/>
      <c r="O862"/>
      <c r="P862"/>
    </row>
    <row r="863" spans="1:16" ht="14.25" customHeight="1">
      <c r="A863" s="167" t="s">
        <v>3516</v>
      </c>
      <c r="B863" s="165">
        <f>18.6/3</f>
        <v>6.2</v>
      </c>
      <c r="C863" s="166" t="s">
        <v>3923</v>
      </c>
      <c r="D863" s="183">
        <v>3</v>
      </c>
      <c r="E863" s="7">
        <v>0.3</v>
      </c>
      <c r="F863"/>
      <c r="G863"/>
      <c r="H863"/>
      <c r="I863"/>
      <c r="J863"/>
      <c r="K863"/>
      <c r="L863"/>
      <c r="M863"/>
      <c r="N863"/>
      <c r="O863"/>
      <c r="P863"/>
    </row>
    <row r="864" spans="1:16" ht="14.25" customHeight="1">
      <c r="A864" s="167" t="s">
        <v>3517</v>
      </c>
      <c r="B864" s="165">
        <v>5.4</v>
      </c>
      <c r="C864" s="166" t="s">
        <v>3924</v>
      </c>
      <c r="D864" s="183">
        <v>3</v>
      </c>
      <c r="E864" s="7">
        <v>0.21</v>
      </c>
      <c r="F864"/>
      <c r="G864"/>
      <c r="H864"/>
      <c r="I864"/>
      <c r="J864"/>
      <c r="K864"/>
      <c r="L864"/>
      <c r="M864"/>
      <c r="N864"/>
      <c r="O864"/>
      <c r="P864"/>
    </row>
    <row r="865" spans="1:16" ht="14.25" customHeight="1">
      <c r="A865" s="167" t="s">
        <v>3518</v>
      </c>
      <c r="B865" s="165">
        <v>16.2</v>
      </c>
      <c r="C865" s="169" t="s">
        <v>3925</v>
      </c>
      <c r="D865" s="183">
        <v>3</v>
      </c>
      <c r="E865" s="7">
        <v>3</v>
      </c>
      <c r="F865"/>
      <c r="G865" s="169" t="s">
        <v>3925</v>
      </c>
      <c r="H865"/>
      <c r="I865"/>
      <c r="J865"/>
      <c r="K865"/>
      <c r="L865"/>
      <c r="M865"/>
      <c r="N865"/>
      <c r="O865"/>
      <c r="P865"/>
    </row>
    <row r="866" spans="1:16" ht="14.25" customHeight="1">
      <c r="A866" s="167" t="s">
        <v>3519</v>
      </c>
      <c r="B866" s="165">
        <v>16.2</v>
      </c>
      <c r="C866" s="169" t="s">
        <v>3926</v>
      </c>
      <c r="D866" s="183">
        <v>3</v>
      </c>
      <c r="E866" s="7">
        <v>3</v>
      </c>
      <c r="F866"/>
      <c r="G866"/>
      <c r="H866"/>
      <c r="I866"/>
      <c r="J866"/>
      <c r="K866"/>
      <c r="L866"/>
      <c r="M866"/>
      <c r="N866"/>
      <c r="O866"/>
      <c r="P866"/>
    </row>
    <row r="867" spans="1:16" ht="14.25" customHeight="1">
      <c r="A867" s="167" t="s">
        <v>3520</v>
      </c>
      <c r="B867" s="165">
        <v>11.1</v>
      </c>
      <c r="C867" s="169" t="s">
        <v>3928</v>
      </c>
      <c r="D867" s="183">
        <v>3</v>
      </c>
      <c r="E867" s="7">
        <v>1.5</v>
      </c>
      <c r="F867"/>
      <c r="G867" s="169" t="s">
        <v>3928</v>
      </c>
      <c r="H867"/>
      <c r="I867"/>
      <c r="J867"/>
      <c r="K867"/>
      <c r="L867"/>
      <c r="M867"/>
      <c r="N867"/>
      <c r="O867"/>
      <c r="P867"/>
    </row>
    <row r="868" spans="1:16" ht="14.25" customHeight="1">
      <c r="A868" s="167" t="s">
        <v>3521</v>
      </c>
      <c r="B868" s="165">
        <v>11</v>
      </c>
      <c r="C868" s="169" t="s">
        <v>3929</v>
      </c>
      <c r="D868" s="183">
        <v>3</v>
      </c>
      <c r="E868" s="7">
        <v>1.5</v>
      </c>
      <c r="F868"/>
      <c r="G868"/>
      <c r="H868"/>
      <c r="I868"/>
      <c r="J868"/>
      <c r="K868"/>
      <c r="L868"/>
      <c r="M868"/>
      <c r="N868"/>
      <c r="O868"/>
      <c r="P868"/>
    </row>
    <row r="869" spans="1:16" s="4" customFormat="1" ht="14.25" customHeight="1">
      <c r="A869" s="167" t="s">
        <v>3522</v>
      </c>
      <c r="B869" s="165">
        <v>10.199999999999999</v>
      </c>
      <c r="C869" s="169" t="s">
        <v>3930</v>
      </c>
      <c r="D869" s="183">
        <v>3</v>
      </c>
      <c r="E869" s="7">
        <v>3.3</v>
      </c>
      <c r="F869"/>
      <c r="G869" s="169" t="s">
        <v>3930</v>
      </c>
      <c r="H869"/>
      <c r="I869"/>
      <c r="J869"/>
      <c r="K869"/>
      <c r="L869"/>
      <c r="M869"/>
      <c r="N869"/>
      <c r="O869"/>
      <c r="P869"/>
    </row>
    <row r="870" spans="1:16" ht="14.25" customHeight="1">
      <c r="A870" s="167" t="s">
        <v>3523</v>
      </c>
      <c r="B870" s="165">
        <v>10.199999999999999</v>
      </c>
      <c r="C870" s="169" t="s">
        <v>3931</v>
      </c>
      <c r="D870" s="183">
        <v>3</v>
      </c>
      <c r="E870" s="7">
        <v>3.3</v>
      </c>
      <c r="F870"/>
      <c r="G870"/>
      <c r="H870"/>
      <c r="I870"/>
      <c r="J870"/>
      <c r="K870"/>
      <c r="L870"/>
      <c r="M870"/>
      <c r="N870"/>
      <c r="O870"/>
      <c r="P870"/>
    </row>
    <row r="871" spans="1:16" ht="14.25" customHeight="1">
      <c r="A871" s="167" t="s">
        <v>3524</v>
      </c>
      <c r="B871" s="165">
        <v>12.8</v>
      </c>
      <c r="C871" s="169" t="s">
        <v>3949</v>
      </c>
      <c r="D871" s="183">
        <v>3</v>
      </c>
      <c r="E871" s="7">
        <v>3.2</v>
      </c>
      <c r="F871"/>
      <c r="G871" s="169" t="s">
        <v>3949</v>
      </c>
      <c r="H871"/>
      <c r="I871"/>
      <c r="J871"/>
      <c r="K871"/>
      <c r="L871"/>
      <c r="M871"/>
      <c r="N871"/>
      <c r="O871"/>
      <c r="P871"/>
    </row>
    <row r="872" spans="1:16" ht="14.25" customHeight="1">
      <c r="A872" s="167" t="s">
        <v>3525</v>
      </c>
      <c r="B872" s="165">
        <v>12.6</v>
      </c>
      <c r="C872" s="169" t="s">
        <v>3950</v>
      </c>
      <c r="D872" s="183">
        <v>3</v>
      </c>
      <c r="E872" s="7">
        <v>3.2</v>
      </c>
      <c r="F872"/>
      <c r="G872"/>
      <c r="H872"/>
      <c r="I872"/>
      <c r="J872"/>
      <c r="K872"/>
      <c r="L872"/>
      <c r="M872"/>
      <c r="N872"/>
      <c r="O872"/>
      <c r="P872"/>
    </row>
    <row r="873" spans="1:16" ht="14.25" customHeight="1">
      <c r="A873" s="167" t="s">
        <v>3526</v>
      </c>
      <c r="B873" s="165">
        <v>7</v>
      </c>
      <c r="C873" s="169" t="s">
        <v>3933</v>
      </c>
      <c r="D873" s="183">
        <v>3</v>
      </c>
      <c r="E873" s="7">
        <v>3</v>
      </c>
      <c r="F873"/>
      <c r="G873" s="169" t="s">
        <v>3933</v>
      </c>
      <c r="H873"/>
      <c r="I873"/>
      <c r="J873"/>
      <c r="K873"/>
      <c r="L873"/>
      <c r="M873"/>
      <c r="N873"/>
      <c r="O873"/>
      <c r="P873"/>
    </row>
    <row r="874" spans="1:16" ht="14.25" customHeight="1">
      <c r="A874" s="167" t="s">
        <v>3527</v>
      </c>
      <c r="B874" s="165">
        <v>6.6</v>
      </c>
      <c r="C874" s="169" t="s">
        <v>3934</v>
      </c>
      <c r="D874" s="183">
        <v>3</v>
      </c>
      <c r="E874" s="7">
        <v>3</v>
      </c>
      <c r="F874"/>
      <c r="G874"/>
      <c r="H874"/>
      <c r="I874"/>
      <c r="J874"/>
      <c r="K874"/>
      <c r="L874"/>
      <c r="M874"/>
      <c r="N874"/>
      <c r="O874"/>
      <c r="P874"/>
    </row>
    <row r="875" spans="1:16" ht="14.25" customHeight="1">
      <c r="A875" s="167" t="s">
        <v>3935</v>
      </c>
      <c r="B875" s="165">
        <v>6.7</v>
      </c>
      <c r="C875" s="169" t="s">
        <v>3943</v>
      </c>
      <c r="D875" s="183">
        <v>3</v>
      </c>
      <c r="E875" s="7">
        <v>2.2000000000000002</v>
      </c>
      <c r="F875"/>
      <c r="G875" s="169" t="s">
        <v>3943</v>
      </c>
      <c r="H875"/>
      <c r="I875"/>
      <c r="J875"/>
      <c r="K875"/>
      <c r="L875"/>
      <c r="M875"/>
      <c r="N875"/>
      <c r="O875"/>
      <c r="P875"/>
    </row>
    <row r="876" spans="1:16" ht="14.25" customHeight="1">
      <c r="A876" s="167" t="s">
        <v>3936</v>
      </c>
      <c r="B876" s="165">
        <v>6.6</v>
      </c>
      <c r="C876" s="169" t="s">
        <v>3944</v>
      </c>
      <c r="D876" s="183">
        <v>3</v>
      </c>
      <c r="E876" s="7">
        <v>2.2000000000000002</v>
      </c>
      <c r="F876"/>
      <c r="G876"/>
      <c r="H876"/>
      <c r="I876"/>
      <c r="J876"/>
      <c r="K876"/>
      <c r="L876"/>
      <c r="M876"/>
      <c r="N876"/>
      <c r="O876"/>
      <c r="P876"/>
    </row>
    <row r="877" spans="1:16" ht="14.25" customHeight="1">
      <c r="A877" s="167" t="s">
        <v>3938</v>
      </c>
      <c r="B877" s="165">
        <v>8.8000000000000007</v>
      </c>
      <c r="C877" s="169" t="s">
        <v>3945</v>
      </c>
      <c r="D877" s="183">
        <v>3</v>
      </c>
      <c r="E877" s="7">
        <v>3.2</v>
      </c>
      <c r="F877"/>
      <c r="G877" s="169" t="s">
        <v>3945</v>
      </c>
      <c r="H877"/>
      <c r="I877"/>
      <c r="J877"/>
      <c r="K877"/>
      <c r="L877"/>
      <c r="M877"/>
      <c r="N877"/>
      <c r="O877"/>
      <c r="P877"/>
    </row>
    <row r="878" spans="1:16" ht="14.25" customHeight="1">
      <c r="A878" s="167" t="s">
        <v>3939</v>
      </c>
      <c r="B878" s="165">
        <v>8.8000000000000007</v>
      </c>
      <c r="C878" s="169" t="s">
        <v>3946</v>
      </c>
      <c r="D878" s="183">
        <v>3</v>
      </c>
      <c r="E878" s="7">
        <v>3.2</v>
      </c>
      <c r="F878"/>
      <c r="G878"/>
      <c r="H878"/>
      <c r="I878"/>
      <c r="J878"/>
      <c r="K878"/>
      <c r="L878"/>
      <c r="M878"/>
      <c r="N878"/>
      <c r="O878"/>
      <c r="P878"/>
    </row>
    <row r="879" spans="1:16" ht="14.25" customHeight="1">
      <c r="A879" s="167" t="s">
        <v>3940</v>
      </c>
      <c r="B879" s="165">
        <v>11.2</v>
      </c>
      <c r="C879" s="169" t="s">
        <v>3947</v>
      </c>
      <c r="D879" s="183">
        <v>3</v>
      </c>
      <c r="E879" s="7">
        <v>1.3</v>
      </c>
      <c r="F879"/>
      <c r="G879" s="169" t="s">
        <v>3947</v>
      </c>
      <c r="H879"/>
      <c r="I879"/>
      <c r="J879"/>
      <c r="K879"/>
      <c r="L879"/>
      <c r="M879"/>
      <c r="N879"/>
      <c r="O879"/>
      <c r="P879"/>
    </row>
    <row r="880" spans="1:16" ht="14.25" customHeight="1">
      <c r="A880" s="167" t="s">
        <v>3941</v>
      </c>
      <c r="B880" s="165">
        <v>11.1</v>
      </c>
      <c r="C880" s="169" t="s">
        <v>3948</v>
      </c>
      <c r="D880" s="183">
        <v>3</v>
      </c>
      <c r="E880" s="7">
        <v>1.3</v>
      </c>
      <c r="F880"/>
      <c r="G880"/>
      <c r="H880"/>
      <c r="I880"/>
      <c r="J880"/>
      <c r="K880"/>
      <c r="L880"/>
      <c r="M880"/>
      <c r="N880"/>
      <c r="O880"/>
      <c r="P880"/>
    </row>
    <row r="881" spans="1:16" ht="14.25" customHeight="1">
      <c r="A881" s="167" t="s">
        <v>3953</v>
      </c>
      <c r="B881" s="165">
        <v>7.7</v>
      </c>
      <c r="C881" s="169" t="s">
        <v>3951</v>
      </c>
      <c r="D881" s="183">
        <v>3</v>
      </c>
      <c r="E881" s="7">
        <v>0.65</v>
      </c>
      <c r="F881"/>
      <c r="G881" s="169" t="s">
        <v>3951</v>
      </c>
      <c r="H881"/>
      <c r="I881"/>
      <c r="J881"/>
      <c r="K881"/>
      <c r="L881"/>
      <c r="M881"/>
      <c r="N881"/>
      <c r="O881"/>
      <c r="P881"/>
    </row>
    <row r="882" spans="1:16" ht="14.25" customHeight="1">
      <c r="A882" s="167" t="s">
        <v>3954</v>
      </c>
      <c r="B882" s="165">
        <v>7.5</v>
      </c>
      <c r="C882" s="169" t="s">
        <v>3952</v>
      </c>
      <c r="D882" s="183">
        <v>3</v>
      </c>
      <c r="E882" s="7">
        <v>0.65</v>
      </c>
      <c r="F882"/>
      <c r="G882"/>
      <c r="H882"/>
      <c r="I882"/>
      <c r="J882"/>
      <c r="K882"/>
      <c r="L882"/>
      <c r="M882"/>
      <c r="N882"/>
      <c r="O882"/>
      <c r="P882"/>
    </row>
    <row r="883" spans="1:16" ht="14.25" customHeight="1">
      <c r="A883" s="167" t="s">
        <v>3955</v>
      </c>
      <c r="B883" s="165">
        <v>12.8</v>
      </c>
      <c r="C883" s="166" t="s">
        <v>3958</v>
      </c>
      <c r="D883" s="183">
        <v>3</v>
      </c>
      <c r="E883" s="7">
        <v>0.45</v>
      </c>
      <c r="F883"/>
      <c r="G883"/>
      <c r="H883"/>
      <c r="I883"/>
      <c r="J883"/>
      <c r="K883"/>
      <c r="L883"/>
      <c r="M883"/>
      <c r="N883"/>
      <c r="O883"/>
      <c r="P883"/>
    </row>
    <row r="884" spans="1:16" ht="14.25" customHeight="1">
      <c r="A884" s="167" t="s">
        <v>3956</v>
      </c>
      <c r="B884" s="165">
        <v>14.2</v>
      </c>
      <c r="C884" s="166" t="s">
        <v>3959</v>
      </c>
      <c r="D884" s="183">
        <v>3</v>
      </c>
      <c r="E884" s="7">
        <v>0.36</v>
      </c>
      <c r="F884"/>
      <c r="G884"/>
      <c r="H884"/>
      <c r="I884"/>
      <c r="J884"/>
      <c r="K884"/>
      <c r="L884"/>
      <c r="M884"/>
      <c r="N884"/>
      <c r="O884"/>
      <c r="P884"/>
    </row>
    <row r="885" spans="1:16" ht="14.25" customHeight="1">
      <c r="A885" s="167" t="s">
        <v>3957</v>
      </c>
      <c r="B885" s="165">
        <v>9.3000000000000007</v>
      </c>
      <c r="C885" s="166" t="s">
        <v>3960</v>
      </c>
      <c r="D885" s="183">
        <v>3</v>
      </c>
      <c r="E885" s="7">
        <v>0.23</v>
      </c>
      <c r="F885"/>
      <c r="G885"/>
      <c r="H885"/>
      <c r="I885"/>
      <c r="J885"/>
      <c r="K885"/>
      <c r="L885"/>
      <c r="M885"/>
      <c r="N885"/>
      <c r="O885"/>
      <c r="P885"/>
    </row>
    <row r="886" spans="1:16" ht="14.25" customHeight="1">
      <c r="A886" s="167" t="s">
        <v>3539</v>
      </c>
      <c r="B886" s="191">
        <f>24.5/3</f>
        <v>8.1666666666666661</v>
      </c>
      <c r="C886" s="166" t="s">
        <v>3915</v>
      </c>
      <c r="D886" s="183">
        <v>3</v>
      </c>
      <c r="E886" s="7">
        <v>0.55000000000000004</v>
      </c>
      <c r="F886"/>
      <c r="G886"/>
      <c r="H886"/>
      <c r="I886"/>
      <c r="J886"/>
      <c r="K886"/>
      <c r="L886"/>
      <c r="M886"/>
      <c r="N886"/>
      <c r="O886"/>
      <c r="P886"/>
    </row>
    <row r="887" spans="1:16" ht="14.25" customHeight="1">
      <c r="A887" s="167" t="s">
        <v>3540</v>
      </c>
      <c r="B887" s="191">
        <f>35.9/3</f>
        <v>11.966666666666667</v>
      </c>
      <c r="C887" s="166" t="s">
        <v>3849</v>
      </c>
      <c r="D887" s="183">
        <v>3</v>
      </c>
      <c r="E887" s="7">
        <v>0.8</v>
      </c>
      <c r="F887"/>
      <c r="G887"/>
      <c r="H887"/>
      <c r="I887"/>
      <c r="J887"/>
      <c r="K887"/>
      <c r="L887"/>
      <c r="M887"/>
      <c r="N887"/>
      <c r="O887"/>
      <c r="P887"/>
    </row>
    <row r="888" spans="1:16" ht="14.25" customHeight="1">
      <c r="A888" s="167" t="s">
        <v>3541</v>
      </c>
      <c r="B888" s="191">
        <f>49.3/3</f>
        <v>16.433333333333334</v>
      </c>
      <c r="C888" s="166" t="s">
        <v>3850</v>
      </c>
      <c r="D888" s="183">
        <v>3</v>
      </c>
      <c r="E888" s="7">
        <v>1.6</v>
      </c>
      <c r="F888"/>
      <c r="G888"/>
      <c r="H888"/>
      <c r="I888"/>
      <c r="J888"/>
      <c r="K888"/>
      <c r="L888"/>
      <c r="M888"/>
      <c r="N888"/>
      <c r="O888"/>
      <c r="P888"/>
    </row>
    <row r="889" spans="1:16" ht="14.25" customHeight="1">
      <c r="A889" s="167" t="s">
        <v>3542</v>
      </c>
      <c r="B889" s="165">
        <v>67.900000000000006</v>
      </c>
      <c r="C889" s="166" t="s">
        <v>3848</v>
      </c>
      <c r="D889" s="183">
        <v>3</v>
      </c>
      <c r="E889" s="7">
        <v>1.1000000000000001</v>
      </c>
      <c r="F889"/>
      <c r="G889"/>
      <c r="H889"/>
      <c r="I889"/>
      <c r="J889"/>
      <c r="K889"/>
      <c r="L889"/>
      <c r="M889"/>
      <c r="N889"/>
      <c r="O889"/>
      <c r="P889"/>
    </row>
    <row r="890" spans="1:16" ht="14.25" customHeight="1">
      <c r="A890" s="167" t="s">
        <v>3553</v>
      </c>
      <c r="B890" s="165">
        <f>30.7/5</f>
        <v>6.14</v>
      </c>
      <c r="C890" s="166" t="s">
        <v>3445</v>
      </c>
      <c r="D890" s="183">
        <v>5</v>
      </c>
      <c r="E890" s="7">
        <v>0.8</v>
      </c>
      <c r="F890"/>
      <c r="G890"/>
      <c r="H890"/>
      <c r="I890"/>
      <c r="J890"/>
      <c r="K890"/>
      <c r="L890"/>
      <c r="M890"/>
      <c r="N890"/>
      <c r="O890"/>
      <c r="P890"/>
    </row>
    <row r="891" spans="1:16" ht="14.25" customHeight="1">
      <c r="A891" s="167" t="s">
        <v>3554</v>
      </c>
      <c r="B891" s="165">
        <f>31.3/5</f>
        <v>6.26</v>
      </c>
      <c r="C891" s="166" t="s">
        <v>3446</v>
      </c>
      <c r="D891" s="183">
        <v>5</v>
      </c>
      <c r="E891" s="7">
        <v>0.45</v>
      </c>
      <c r="F891"/>
      <c r="G891"/>
      <c r="H891"/>
      <c r="I891"/>
      <c r="J891"/>
      <c r="K891"/>
      <c r="L891"/>
      <c r="M891"/>
      <c r="N891"/>
      <c r="O891"/>
      <c r="P891"/>
    </row>
    <row r="892" spans="1:16" ht="14.25" customHeight="1">
      <c r="A892" s="167" t="s">
        <v>3555</v>
      </c>
      <c r="B892" s="165">
        <v>50.1</v>
      </c>
      <c r="C892" s="166" t="s">
        <v>3847</v>
      </c>
      <c r="D892" s="183">
        <v>3</v>
      </c>
      <c r="E892" s="7">
        <v>1.1000000000000001</v>
      </c>
      <c r="F892"/>
      <c r="G892"/>
      <c r="H892"/>
      <c r="I892"/>
      <c r="J892"/>
      <c r="K892"/>
      <c r="L892"/>
      <c r="M892"/>
      <c r="N892"/>
      <c r="O892"/>
      <c r="P892"/>
    </row>
    <row r="893" spans="1:16" ht="14.25" customHeight="1">
      <c r="A893" s="167" t="s">
        <v>3556</v>
      </c>
      <c r="B893" s="165">
        <f>38.1/5</f>
        <v>7.62</v>
      </c>
      <c r="C893" s="166" t="s">
        <v>3454</v>
      </c>
      <c r="D893" s="183">
        <v>5</v>
      </c>
      <c r="E893" s="7">
        <v>0.5</v>
      </c>
      <c r="F893"/>
      <c r="G893"/>
      <c r="H893"/>
      <c r="I893"/>
      <c r="J893"/>
      <c r="K893"/>
      <c r="L893"/>
      <c r="M893"/>
      <c r="N893"/>
      <c r="O893"/>
      <c r="P893"/>
    </row>
    <row r="894" spans="1:16" ht="14.25" customHeight="1">
      <c r="A894" s="167" t="s">
        <v>3557</v>
      </c>
      <c r="B894" s="165">
        <f>37.4/5</f>
        <v>7.4799999999999995</v>
      </c>
      <c r="C894" s="166" t="s">
        <v>3415</v>
      </c>
      <c r="D894" s="183">
        <v>5</v>
      </c>
      <c r="E894" s="7">
        <v>0.85</v>
      </c>
      <c r="F894"/>
      <c r="G894"/>
      <c r="H894"/>
      <c r="I894"/>
      <c r="J894"/>
      <c r="K894"/>
      <c r="L894"/>
      <c r="M894"/>
      <c r="N894"/>
      <c r="O894"/>
      <c r="P894"/>
    </row>
    <row r="895" spans="1:16" ht="14.25" customHeight="1">
      <c r="A895" s="167" t="s">
        <v>3558</v>
      </c>
      <c r="B895" s="165">
        <f>34.8/5</f>
        <v>6.9599999999999991</v>
      </c>
      <c r="C895" s="166" t="s">
        <v>3414</v>
      </c>
      <c r="D895" s="183">
        <v>5</v>
      </c>
      <c r="E895" s="7">
        <v>0.46</v>
      </c>
      <c r="F895"/>
      <c r="G895"/>
      <c r="H895"/>
      <c r="I895"/>
      <c r="J895"/>
      <c r="K895"/>
      <c r="L895"/>
      <c r="M895"/>
      <c r="N895"/>
      <c r="O895"/>
      <c r="P895"/>
    </row>
    <row r="896" spans="1:16" ht="14.25" customHeight="1">
      <c r="A896" s="167" t="s">
        <v>3559</v>
      </c>
      <c r="B896" s="165">
        <f>52.2/10</f>
        <v>5.2200000000000006</v>
      </c>
      <c r="C896" s="173" t="s">
        <v>3392</v>
      </c>
      <c r="D896" s="183">
        <v>10</v>
      </c>
      <c r="E896" s="7">
        <v>0.33</v>
      </c>
      <c r="F896"/>
      <c r="G896"/>
      <c r="H896"/>
      <c r="I896"/>
      <c r="J896"/>
      <c r="K896"/>
      <c r="L896"/>
      <c r="M896"/>
      <c r="N896"/>
      <c r="O896"/>
      <c r="P896"/>
    </row>
    <row r="897" spans="1:16" ht="14.25" customHeight="1">
      <c r="A897" s="167" t="s">
        <v>3560</v>
      </c>
      <c r="B897" s="165">
        <f>31.2/5</f>
        <v>6.24</v>
      </c>
      <c r="C897" s="166" t="s">
        <v>3391</v>
      </c>
      <c r="D897" s="183">
        <v>5</v>
      </c>
      <c r="E897" s="7">
        <v>1</v>
      </c>
      <c r="F897"/>
      <c r="G897"/>
      <c r="H897"/>
      <c r="I897"/>
      <c r="J897"/>
      <c r="K897"/>
      <c r="L897"/>
      <c r="M897"/>
      <c r="N897"/>
      <c r="O897"/>
      <c r="P897"/>
    </row>
    <row r="898" spans="1:16" ht="14.25" customHeight="1">
      <c r="A898" s="167" t="s">
        <v>3561</v>
      </c>
      <c r="B898" s="165">
        <f>29.1/5</f>
        <v>5.82</v>
      </c>
      <c r="C898" s="166" t="s">
        <v>3383</v>
      </c>
      <c r="D898" s="183">
        <v>5</v>
      </c>
      <c r="E898" s="7">
        <v>0.75</v>
      </c>
      <c r="F898"/>
      <c r="G898"/>
      <c r="H898"/>
      <c r="I898"/>
      <c r="J898"/>
      <c r="K898"/>
      <c r="L898"/>
      <c r="M898"/>
      <c r="N898"/>
      <c r="O898"/>
      <c r="P898"/>
    </row>
    <row r="899" spans="1:16" ht="14.25" customHeight="1">
      <c r="A899" s="171" t="s">
        <v>3961</v>
      </c>
      <c r="B899" s="165">
        <f>157.3/5</f>
        <v>31.46</v>
      </c>
      <c r="C899" s="173" t="s">
        <v>3963</v>
      </c>
      <c r="D899" s="183">
        <v>5</v>
      </c>
      <c r="E899" s="7">
        <v>2.1</v>
      </c>
      <c r="F899"/>
      <c r="G899"/>
      <c r="H899"/>
      <c r="I899"/>
      <c r="J899"/>
      <c r="K899"/>
      <c r="L899"/>
      <c r="M899"/>
      <c r="N899"/>
      <c r="O899"/>
      <c r="P899"/>
    </row>
    <row r="900" spans="1:16" ht="14.25" customHeight="1">
      <c r="A900" s="171" t="s">
        <v>3964</v>
      </c>
      <c r="B900" s="165">
        <f>91.5/3</f>
        <v>30.5</v>
      </c>
      <c r="C900" s="173" t="s">
        <v>3962</v>
      </c>
      <c r="D900" s="183">
        <v>3</v>
      </c>
      <c r="E900" s="7">
        <v>1.4</v>
      </c>
      <c r="F900"/>
      <c r="G900"/>
      <c r="H900"/>
      <c r="I900"/>
      <c r="J900"/>
      <c r="K900"/>
      <c r="L900"/>
      <c r="M900"/>
      <c r="N900"/>
      <c r="O900"/>
      <c r="P900"/>
    </row>
    <row r="901" spans="1:16" ht="14.25" customHeight="1">
      <c r="A901" s="171" t="s">
        <v>3966</v>
      </c>
      <c r="B901" s="165">
        <f>172.1/5</f>
        <v>34.42</v>
      </c>
      <c r="C901" s="173" t="s">
        <v>3965</v>
      </c>
      <c r="D901" s="183">
        <v>5</v>
      </c>
      <c r="E901" s="7">
        <v>3.3</v>
      </c>
      <c r="F901"/>
      <c r="G901"/>
      <c r="H901"/>
      <c r="I901"/>
      <c r="J901"/>
      <c r="K901"/>
      <c r="L901"/>
      <c r="M901"/>
      <c r="N901"/>
      <c r="O901"/>
      <c r="P901"/>
    </row>
    <row r="902" spans="1:16" ht="14.25" customHeight="1">
      <c r="A902" s="171" t="s">
        <v>3968</v>
      </c>
      <c r="B902" s="165">
        <f>157/5</f>
        <v>31.4</v>
      </c>
      <c r="C902" s="173" t="s">
        <v>3967</v>
      </c>
      <c r="D902" s="183">
        <v>5</v>
      </c>
      <c r="E902" s="7">
        <v>2.2000000000000002</v>
      </c>
      <c r="F902"/>
      <c r="G902"/>
      <c r="H902"/>
      <c r="I902"/>
      <c r="J902"/>
      <c r="K902"/>
      <c r="L902"/>
      <c r="M902"/>
      <c r="N902"/>
      <c r="O902"/>
      <c r="P902"/>
    </row>
    <row r="903" spans="1:16" ht="14.25" customHeight="1">
      <c r="A903" s="171" t="s">
        <v>3970</v>
      </c>
      <c r="B903" s="191">
        <f>92.8/3</f>
        <v>30.933333333333334</v>
      </c>
      <c r="C903" s="173" t="s">
        <v>3969</v>
      </c>
      <c r="D903" s="183">
        <v>3</v>
      </c>
      <c r="E903" s="7">
        <v>1.38</v>
      </c>
      <c r="F903"/>
      <c r="G903"/>
      <c r="H903"/>
      <c r="I903"/>
      <c r="J903"/>
      <c r="K903"/>
      <c r="L903"/>
      <c r="M903"/>
      <c r="N903"/>
      <c r="O903"/>
      <c r="P903"/>
    </row>
    <row r="904" spans="1:16" ht="14.25" customHeight="1">
      <c r="A904" s="171" t="s">
        <v>3972</v>
      </c>
      <c r="B904" s="191">
        <f>151.8/5</f>
        <v>30.360000000000003</v>
      </c>
      <c r="C904" s="173" t="s">
        <v>3975</v>
      </c>
      <c r="D904" s="183">
        <v>5</v>
      </c>
      <c r="E904" s="7">
        <v>1.5</v>
      </c>
      <c r="F904"/>
      <c r="G904"/>
      <c r="H904"/>
      <c r="I904"/>
      <c r="J904"/>
      <c r="K904"/>
      <c r="L904"/>
      <c r="M904"/>
      <c r="N904"/>
      <c r="O904"/>
      <c r="P904"/>
    </row>
    <row r="905" spans="1:16" ht="14.25" customHeight="1">
      <c r="A905" s="171" t="s">
        <v>3977</v>
      </c>
      <c r="B905" s="191">
        <f>195.2/6</f>
        <v>32.533333333333331</v>
      </c>
      <c r="C905" s="173" t="s">
        <v>3971</v>
      </c>
      <c r="D905" s="183">
        <v>3</v>
      </c>
      <c r="E905" s="7">
        <v>2.2000000000000002</v>
      </c>
      <c r="F905"/>
      <c r="G905"/>
      <c r="H905"/>
      <c r="I905"/>
      <c r="J905"/>
      <c r="K905"/>
      <c r="L905"/>
      <c r="M905"/>
      <c r="N905"/>
      <c r="O905"/>
      <c r="P905"/>
    </row>
    <row r="906" spans="1:16" ht="14.25" customHeight="1">
      <c r="A906" s="171" t="s">
        <v>3978</v>
      </c>
      <c r="B906" s="165">
        <f>168.3/5</f>
        <v>33.660000000000004</v>
      </c>
      <c r="C906" s="166" t="s">
        <v>3455</v>
      </c>
      <c r="D906" s="183">
        <v>5</v>
      </c>
      <c r="E906" s="7">
        <v>2.7</v>
      </c>
      <c r="F906"/>
      <c r="G906"/>
      <c r="H906"/>
      <c r="I906"/>
      <c r="J906"/>
      <c r="K906"/>
      <c r="L906"/>
      <c r="M906"/>
      <c r="N906"/>
      <c r="O906"/>
      <c r="P906"/>
    </row>
    <row r="907" spans="1:16" ht="14.25" customHeight="1">
      <c r="A907" s="167" t="s">
        <v>3492</v>
      </c>
      <c r="B907" s="165">
        <v>8.5</v>
      </c>
      <c r="C907" s="166" t="s">
        <v>3401</v>
      </c>
      <c r="D907" s="183">
        <v>5</v>
      </c>
      <c r="E907" s="7">
        <v>0.75</v>
      </c>
      <c r="F907"/>
      <c r="G907"/>
      <c r="H907"/>
      <c r="I907"/>
      <c r="J907"/>
      <c r="K907"/>
      <c r="L907"/>
      <c r="M907"/>
      <c r="N907"/>
      <c r="O907"/>
      <c r="P907"/>
    </row>
    <row r="908" spans="1:16" ht="14.25" customHeight="1">
      <c r="A908" s="167" t="s">
        <v>3493</v>
      </c>
      <c r="B908" s="165">
        <v>8.1</v>
      </c>
      <c r="C908" s="166" t="s">
        <v>3388</v>
      </c>
      <c r="D908" s="183">
        <v>5</v>
      </c>
      <c r="E908" s="7">
        <v>0.86</v>
      </c>
      <c r="F908"/>
      <c r="G908"/>
      <c r="H908"/>
      <c r="I908"/>
      <c r="J908"/>
      <c r="K908"/>
      <c r="L908"/>
      <c r="M908"/>
      <c r="N908"/>
      <c r="O908"/>
      <c r="P908"/>
    </row>
    <row r="909" spans="1:16" ht="14.25" customHeight="1">
      <c r="A909" s="167" t="s">
        <v>3494</v>
      </c>
      <c r="B909" s="165">
        <v>24.2</v>
      </c>
      <c r="C909" s="166" t="s">
        <v>3449</v>
      </c>
      <c r="D909" s="183">
        <v>3</v>
      </c>
      <c r="E909" s="7">
        <v>0.88</v>
      </c>
      <c r="F909"/>
      <c r="G909"/>
      <c r="H909"/>
      <c r="I909"/>
      <c r="J909"/>
      <c r="K909"/>
      <c r="L909"/>
      <c r="M909"/>
      <c r="N909"/>
      <c r="O909"/>
      <c r="P909"/>
    </row>
    <row r="910" spans="1:16" ht="14.25" customHeight="1">
      <c r="A910" s="167" t="s">
        <v>3495</v>
      </c>
      <c r="B910" s="165">
        <v>66</v>
      </c>
      <c r="C910" s="166" t="s">
        <v>3902</v>
      </c>
      <c r="D910" s="183">
        <v>3</v>
      </c>
      <c r="E910" s="7">
        <v>1.82</v>
      </c>
      <c r="F910"/>
      <c r="G910"/>
      <c r="H910"/>
      <c r="I910"/>
      <c r="J910"/>
      <c r="K910"/>
      <c r="L910"/>
      <c r="M910"/>
      <c r="N910"/>
      <c r="O910"/>
      <c r="P910"/>
    </row>
    <row r="911" spans="1:16" ht="14.25" customHeight="1">
      <c r="A911" s="167" t="s">
        <v>3496</v>
      </c>
      <c r="B911" s="165">
        <v>49.5</v>
      </c>
      <c r="C911" s="166" t="s">
        <v>3900</v>
      </c>
      <c r="D911" s="183">
        <v>3</v>
      </c>
      <c r="E911" s="7">
        <v>2.5</v>
      </c>
      <c r="F911"/>
      <c r="G911"/>
      <c r="H911"/>
      <c r="I911"/>
      <c r="J911"/>
      <c r="K911"/>
      <c r="L911"/>
      <c r="M911"/>
      <c r="N911"/>
      <c r="O911"/>
      <c r="P911"/>
    </row>
    <row r="912" spans="1:16" ht="14.25" customHeight="1">
      <c r="A912" s="167" t="s">
        <v>3497</v>
      </c>
      <c r="B912" s="165">
        <v>71</v>
      </c>
      <c r="C912" s="166" t="s">
        <v>3901</v>
      </c>
      <c r="D912" s="183">
        <v>3</v>
      </c>
      <c r="E912" s="7">
        <v>1.6</v>
      </c>
      <c r="F912"/>
      <c r="G912"/>
      <c r="H912"/>
      <c r="I912"/>
      <c r="J912"/>
      <c r="K912"/>
      <c r="L912"/>
      <c r="M912"/>
      <c r="N912"/>
      <c r="O912"/>
      <c r="P912"/>
    </row>
    <row r="913" spans="1:16" ht="14.25" customHeight="1">
      <c r="A913" s="112">
        <v>352.01</v>
      </c>
      <c r="B913" s="9">
        <v>55</v>
      </c>
      <c r="C913" s="7" t="s">
        <v>4152</v>
      </c>
      <c r="D913" s="183">
        <v>20</v>
      </c>
      <c r="E913" s="7">
        <v>2.8</v>
      </c>
    </row>
    <row r="914" spans="1:16" ht="14.25" customHeight="1">
      <c r="A914" s="112">
        <v>352.02</v>
      </c>
      <c r="B914" s="9">
        <v>81.5</v>
      </c>
      <c r="C914" s="79" t="s">
        <v>4153</v>
      </c>
      <c r="D914" s="183">
        <v>40</v>
      </c>
      <c r="E914" s="7">
        <f>(3.5+4)/2</f>
        <v>3.75</v>
      </c>
    </row>
    <row r="915" spans="1:16" s="4" customFormat="1" ht="14.25" customHeight="1">
      <c r="A915" s="112">
        <v>352.03</v>
      </c>
      <c r="B915" s="9">
        <v>63</v>
      </c>
      <c r="C915" s="7" t="s">
        <v>4154</v>
      </c>
      <c r="D915" s="183">
        <v>20</v>
      </c>
      <c r="E915" s="7">
        <v>3.5</v>
      </c>
      <c r="F915" s="7"/>
      <c r="G915" s="7"/>
      <c r="H915" s="7"/>
      <c r="I915" s="7"/>
      <c r="J915" s="7"/>
      <c r="K915" s="7"/>
      <c r="L915" s="7"/>
      <c r="M915" s="7"/>
      <c r="N915" s="7"/>
      <c r="O915" s="7"/>
    </row>
    <row r="916" spans="1:16" ht="14.25" customHeight="1">
      <c r="A916" s="112">
        <v>352.04</v>
      </c>
      <c r="B916" s="9">
        <v>73</v>
      </c>
      <c r="C916" s="7" t="s">
        <v>4155</v>
      </c>
      <c r="D916" s="183">
        <v>20</v>
      </c>
      <c r="E916" s="7">
        <v>4</v>
      </c>
    </row>
    <row r="917" spans="1:16" s="4" customFormat="1" ht="14.25" customHeight="1">
      <c r="A917" s="112">
        <v>352.05</v>
      </c>
      <c r="B917" s="9">
        <v>72</v>
      </c>
      <c r="C917" s="7" t="s">
        <v>4156</v>
      </c>
      <c r="D917" s="183">
        <v>20</v>
      </c>
      <c r="E917" s="7">
        <v>3.5</v>
      </c>
      <c r="F917" s="7"/>
      <c r="G917" s="7"/>
      <c r="H917" s="7"/>
      <c r="I917" s="7"/>
      <c r="J917" s="7"/>
      <c r="K917" s="7"/>
      <c r="L917" s="7"/>
      <c r="M917" s="7"/>
      <c r="N917" s="7"/>
      <c r="O917" s="7"/>
      <c r="P917" s="7"/>
    </row>
    <row r="918" spans="1:16" ht="14.25" customHeight="1">
      <c r="A918" s="112">
        <v>352.06</v>
      </c>
      <c r="B918" s="9">
        <v>64.5</v>
      </c>
      <c r="C918" s="7" t="s">
        <v>4157</v>
      </c>
      <c r="D918" s="183">
        <v>20</v>
      </c>
      <c r="E918" s="7">
        <v>2.6</v>
      </c>
    </row>
    <row r="919" spans="1:16" ht="14.25" customHeight="1">
      <c r="A919" s="125">
        <v>352.07</v>
      </c>
      <c r="B919" s="9">
        <v>50</v>
      </c>
      <c r="C919" s="7" t="s">
        <v>4158</v>
      </c>
      <c r="D919" s="183">
        <v>39</v>
      </c>
      <c r="E919" s="7">
        <v>3.3</v>
      </c>
    </row>
    <row r="920" spans="1:16" ht="14.25" customHeight="1">
      <c r="A920" s="125">
        <v>352.08</v>
      </c>
      <c r="B920" s="9">
        <v>49</v>
      </c>
      <c r="C920" s="1" t="s">
        <v>4159</v>
      </c>
      <c r="D920" s="183">
        <v>20</v>
      </c>
      <c r="E920" s="7">
        <v>2.98</v>
      </c>
    </row>
    <row r="921" spans="1:16" ht="14.25" customHeight="1">
      <c r="A921" s="148" t="s">
        <v>3113</v>
      </c>
      <c r="B921" s="9">
        <v>17</v>
      </c>
      <c r="C921" s="211" t="s">
        <v>4160</v>
      </c>
      <c r="D921" s="183">
        <v>3</v>
      </c>
      <c r="E921" s="7">
        <v>0.64</v>
      </c>
      <c r="G921" s="211" t="s">
        <v>4160</v>
      </c>
    </row>
    <row r="922" spans="1:16" ht="14.25" customHeight="1">
      <c r="A922" s="148" t="s">
        <v>3114</v>
      </c>
      <c r="B922" s="9">
        <v>17</v>
      </c>
      <c r="C922" s="7" t="s">
        <v>4161</v>
      </c>
      <c r="D922" s="183">
        <v>3</v>
      </c>
      <c r="E922" s="7">
        <v>0.64</v>
      </c>
    </row>
    <row r="923" spans="1:16" ht="14.25" customHeight="1">
      <c r="A923" s="148" t="s">
        <v>3115</v>
      </c>
      <c r="B923" s="9">
        <v>17</v>
      </c>
      <c r="C923" s="7" t="s">
        <v>4162</v>
      </c>
      <c r="D923" s="183">
        <v>3</v>
      </c>
      <c r="E923" s="7">
        <v>0.64</v>
      </c>
    </row>
    <row r="924" spans="1:16" ht="14.25" customHeight="1">
      <c r="A924" s="148" t="s">
        <v>3116</v>
      </c>
      <c r="B924" s="9">
        <v>17</v>
      </c>
      <c r="C924" s="7" t="s">
        <v>4163</v>
      </c>
      <c r="D924" s="183">
        <v>3</v>
      </c>
      <c r="E924" s="7">
        <v>0.64</v>
      </c>
    </row>
    <row r="925" spans="1:16" ht="14.25" customHeight="1">
      <c r="A925" s="148" t="s">
        <v>3117</v>
      </c>
      <c r="B925" s="9">
        <v>17</v>
      </c>
      <c r="C925" s="7" t="s">
        <v>4164</v>
      </c>
      <c r="D925" s="183">
        <v>3</v>
      </c>
      <c r="E925" s="7">
        <v>0.64</v>
      </c>
    </row>
    <row r="926" spans="1:16" ht="14.25" customHeight="1">
      <c r="A926" s="148" t="s">
        <v>3118</v>
      </c>
      <c r="B926" s="9">
        <v>17</v>
      </c>
      <c r="C926" s="7" t="s">
        <v>4165</v>
      </c>
      <c r="D926" s="183">
        <v>3</v>
      </c>
      <c r="E926" s="7">
        <v>0.64</v>
      </c>
      <c r="P926" s="4"/>
    </row>
    <row r="927" spans="1:16" ht="14.25" customHeight="1">
      <c r="A927" s="148" t="s">
        <v>3119</v>
      </c>
      <c r="B927" s="9">
        <v>17</v>
      </c>
      <c r="C927" s="7" t="s">
        <v>4166</v>
      </c>
      <c r="D927" s="186">
        <v>5</v>
      </c>
      <c r="E927" s="7">
        <v>0.64</v>
      </c>
    </row>
    <row r="928" spans="1:16" ht="14.25" customHeight="1">
      <c r="A928" s="167" t="s">
        <v>3562</v>
      </c>
      <c r="B928" s="165">
        <f>24.9/3</f>
        <v>8.2999999999999989</v>
      </c>
      <c r="C928" s="213" t="s">
        <v>3905</v>
      </c>
      <c r="D928" s="183">
        <v>3</v>
      </c>
      <c r="E928" s="7">
        <v>1.45</v>
      </c>
      <c r="F928"/>
      <c r="G928" s="213" t="s">
        <v>3905</v>
      </c>
      <c r="H928"/>
      <c r="I928"/>
      <c r="J928"/>
      <c r="K928"/>
      <c r="L928"/>
      <c r="M928"/>
      <c r="N928"/>
      <c r="O928"/>
      <c r="P928"/>
    </row>
    <row r="929" spans="1:16" ht="14.25" customHeight="1">
      <c r="A929" s="167" t="s">
        <v>3563</v>
      </c>
      <c r="B929" s="165">
        <f>25.2/3</f>
        <v>8.4</v>
      </c>
      <c r="C929" s="166" t="s">
        <v>3906</v>
      </c>
      <c r="D929" s="183">
        <v>3</v>
      </c>
      <c r="E929" s="7">
        <v>1.45</v>
      </c>
      <c r="F929"/>
      <c r="G929"/>
      <c r="H929"/>
      <c r="I929"/>
      <c r="J929"/>
      <c r="K929"/>
      <c r="L929"/>
      <c r="M929"/>
      <c r="N929"/>
      <c r="O929"/>
      <c r="P929"/>
    </row>
    <row r="930" spans="1:16" ht="14.25" customHeight="1">
      <c r="A930" s="167" t="s">
        <v>3564</v>
      </c>
      <c r="B930" s="191">
        <f>30.7/3</f>
        <v>10.233333333333333</v>
      </c>
      <c r="C930" s="166" t="s">
        <v>3907</v>
      </c>
      <c r="D930" s="183">
        <v>3</v>
      </c>
      <c r="E930" s="7">
        <v>1.45</v>
      </c>
      <c r="F930"/>
      <c r="G930"/>
      <c r="H930"/>
      <c r="I930"/>
      <c r="J930"/>
      <c r="K930"/>
      <c r="L930"/>
      <c r="M930"/>
      <c r="N930"/>
      <c r="O930"/>
      <c r="P930"/>
    </row>
    <row r="931" spans="1:16" ht="14.25" customHeight="1">
      <c r="A931" s="167" t="s">
        <v>3565</v>
      </c>
      <c r="B931" s="191">
        <f>24.7/3</f>
        <v>8.2333333333333325</v>
      </c>
      <c r="C931" s="213" t="s">
        <v>3405</v>
      </c>
      <c r="D931" s="183">
        <v>3</v>
      </c>
      <c r="E931" s="7">
        <v>1.6</v>
      </c>
      <c r="F931"/>
      <c r="G931" s="213" t="s">
        <v>3405</v>
      </c>
      <c r="H931"/>
      <c r="I931"/>
      <c r="J931"/>
      <c r="K931"/>
      <c r="L931"/>
      <c r="M931"/>
      <c r="N931"/>
      <c r="O931"/>
      <c r="P931"/>
    </row>
    <row r="932" spans="1:16" ht="14.25" customHeight="1">
      <c r="A932" s="167" t="s">
        <v>3566</v>
      </c>
      <c r="B932" s="165">
        <f>24.6/3</f>
        <v>8.2000000000000011</v>
      </c>
      <c r="C932" s="166" t="s">
        <v>3403</v>
      </c>
      <c r="D932" s="183">
        <v>3</v>
      </c>
      <c r="E932" s="7">
        <v>1.6</v>
      </c>
      <c r="F932"/>
      <c r="G932"/>
      <c r="H932"/>
      <c r="I932"/>
      <c r="J932"/>
      <c r="K932"/>
      <c r="L932"/>
      <c r="M932"/>
      <c r="N932"/>
      <c r="O932"/>
      <c r="P932"/>
    </row>
    <row r="933" spans="1:16" ht="14.25" customHeight="1">
      <c r="A933" s="167" t="s">
        <v>3567</v>
      </c>
      <c r="B933" s="192">
        <f>30.1/3</f>
        <v>10.033333333333333</v>
      </c>
      <c r="C933" s="166" t="s">
        <v>3404</v>
      </c>
      <c r="D933" s="183">
        <v>3</v>
      </c>
      <c r="E933" s="7">
        <v>1.5</v>
      </c>
      <c r="F933"/>
      <c r="G933"/>
      <c r="H933"/>
      <c r="I933"/>
      <c r="J933"/>
      <c r="K933"/>
      <c r="L933"/>
      <c r="M933"/>
      <c r="N933"/>
      <c r="O933"/>
      <c r="P933"/>
    </row>
    <row r="934" spans="1:16" ht="14.25" customHeight="1">
      <c r="A934" s="148" t="s">
        <v>3277</v>
      </c>
      <c r="B934" s="9">
        <f>7.8/10</f>
        <v>0.78</v>
      </c>
      <c r="C934" s="196" t="s">
        <v>5904</v>
      </c>
      <c r="D934" s="184">
        <v>1000</v>
      </c>
      <c r="E934" s="25">
        <f>27/1000</f>
        <v>2.7E-2</v>
      </c>
    </row>
    <row r="935" spans="1:16" ht="14.25" customHeight="1">
      <c r="A935" s="147" t="s">
        <v>3613</v>
      </c>
      <c r="B935" s="9">
        <v>6.9</v>
      </c>
      <c r="C935" s="196" t="s">
        <v>5905</v>
      </c>
      <c r="D935" s="184">
        <v>5</v>
      </c>
      <c r="E935" s="6">
        <v>1.2</v>
      </c>
    </row>
    <row r="936" spans="1:16" ht="14.25" customHeight="1">
      <c r="A936" s="147" t="s">
        <v>3278</v>
      </c>
      <c r="B936" s="9">
        <v>9.1</v>
      </c>
      <c r="C936" s="196" t="s">
        <v>5906</v>
      </c>
      <c r="D936" s="184">
        <v>5</v>
      </c>
      <c r="E936" s="6">
        <v>1.5</v>
      </c>
    </row>
    <row r="937" spans="1:16" ht="14.25" customHeight="1">
      <c r="A937" s="147" t="s">
        <v>3279</v>
      </c>
      <c r="B937" s="9">
        <v>7.7</v>
      </c>
      <c r="C937" s="196" t="s">
        <v>5907</v>
      </c>
      <c r="D937" s="184">
        <v>5</v>
      </c>
      <c r="E937" s="6">
        <v>0.4</v>
      </c>
    </row>
    <row r="938" spans="1:16" ht="14.25" customHeight="1">
      <c r="A938" s="147" t="s">
        <v>3280</v>
      </c>
      <c r="B938" s="9">
        <v>12.7</v>
      </c>
      <c r="C938" s="196" t="s">
        <v>5908</v>
      </c>
      <c r="D938" s="184">
        <v>5</v>
      </c>
      <c r="E938" s="6">
        <v>1.3</v>
      </c>
    </row>
    <row r="939" spans="1:16" ht="14.25" customHeight="1">
      <c r="A939" s="147" t="s">
        <v>3281</v>
      </c>
      <c r="B939" s="9">
        <v>20.8</v>
      </c>
      <c r="C939" s="196" t="s">
        <v>5909</v>
      </c>
      <c r="D939" s="184">
        <v>5</v>
      </c>
      <c r="E939" s="6">
        <v>2.5</v>
      </c>
      <c r="P939" s="4"/>
    </row>
    <row r="940" spans="1:16" ht="14.25" customHeight="1">
      <c r="A940" s="147" t="s">
        <v>3282</v>
      </c>
      <c r="B940" s="9">
        <v>16.100000000000001</v>
      </c>
      <c r="C940" s="196" t="s">
        <v>5910</v>
      </c>
      <c r="D940" s="184">
        <v>5</v>
      </c>
      <c r="E940" s="6">
        <v>2</v>
      </c>
    </row>
    <row r="941" spans="1:16" ht="14.25" customHeight="1">
      <c r="A941" s="147" t="s">
        <v>3283</v>
      </c>
      <c r="B941" s="9">
        <v>31.4</v>
      </c>
      <c r="C941" s="196" t="s">
        <v>5911</v>
      </c>
      <c r="D941" s="184">
        <v>5</v>
      </c>
      <c r="E941" s="6">
        <v>2.9</v>
      </c>
    </row>
    <row r="942" spans="1:16" ht="14.25" customHeight="1">
      <c r="A942" s="147" t="s">
        <v>3284</v>
      </c>
      <c r="B942" s="9">
        <v>7.2</v>
      </c>
      <c r="C942" s="196" t="s">
        <v>5913</v>
      </c>
      <c r="D942" s="184">
        <v>5</v>
      </c>
      <c r="E942" s="6">
        <v>0.6</v>
      </c>
    </row>
    <row r="943" spans="1:16" ht="14.25" customHeight="1">
      <c r="A943" s="147" t="s">
        <v>3614</v>
      </c>
      <c r="B943" s="9">
        <f>42.7-6.6</f>
        <v>36.1</v>
      </c>
      <c r="C943" s="196" t="s">
        <v>5914</v>
      </c>
      <c r="D943" s="184">
        <v>5</v>
      </c>
      <c r="E943" s="6">
        <v>4</v>
      </c>
    </row>
    <row r="944" spans="1:16" ht="14.25" customHeight="1">
      <c r="A944" s="189" t="s">
        <v>3731</v>
      </c>
      <c r="B944" s="9">
        <v>4.3</v>
      </c>
      <c r="C944" s="31" t="s">
        <v>3832</v>
      </c>
      <c r="D944" s="183">
        <v>5</v>
      </c>
      <c r="E944" s="7">
        <v>0.8</v>
      </c>
      <c r="F944"/>
      <c r="G944"/>
      <c r="H944"/>
      <c r="I944"/>
      <c r="J944"/>
      <c r="K944"/>
      <c r="L944"/>
      <c r="M944"/>
      <c r="N944"/>
      <c r="O944"/>
      <c r="P944"/>
    </row>
    <row r="945" spans="1:16" ht="14.25" customHeight="1">
      <c r="A945" s="189" t="s">
        <v>3732</v>
      </c>
      <c r="B945" s="9">
        <v>3.9</v>
      </c>
      <c r="C945" s="157" t="s">
        <v>3671</v>
      </c>
      <c r="D945" s="183">
        <v>5</v>
      </c>
      <c r="E945" s="7">
        <v>0.32</v>
      </c>
      <c r="F945"/>
      <c r="G945"/>
      <c r="H945"/>
      <c r="I945"/>
      <c r="J945"/>
      <c r="K945"/>
      <c r="L945"/>
      <c r="M945"/>
      <c r="N945"/>
      <c r="O945"/>
      <c r="P945"/>
    </row>
    <row r="946" spans="1:16" ht="14.25" customHeight="1">
      <c r="A946" s="189" t="s">
        <v>3733</v>
      </c>
      <c r="B946" s="9">
        <v>4.4000000000000004</v>
      </c>
      <c r="C946" s="157" t="s">
        <v>3660</v>
      </c>
      <c r="D946" s="183">
        <v>50</v>
      </c>
      <c r="E946" s="7">
        <v>0.28999999999999998</v>
      </c>
      <c r="F946"/>
      <c r="G946"/>
      <c r="H946"/>
      <c r="I946"/>
      <c r="J946"/>
      <c r="K946"/>
      <c r="L946"/>
      <c r="M946"/>
      <c r="N946"/>
      <c r="O946"/>
      <c r="P946"/>
    </row>
    <row r="947" spans="1:16" ht="14.25" customHeight="1">
      <c r="A947" s="189" t="s">
        <v>3734</v>
      </c>
      <c r="B947" s="9">
        <v>2.7</v>
      </c>
      <c r="C947" s="157" t="s">
        <v>3726</v>
      </c>
      <c r="D947" s="183">
        <v>10</v>
      </c>
      <c r="E947" s="7">
        <v>0.5</v>
      </c>
      <c r="F947"/>
      <c r="G947"/>
      <c r="H947"/>
      <c r="I947"/>
      <c r="J947"/>
      <c r="K947"/>
      <c r="L947"/>
      <c r="M947"/>
      <c r="N947"/>
      <c r="O947"/>
      <c r="P947"/>
    </row>
    <row r="948" spans="1:16" ht="14.25" customHeight="1">
      <c r="A948" s="189" t="s">
        <v>3735</v>
      </c>
      <c r="B948" s="9">
        <v>4.5999999999999996</v>
      </c>
      <c r="C948" s="157" t="s">
        <v>3668</v>
      </c>
      <c r="D948" s="183">
        <v>5</v>
      </c>
      <c r="E948" s="7">
        <v>0.7</v>
      </c>
      <c r="F948"/>
      <c r="G948"/>
      <c r="H948"/>
      <c r="I948"/>
      <c r="J948"/>
      <c r="K948"/>
      <c r="L948"/>
      <c r="M948"/>
      <c r="N948"/>
      <c r="O948"/>
      <c r="P948"/>
    </row>
    <row r="949" spans="1:16" ht="14.25" customHeight="1">
      <c r="A949" s="189" t="s">
        <v>3736</v>
      </c>
      <c r="B949" s="9">
        <v>4.4000000000000004</v>
      </c>
      <c r="C949" s="157" t="s">
        <v>3663</v>
      </c>
      <c r="D949" s="183">
        <v>10</v>
      </c>
      <c r="E949" s="7">
        <v>0.22</v>
      </c>
      <c r="F949"/>
      <c r="G949"/>
      <c r="H949"/>
      <c r="I949"/>
      <c r="J949"/>
      <c r="K949"/>
      <c r="L949"/>
      <c r="M949"/>
      <c r="N949"/>
      <c r="O949"/>
      <c r="P949"/>
    </row>
    <row r="950" spans="1:16" ht="14.25" customHeight="1">
      <c r="A950" s="189" t="s">
        <v>3737</v>
      </c>
      <c r="B950" s="9">
        <v>4</v>
      </c>
      <c r="C950" s="157" t="s">
        <v>3664</v>
      </c>
      <c r="D950" s="183">
        <v>5</v>
      </c>
      <c r="E950" s="7">
        <v>0.65</v>
      </c>
      <c r="F950"/>
      <c r="G950"/>
      <c r="H950"/>
      <c r="I950"/>
      <c r="J950"/>
      <c r="K950"/>
      <c r="L950"/>
      <c r="M950"/>
      <c r="N950"/>
      <c r="O950"/>
      <c r="P950"/>
    </row>
    <row r="951" spans="1:16" ht="14.25" customHeight="1">
      <c r="A951" s="189" t="s">
        <v>3738</v>
      </c>
      <c r="B951" s="9">
        <v>6.8</v>
      </c>
      <c r="C951" s="157" t="s">
        <v>3661</v>
      </c>
      <c r="D951" s="183">
        <v>10</v>
      </c>
      <c r="E951" s="7">
        <v>0.94</v>
      </c>
      <c r="F951"/>
      <c r="G951"/>
      <c r="H951"/>
      <c r="I951"/>
      <c r="J951"/>
      <c r="K951"/>
      <c r="L951"/>
      <c r="M951"/>
      <c r="N951"/>
      <c r="O951"/>
      <c r="P951"/>
    </row>
    <row r="952" spans="1:16" ht="14.25" customHeight="1">
      <c r="A952" s="189" t="s">
        <v>3739</v>
      </c>
      <c r="B952" s="9">
        <v>7.7</v>
      </c>
      <c r="C952" s="157" t="s">
        <v>3675</v>
      </c>
      <c r="D952" s="183">
        <v>3</v>
      </c>
      <c r="E952" s="7">
        <v>1.9</v>
      </c>
      <c r="F952"/>
      <c r="G952"/>
      <c r="H952"/>
      <c r="I952"/>
      <c r="J952"/>
      <c r="K952"/>
      <c r="L952"/>
      <c r="M952"/>
      <c r="N952"/>
      <c r="O952"/>
      <c r="P952"/>
    </row>
    <row r="953" spans="1:16" ht="14.25" customHeight="1">
      <c r="A953" s="189" t="s">
        <v>3740</v>
      </c>
      <c r="B953" s="9">
        <v>3.3</v>
      </c>
      <c r="C953" s="157" t="s">
        <v>3725</v>
      </c>
      <c r="D953" s="183">
        <v>3</v>
      </c>
      <c r="E953" s="7">
        <v>1.2</v>
      </c>
      <c r="F953"/>
      <c r="G953"/>
      <c r="H953"/>
      <c r="I953"/>
      <c r="J953"/>
      <c r="K953"/>
      <c r="L953"/>
      <c r="M953"/>
      <c r="N953"/>
      <c r="O953"/>
      <c r="P953"/>
    </row>
    <row r="954" spans="1:16" ht="14.25" customHeight="1">
      <c r="A954" s="189" t="s">
        <v>3741</v>
      </c>
      <c r="B954" s="9">
        <v>6.6</v>
      </c>
      <c r="C954" s="157" t="s">
        <v>3665</v>
      </c>
      <c r="D954" s="183">
        <v>3</v>
      </c>
      <c r="E954" s="7">
        <v>1</v>
      </c>
      <c r="F954"/>
      <c r="G954"/>
      <c r="H954"/>
      <c r="I954"/>
      <c r="J954"/>
      <c r="K954"/>
      <c r="L954"/>
      <c r="M954"/>
      <c r="N954"/>
      <c r="O954"/>
      <c r="P954"/>
    </row>
    <row r="955" spans="1:16" customFormat="1" ht="14.25" customHeight="1">
      <c r="A955" s="189" t="s">
        <v>3742</v>
      </c>
      <c r="B955" s="9">
        <v>6.2</v>
      </c>
      <c r="C955" s="157" t="s">
        <v>3667</v>
      </c>
      <c r="D955" s="183">
        <v>3</v>
      </c>
      <c r="E955" s="7">
        <v>0.65</v>
      </c>
    </row>
    <row r="956" spans="1:16" customFormat="1" ht="14.25" customHeight="1">
      <c r="A956" s="189" t="s">
        <v>3743</v>
      </c>
      <c r="B956" s="9">
        <v>13.7</v>
      </c>
      <c r="C956" s="157" t="s">
        <v>3662</v>
      </c>
      <c r="D956" s="183">
        <v>3</v>
      </c>
      <c r="E956" s="7">
        <v>0.8</v>
      </c>
    </row>
    <row r="957" spans="1:16" customFormat="1" ht="14.25" customHeight="1">
      <c r="A957" s="189" t="s">
        <v>3744</v>
      </c>
      <c r="B957" s="9">
        <v>5.0999999999999996</v>
      </c>
      <c r="C957" s="157" t="s">
        <v>3727</v>
      </c>
      <c r="D957" s="183">
        <v>3</v>
      </c>
      <c r="E957" s="7">
        <v>1.5</v>
      </c>
    </row>
    <row r="958" spans="1:16" customFormat="1" ht="14.25" customHeight="1">
      <c r="A958" s="189" t="s">
        <v>3745</v>
      </c>
      <c r="B958" s="9">
        <v>7.2</v>
      </c>
      <c r="C958" s="157" t="s">
        <v>3674</v>
      </c>
      <c r="D958" s="183">
        <v>3</v>
      </c>
      <c r="E958" s="7">
        <v>1.5</v>
      </c>
    </row>
    <row r="959" spans="1:16" customFormat="1" ht="14.25" customHeight="1">
      <c r="A959" s="189" t="s">
        <v>3746</v>
      </c>
      <c r="B959" s="9">
        <v>7.3</v>
      </c>
      <c r="C959" s="157" t="s">
        <v>3672</v>
      </c>
      <c r="D959" s="183">
        <v>3</v>
      </c>
      <c r="E959" s="7">
        <v>0.59</v>
      </c>
    </row>
    <row r="960" spans="1:16"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60"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60" t="s">
        <v>3718</v>
      </c>
      <c r="D971" s="183">
        <v>100</v>
      </c>
      <c r="E971" s="198">
        <v>0.3</v>
      </c>
    </row>
    <row r="972" spans="1:5" customFormat="1" ht="14.25" customHeight="1">
      <c r="A972" s="190" t="s">
        <v>3758</v>
      </c>
      <c r="B972" s="9">
        <v>8</v>
      </c>
      <c r="C972" s="160"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60"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60"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7" customFormat="1" ht="14.25" customHeight="1">
      <c r="A1009" s="189" t="s">
        <v>3792</v>
      </c>
      <c r="B1009" s="9">
        <v>15.2</v>
      </c>
      <c r="C1009" s="157" t="s">
        <v>3704</v>
      </c>
      <c r="D1009" s="183">
        <v>3</v>
      </c>
      <c r="E1009" s="7">
        <v>1.19</v>
      </c>
    </row>
    <row r="1010" spans="1:7" customFormat="1" ht="14.25" customHeight="1">
      <c r="A1010" s="189" t="s">
        <v>3793</v>
      </c>
      <c r="B1010" s="9">
        <v>28.3</v>
      </c>
      <c r="C1010" s="160" t="s">
        <v>3728</v>
      </c>
      <c r="D1010" s="183">
        <v>3</v>
      </c>
      <c r="E1010" s="7">
        <v>3.3</v>
      </c>
    </row>
    <row r="1011" spans="1:7" customFormat="1" ht="14.25" customHeight="1">
      <c r="A1011" s="189" t="s">
        <v>3794</v>
      </c>
      <c r="B1011" s="9">
        <v>17</v>
      </c>
      <c r="C1011" s="157" t="s">
        <v>3707</v>
      </c>
      <c r="D1011" s="183">
        <v>3</v>
      </c>
      <c r="E1011" s="7">
        <v>2.6</v>
      </c>
    </row>
    <row r="1012" spans="1:7" customFormat="1" ht="14.25" customHeight="1">
      <c r="A1012" s="189" t="s">
        <v>3795</v>
      </c>
      <c r="B1012" s="9">
        <v>24.3</v>
      </c>
      <c r="C1012" s="157" t="s">
        <v>3706</v>
      </c>
      <c r="D1012" s="183">
        <v>3</v>
      </c>
      <c r="E1012" s="7">
        <v>3.9</v>
      </c>
    </row>
    <row r="1013" spans="1:7" customFormat="1" ht="14.25" customHeight="1">
      <c r="A1013" s="189" t="s">
        <v>3796</v>
      </c>
      <c r="B1013" s="9">
        <v>18.100000000000001</v>
      </c>
      <c r="C1013" s="157" t="s">
        <v>3709</v>
      </c>
      <c r="D1013" s="183">
        <v>3</v>
      </c>
      <c r="E1013" s="7">
        <v>2.5</v>
      </c>
    </row>
    <row r="1014" spans="1:7" customFormat="1" ht="14.25" customHeight="1">
      <c r="A1014" s="189" t="s">
        <v>3797</v>
      </c>
      <c r="B1014" s="9">
        <v>18.8</v>
      </c>
      <c r="C1014" s="157" t="s">
        <v>3708</v>
      </c>
      <c r="D1014" s="183">
        <v>3</v>
      </c>
      <c r="E1014" s="7">
        <v>2.8</v>
      </c>
    </row>
    <row r="1015" spans="1:7" customFormat="1" ht="14.25" customHeight="1">
      <c r="A1015" s="189" t="s">
        <v>3798</v>
      </c>
      <c r="B1015" s="9">
        <v>24.4</v>
      </c>
      <c r="C1015" s="157" t="s">
        <v>3703</v>
      </c>
      <c r="D1015" s="183">
        <v>3</v>
      </c>
      <c r="E1015" s="7">
        <v>3.9</v>
      </c>
    </row>
    <row r="1016" spans="1:7" customFormat="1" ht="14.25" customHeight="1">
      <c r="A1016" s="189" t="s">
        <v>3799</v>
      </c>
      <c r="B1016" s="9">
        <v>18</v>
      </c>
      <c r="C1016" s="215" t="s">
        <v>3712</v>
      </c>
      <c r="D1016" s="183">
        <v>3</v>
      </c>
      <c r="E1016" s="7">
        <v>1.88</v>
      </c>
      <c r="G1016" s="215" t="s">
        <v>3712</v>
      </c>
    </row>
    <row r="1017" spans="1:7" customFormat="1" ht="14.25" customHeight="1">
      <c r="A1017" s="189" t="s">
        <v>3800</v>
      </c>
      <c r="B1017" s="9">
        <v>18</v>
      </c>
      <c r="C1017" s="160" t="s">
        <v>3714</v>
      </c>
      <c r="D1017" s="183">
        <v>3</v>
      </c>
      <c r="E1017" s="7">
        <v>2.8</v>
      </c>
    </row>
    <row r="1018" spans="1:7" customFormat="1" ht="14.25" customHeight="1">
      <c r="A1018" s="190" t="s">
        <v>3801</v>
      </c>
      <c r="B1018" s="9">
        <v>18</v>
      </c>
      <c r="C1018" s="214" t="s">
        <v>3807</v>
      </c>
      <c r="D1018" s="183">
        <v>100</v>
      </c>
      <c r="E1018" s="198">
        <v>3</v>
      </c>
    </row>
    <row r="1019" spans="1:7" customFormat="1" ht="14.25" customHeight="1">
      <c r="A1019" s="189" t="s">
        <v>3802</v>
      </c>
      <c r="B1019" s="9">
        <v>18</v>
      </c>
      <c r="C1019" s="160" t="s">
        <v>3716</v>
      </c>
      <c r="D1019" s="183">
        <v>3</v>
      </c>
      <c r="E1019" s="7">
        <v>3.2</v>
      </c>
    </row>
    <row r="1020" spans="1:7" customFormat="1" ht="14.25" customHeight="1">
      <c r="A1020" s="190" t="s">
        <v>3803</v>
      </c>
      <c r="B1020" s="9">
        <v>18</v>
      </c>
      <c r="C1020" s="160" t="s">
        <v>3808</v>
      </c>
      <c r="D1020" s="183">
        <v>100</v>
      </c>
      <c r="E1020" s="198">
        <v>3</v>
      </c>
    </row>
    <row r="1021" spans="1:7" customFormat="1" ht="14.25" customHeight="1">
      <c r="A1021" s="189" t="s">
        <v>3804</v>
      </c>
      <c r="B1021" s="9">
        <v>18</v>
      </c>
      <c r="C1021" s="160" t="s">
        <v>3715</v>
      </c>
      <c r="D1021" s="183">
        <v>3</v>
      </c>
      <c r="E1021" s="7">
        <v>3.2</v>
      </c>
    </row>
    <row r="1022" spans="1:7" customFormat="1" ht="14.25" customHeight="1">
      <c r="A1022" s="189" t="s">
        <v>3809</v>
      </c>
      <c r="B1022" s="9">
        <v>18</v>
      </c>
      <c r="C1022" s="160" t="s">
        <v>3713</v>
      </c>
      <c r="D1022" s="183">
        <v>3</v>
      </c>
      <c r="E1022" s="7">
        <v>2.9</v>
      </c>
    </row>
    <row r="1023" spans="1:7" customFormat="1" ht="14.25" customHeight="1">
      <c r="A1023" s="190" t="s">
        <v>3810</v>
      </c>
      <c r="B1023" s="9">
        <v>18</v>
      </c>
      <c r="C1023" s="160" t="s">
        <v>3811</v>
      </c>
      <c r="D1023" s="183">
        <v>100</v>
      </c>
      <c r="E1023" s="198">
        <v>3</v>
      </c>
    </row>
    <row r="1024" spans="1:7" customFormat="1" ht="14.25" customHeight="1">
      <c r="A1024" s="190" t="s">
        <v>3823</v>
      </c>
      <c r="B1024" s="9">
        <v>18</v>
      </c>
      <c r="C1024" s="160" t="s">
        <v>3812</v>
      </c>
      <c r="D1024" s="183">
        <v>100</v>
      </c>
      <c r="E1024" s="198">
        <v>3</v>
      </c>
    </row>
    <row r="1025" spans="1:16" customFormat="1" ht="14.25" customHeight="1">
      <c r="A1025" s="190" t="s">
        <v>3824</v>
      </c>
      <c r="B1025" s="9">
        <v>18</v>
      </c>
      <c r="C1025" s="160" t="s">
        <v>3813</v>
      </c>
      <c r="D1025" s="183">
        <v>100</v>
      </c>
      <c r="E1025" s="198">
        <v>3</v>
      </c>
    </row>
    <row r="1026" spans="1:16" customFormat="1" ht="14.25" customHeight="1">
      <c r="A1026" s="190" t="s">
        <v>3825</v>
      </c>
      <c r="B1026" s="9">
        <v>18</v>
      </c>
      <c r="C1026" s="160" t="s">
        <v>3814</v>
      </c>
      <c r="D1026" s="183">
        <v>100</v>
      </c>
      <c r="E1026" s="198">
        <v>3</v>
      </c>
    </row>
    <row r="1027" spans="1:16" customFormat="1" ht="14.25" customHeight="1">
      <c r="A1027" s="189" t="s">
        <v>3826</v>
      </c>
      <c r="B1027" s="9">
        <v>8</v>
      </c>
      <c r="C1027" s="215" t="s">
        <v>3711</v>
      </c>
      <c r="D1027" s="183">
        <v>5</v>
      </c>
      <c r="E1027" s="7">
        <v>0.33</v>
      </c>
      <c r="G1027" s="215" t="s">
        <v>3711</v>
      </c>
    </row>
    <row r="1028" spans="1:16" customFormat="1" ht="14.25" customHeight="1">
      <c r="A1028" s="189" t="s">
        <v>3827</v>
      </c>
      <c r="B1028" s="9">
        <v>9.1999999999999993</v>
      </c>
      <c r="C1028" s="157" t="s">
        <v>3710</v>
      </c>
      <c r="D1028" s="183">
        <v>5</v>
      </c>
      <c r="E1028" s="7">
        <v>0.45</v>
      </c>
    </row>
    <row r="1029" spans="1:16" customFormat="1" ht="14.25" customHeight="1">
      <c r="A1029" s="190" t="s">
        <v>3828</v>
      </c>
      <c r="B1029" s="9">
        <v>9</v>
      </c>
      <c r="C1029" s="160" t="s">
        <v>3815</v>
      </c>
      <c r="D1029" s="183">
        <v>100</v>
      </c>
      <c r="E1029" s="198">
        <v>0.6</v>
      </c>
    </row>
    <row r="1030" spans="1:16" customFormat="1" ht="14.25" customHeight="1">
      <c r="A1030" s="190" t="s">
        <v>3829</v>
      </c>
      <c r="B1030" s="9">
        <v>12</v>
      </c>
      <c r="C1030" s="160" t="s">
        <v>3822</v>
      </c>
      <c r="D1030" s="183">
        <v>100</v>
      </c>
      <c r="E1030" s="198">
        <v>0.8</v>
      </c>
    </row>
    <row r="1031" spans="1:16" customFormat="1" ht="14.25" customHeight="1">
      <c r="A1031" s="189" t="s">
        <v>3830</v>
      </c>
      <c r="B1031" s="9">
        <v>55</v>
      </c>
      <c r="C1031" s="157" t="s">
        <v>3696</v>
      </c>
      <c r="D1031" s="183">
        <v>3</v>
      </c>
      <c r="E1031" s="7">
        <v>2.69</v>
      </c>
    </row>
    <row r="1032" spans="1:16" customFormat="1" ht="14.25" customHeight="1">
      <c r="A1032" s="125" t="s">
        <v>3073</v>
      </c>
      <c r="B1032" s="9">
        <v>40.5</v>
      </c>
      <c r="C1032" s="211" t="s">
        <v>1348</v>
      </c>
      <c r="D1032" s="183">
        <v>3</v>
      </c>
      <c r="E1032" s="7">
        <v>0.62</v>
      </c>
      <c r="F1032" s="7"/>
      <c r="G1032" s="211" t="s">
        <v>1348</v>
      </c>
      <c r="H1032" s="7"/>
      <c r="I1032" s="7"/>
      <c r="J1032" s="7"/>
      <c r="K1032" s="7"/>
      <c r="L1032" s="7"/>
      <c r="M1032" s="7"/>
      <c r="N1032" s="7"/>
      <c r="O1032" s="7"/>
      <c r="P1032" s="7"/>
    </row>
    <row r="1033" spans="1:16" customFormat="1" ht="14.25" customHeight="1">
      <c r="A1033" s="125" t="s">
        <v>3074</v>
      </c>
      <c r="B1033" s="9">
        <v>40.5</v>
      </c>
      <c r="C1033" s="7" t="s">
        <v>1371</v>
      </c>
      <c r="D1033" s="183">
        <v>3</v>
      </c>
      <c r="E1033" s="7">
        <v>0.62</v>
      </c>
      <c r="F1033" s="7"/>
      <c r="G1033" s="7"/>
      <c r="H1033" s="7"/>
      <c r="I1033" s="7"/>
      <c r="J1033" s="7"/>
      <c r="K1033" s="7"/>
      <c r="L1033" s="7"/>
      <c r="M1033" s="7"/>
      <c r="N1033" s="7"/>
      <c r="O1033" s="7"/>
      <c r="P1033" s="7"/>
    </row>
    <row r="1034" spans="1:16" customFormat="1" ht="14.25" customHeight="1">
      <c r="A1034" s="125" t="s">
        <v>3075</v>
      </c>
      <c r="B1034" s="9">
        <v>40.5</v>
      </c>
      <c r="C1034" s="7" t="s">
        <v>5853</v>
      </c>
      <c r="D1034" s="183">
        <v>3</v>
      </c>
      <c r="E1034" s="7">
        <v>0.62</v>
      </c>
      <c r="F1034" s="7"/>
      <c r="G1034" s="7"/>
      <c r="H1034" s="7"/>
      <c r="I1034" s="7"/>
      <c r="J1034" s="7"/>
      <c r="K1034" s="7"/>
      <c r="L1034" s="7"/>
      <c r="M1034" s="7"/>
      <c r="N1034" s="7"/>
      <c r="O1034" s="7"/>
      <c r="P1034" s="7"/>
    </row>
    <row r="1035" spans="1:16" customFormat="1" ht="14.25" customHeight="1">
      <c r="A1035" s="125" t="s">
        <v>3076</v>
      </c>
      <c r="B1035" s="9">
        <v>40.5</v>
      </c>
      <c r="C1035" s="7" t="s">
        <v>5854</v>
      </c>
      <c r="D1035" s="183">
        <v>3</v>
      </c>
      <c r="E1035" s="7">
        <v>0.62</v>
      </c>
      <c r="F1035" s="7"/>
      <c r="G1035" s="7"/>
      <c r="H1035" s="7"/>
      <c r="I1035" s="7"/>
      <c r="J1035" s="7"/>
      <c r="K1035" s="7"/>
      <c r="L1035" s="7"/>
      <c r="M1035" s="7"/>
      <c r="N1035" s="7"/>
      <c r="O1035" s="7"/>
      <c r="P1035" s="7"/>
    </row>
    <row r="1036" spans="1:16" customFormat="1" ht="14.25" customHeight="1">
      <c r="A1036" s="125" t="s">
        <v>3077</v>
      </c>
      <c r="B1036" s="9">
        <v>40.5</v>
      </c>
      <c r="C1036" s="7" t="s">
        <v>5855</v>
      </c>
      <c r="D1036" s="183">
        <v>3</v>
      </c>
      <c r="E1036" s="7">
        <v>0.62</v>
      </c>
      <c r="F1036" s="7"/>
      <c r="G1036" s="7"/>
      <c r="H1036" s="7"/>
      <c r="I1036" s="7"/>
      <c r="J1036" s="7"/>
      <c r="K1036" s="7"/>
      <c r="L1036" s="7"/>
      <c r="M1036" s="7"/>
      <c r="N1036" s="7"/>
      <c r="O1036" s="7"/>
      <c r="P1036" s="7"/>
    </row>
    <row r="1037" spans="1:16" customFormat="1" ht="14.25" customHeight="1">
      <c r="A1037" s="125" t="s">
        <v>3078</v>
      </c>
      <c r="B1037" s="9">
        <v>40.5</v>
      </c>
      <c r="C1037" s="7" t="s">
        <v>5856</v>
      </c>
      <c r="D1037" s="183">
        <v>3</v>
      </c>
      <c r="E1037" s="7">
        <v>0.62</v>
      </c>
      <c r="F1037" s="7"/>
      <c r="G1037" s="7"/>
      <c r="H1037" s="7"/>
      <c r="I1037" s="7"/>
      <c r="J1037" s="7"/>
      <c r="K1037" s="7"/>
      <c r="L1037" s="7"/>
      <c r="M1037" s="7"/>
      <c r="N1037" s="7"/>
      <c r="O1037" s="7"/>
      <c r="P1037" s="7"/>
    </row>
    <row r="1038" spans="1:16" customFormat="1" ht="14.25" customHeight="1">
      <c r="A1038" s="125" t="s">
        <v>3079</v>
      </c>
      <c r="B1038" s="9">
        <v>40.5</v>
      </c>
      <c r="C1038" s="7" t="s">
        <v>5857</v>
      </c>
      <c r="D1038" s="183">
        <v>3</v>
      </c>
      <c r="E1038" s="7">
        <v>0.62</v>
      </c>
      <c r="F1038" s="7"/>
      <c r="G1038" s="7"/>
      <c r="H1038" s="7"/>
      <c r="I1038" s="7"/>
      <c r="J1038" s="7"/>
      <c r="K1038" s="7"/>
      <c r="L1038" s="7"/>
      <c r="M1038" s="7"/>
      <c r="N1038" s="7"/>
      <c r="O1038" s="7"/>
      <c r="P1038" s="7"/>
    </row>
    <row r="1039" spans="1:16" customFormat="1" ht="14.25" customHeight="1">
      <c r="A1039" s="125" t="s">
        <v>3080</v>
      </c>
      <c r="B1039" s="9">
        <f>15.6+30.7</f>
        <v>46.3</v>
      </c>
      <c r="C1039" s="211" t="s">
        <v>1354</v>
      </c>
      <c r="D1039" s="183">
        <v>3</v>
      </c>
      <c r="E1039" s="7">
        <v>2.4</v>
      </c>
      <c r="F1039" s="7"/>
      <c r="G1039" s="211" t="s">
        <v>1354</v>
      </c>
      <c r="H1039" s="7"/>
      <c r="I1039" s="7"/>
      <c r="J1039" s="7"/>
      <c r="K1039" s="7"/>
      <c r="L1039" s="7"/>
      <c r="M1039" s="7"/>
      <c r="N1039" s="7"/>
      <c r="O1039" s="7"/>
      <c r="P1039" s="7"/>
    </row>
    <row r="1040" spans="1:16"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row>
    <row r="1041" spans="1:16"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row>
    <row r="1042" spans="1:16"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row>
    <row r="1043" spans="1:16" customFormat="1" ht="14.25" customHeight="1">
      <c r="A1043" s="125" t="s">
        <v>3084</v>
      </c>
      <c r="B1043" s="9">
        <f>85.4-7</f>
        <v>78.400000000000006</v>
      </c>
      <c r="C1043" s="211" t="s">
        <v>5861</v>
      </c>
      <c r="D1043" s="183">
        <v>3</v>
      </c>
      <c r="E1043" s="7">
        <v>1.94</v>
      </c>
      <c r="F1043" s="7"/>
      <c r="G1043" s="211" t="s">
        <v>5861</v>
      </c>
      <c r="H1043" s="7"/>
      <c r="I1043" s="7"/>
      <c r="J1043" s="7"/>
      <c r="K1043" s="7"/>
      <c r="L1043" s="7"/>
      <c r="M1043" s="7"/>
      <c r="N1043" s="7"/>
      <c r="O1043" s="7"/>
      <c r="P1043" s="7"/>
    </row>
    <row r="1044" spans="1:16"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row>
    <row r="1045" spans="1:16"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4"/>
    </row>
    <row r="1046" spans="1:16" customFormat="1" ht="14.25" customHeight="1">
      <c r="A1046" s="125" t="s">
        <v>3087</v>
      </c>
      <c r="B1046" s="9">
        <f>39.5-7</f>
        <v>32.5</v>
      </c>
      <c r="C1046" s="211" t="s">
        <v>5864</v>
      </c>
      <c r="D1046" s="183">
        <v>3</v>
      </c>
      <c r="E1046" s="7">
        <v>1.88</v>
      </c>
      <c r="F1046" s="7"/>
      <c r="G1046" s="211" t="s">
        <v>5864</v>
      </c>
      <c r="H1046" s="7"/>
      <c r="I1046" s="7"/>
      <c r="J1046" s="7"/>
      <c r="K1046" s="7"/>
      <c r="L1046" s="7"/>
      <c r="M1046" s="7"/>
      <c r="N1046" s="7"/>
      <c r="O1046" s="7"/>
      <c r="P1046" s="7"/>
    </row>
    <row r="1047" spans="1:16"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row>
    <row r="1048" spans="1:16"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row>
    <row r="1049" spans="1:16" customFormat="1" ht="14.25" customHeight="1">
      <c r="A1049" s="125" t="s">
        <v>3090</v>
      </c>
      <c r="B1049" s="9">
        <v>25.5</v>
      </c>
      <c r="C1049" s="7" t="s">
        <v>3160</v>
      </c>
      <c r="D1049" s="183">
        <v>6</v>
      </c>
      <c r="E1049" s="7">
        <v>1.49</v>
      </c>
      <c r="F1049" s="7"/>
      <c r="G1049" s="7"/>
      <c r="H1049" s="7"/>
      <c r="I1049" s="7"/>
      <c r="J1049" s="7"/>
      <c r="K1049" s="7"/>
      <c r="L1049" s="7"/>
      <c r="M1049" s="7"/>
      <c r="N1049" s="7"/>
      <c r="O1049" s="7"/>
      <c r="P1049" s="7"/>
    </row>
    <row r="1050" spans="1:16" customFormat="1" ht="14.25" customHeight="1">
      <c r="A1050" s="125" t="s">
        <v>3091</v>
      </c>
      <c r="B1050" s="9">
        <v>24.5</v>
      </c>
      <c r="C1050" s="211" t="s">
        <v>1360</v>
      </c>
      <c r="D1050" s="183">
        <v>3</v>
      </c>
      <c r="E1050" s="7">
        <v>2.0699999999999998</v>
      </c>
      <c r="F1050" s="7"/>
      <c r="G1050" s="211" t="s">
        <v>1360</v>
      </c>
      <c r="H1050" s="7"/>
      <c r="I1050" s="7"/>
      <c r="J1050" s="7"/>
      <c r="K1050" s="7"/>
      <c r="L1050" s="7"/>
      <c r="M1050" s="7"/>
      <c r="N1050" s="7"/>
      <c r="O1050" s="7"/>
      <c r="P1050" s="7"/>
    </row>
    <row r="1051" spans="1:16"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row>
    <row r="1052" spans="1:16"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row>
    <row r="1053" spans="1:16" customFormat="1" ht="14.25" customHeight="1">
      <c r="A1053" s="125" t="s">
        <v>3094</v>
      </c>
      <c r="B1053" s="9">
        <v>28</v>
      </c>
      <c r="C1053" s="211" t="s">
        <v>1372</v>
      </c>
      <c r="D1053" s="183">
        <v>3</v>
      </c>
      <c r="E1053" s="7">
        <v>2.2200000000000002</v>
      </c>
      <c r="F1053" s="7"/>
      <c r="G1053" s="211" t="s">
        <v>1372</v>
      </c>
      <c r="H1053" s="7"/>
      <c r="I1053" s="7"/>
      <c r="J1053" s="7"/>
      <c r="K1053" s="7"/>
      <c r="L1053" s="7"/>
      <c r="M1053" s="7"/>
      <c r="N1053" s="7"/>
      <c r="O1053" s="7"/>
      <c r="P1053" s="7"/>
    </row>
    <row r="1054" spans="1:16"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row>
    <row r="1055" spans="1:16"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row>
    <row r="1056" spans="1:16"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row>
    <row r="1057" spans="1:16"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row>
    <row r="1058" spans="1:16" customFormat="1" ht="14.25" customHeight="1">
      <c r="A1058" s="147" t="s">
        <v>3627</v>
      </c>
      <c r="B1058" s="9">
        <v>22.2</v>
      </c>
      <c r="C1058" s="198" t="s">
        <v>5922</v>
      </c>
      <c r="D1058" s="186">
        <v>5</v>
      </c>
      <c r="E1058" s="7">
        <v>0.9</v>
      </c>
      <c r="F1058" s="7"/>
      <c r="G1058" s="7"/>
      <c r="H1058" s="7"/>
      <c r="I1058" s="7"/>
      <c r="J1058" s="7"/>
      <c r="K1058" s="7"/>
      <c r="L1058" s="7"/>
      <c r="M1058" s="7"/>
      <c r="N1058" s="7"/>
      <c r="O1058" s="7"/>
      <c r="P1058" s="7"/>
    </row>
    <row r="1059" spans="1:16" customFormat="1" ht="14.25" customHeight="1">
      <c r="A1059" s="147" t="s">
        <v>3632</v>
      </c>
      <c r="B1059" s="9">
        <v>31.5</v>
      </c>
      <c r="C1059" s="212" t="s">
        <v>5921</v>
      </c>
      <c r="D1059" s="183">
        <v>5</v>
      </c>
      <c r="E1059" s="7">
        <v>1</v>
      </c>
      <c r="F1059" s="7"/>
      <c r="G1059" s="212" t="s">
        <v>5921</v>
      </c>
      <c r="H1059" s="7"/>
      <c r="I1059" s="7"/>
      <c r="J1059" s="7"/>
      <c r="K1059" s="7"/>
      <c r="L1059" s="7"/>
      <c r="M1059" s="7"/>
      <c r="N1059" s="7"/>
      <c r="O1059" s="7"/>
      <c r="P1059" s="4"/>
    </row>
    <row r="1060" spans="1:16" customFormat="1" ht="14.25" customHeight="1">
      <c r="A1060" s="147" t="s">
        <v>3364</v>
      </c>
      <c r="B1060" s="9">
        <v>31.5</v>
      </c>
      <c r="C1060" s="198" t="s">
        <v>5920</v>
      </c>
      <c r="D1060" s="183">
        <v>3</v>
      </c>
      <c r="E1060" s="7">
        <v>1</v>
      </c>
      <c r="F1060" s="7"/>
      <c r="G1060" s="7"/>
      <c r="H1060" s="7"/>
      <c r="I1060" s="7"/>
      <c r="J1060" s="7"/>
      <c r="K1060" s="7"/>
      <c r="L1060" s="7"/>
      <c r="M1060" s="7"/>
      <c r="N1060" s="7"/>
      <c r="O1060" s="7"/>
      <c r="P1060" s="7"/>
    </row>
    <row r="1061" spans="1:16" customFormat="1" ht="14.25" customHeight="1">
      <c r="A1061" s="147" t="s">
        <v>3365</v>
      </c>
      <c r="B1061" s="9">
        <v>31.5</v>
      </c>
      <c r="C1061" s="198" t="s">
        <v>5916</v>
      </c>
      <c r="D1061" s="183">
        <v>3</v>
      </c>
      <c r="E1061" s="7">
        <v>1</v>
      </c>
      <c r="F1061" s="7"/>
      <c r="G1061" s="7"/>
      <c r="H1061" s="7"/>
      <c r="I1061" s="7"/>
      <c r="J1061" s="7"/>
      <c r="K1061" s="7"/>
      <c r="L1061" s="7"/>
      <c r="M1061" s="7"/>
      <c r="N1061" s="7"/>
      <c r="O1061" s="7"/>
      <c r="P1061" s="7"/>
    </row>
    <row r="1062" spans="1:16" customFormat="1" ht="14.25" customHeight="1">
      <c r="A1062" s="147" t="s">
        <v>3366</v>
      </c>
      <c r="B1062" s="9">
        <v>31.5</v>
      </c>
      <c r="C1062" s="198" t="s">
        <v>5917</v>
      </c>
      <c r="D1062" s="183">
        <v>2</v>
      </c>
      <c r="E1062" s="7">
        <v>1</v>
      </c>
      <c r="F1062" s="7"/>
      <c r="G1062" s="7"/>
      <c r="H1062" s="7"/>
      <c r="I1062" s="7"/>
      <c r="J1062" s="7"/>
      <c r="K1062" s="7"/>
      <c r="L1062" s="7"/>
      <c r="M1062" s="7"/>
      <c r="N1062" s="7"/>
      <c r="O1062" s="7"/>
      <c r="P1062" s="7"/>
    </row>
    <row r="1063" spans="1:16" customFormat="1" ht="14.25" customHeight="1">
      <c r="A1063" s="147" t="s">
        <v>3367</v>
      </c>
      <c r="B1063" s="9">
        <v>31.5</v>
      </c>
      <c r="C1063" s="198" t="s">
        <v>5918</v>
      </c>
      <c r="D1063" s="183">
        <v>1</v>
      </c>
      <c r="E1063" s="7">
        <v>1</v>
      </c>
      <c r="F1063" s="7"/>
      <c r="G1063" s="7"/>
      <c r="H1063" s="7"/>
      <c r="I1063" s="7"/>
      <c r="J1063" s="7"/>
      <c r="K1063" s="7"/>
      <c r="L1063" s="7"/>
      <c r="M1063" s="7"/>
      <c r="N1063" s="7"/>
      <c r="O1063" s="7"/>
      <c r="P1063" s="7"/>
    </row>
    <row r="1064" spans="1:16" customFormat="1" ht="14.25" customHeight="1">
      <c r="A1064" s="147" t="s">
        <v>3638</v>
      </c>
      <c r="B1064" s="9">
        <v>31.5</v>
      </c>
      <c r="C1064" s="198" t="s">
        <v>5919</v>
      </c>
      <c r="D1064" s="183">
        <v>1</v>
      </c>
      <c r="E1064" s="7">
        <v>1</v>
      </c>
      <c r="F1064" s="7"/>
      <c r="G1064" s="7"/>
      <c r="H1064" s="7"/>
      <c r="I1064" s="7"/>
      <c r="J1064" s="7"/>
      <c r="K1064" s="7"/>
      <c r="L1064" s="7"/>
      <c r="M1064" s="7"/>
      <c r="N1064" s="7"/>
      <c r="O1064" s="7"/>
      <c r="P1064" s="7"/>
    </row>
    <row r="1065" spans="1:16"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row>
    <row r="1066" spans="1:16"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row>
    <row r="1067" spans="1:16" customFormat="1" ht="14.25" customHeight="1">
      <c r="A1067" s="116" t="s">
        <v>3098</v>
      </c>
      <c r="B1067" s="9">
        <v>17</v>
      </c>
      <c r="C1067" s="211" t="s">
        <v>1851</v>
      </c>
      <c r="D1067" s="184">
        <v>5</v>
      </c>
      <c r="E1067" s="6">
        <v>0.6</v>
      </c>
      <c r="F1067" s="7"/>
      <c r="G1067" s="211" t="s">
        <v>1851</v>
      </c>
      <c r="H1067" s="7"/>
      <c r="I1067" s="7"/>
      <c r="J1067" s="7"/>
      <c r="K1067" s="7"/>
      <c r="L1067" s="7"/>
      <c r="M1067" s="7"/>
      <c r="N1067" s="7"/>
      <c r="O1067" s="7"/>
      <c r="P1067" s="7"/>
    </row>
    <row r="1068" spans="1:16" customFormat="1" ht="14.25" customHeight="1">
      <c r="A1068" s="116" t="s">
        <v>3099</v>
      </c>
      <c r="B1068" s="9">
        <v>17</v>
      </c>
      <c r="C1068" s="1" t="s">
        <v>1852</v>
      </c>
      <c r="D1068" s="184">
        <v>3</v>
      </c>
      <c r="E1068" s="6">
        <v>0.6</v>
      </c>
      <c r="F1068" s="7"/>
      <c r="G1068" s="7"/>
      <c r="H1068" s="7"/>
      <c r="I1068" s="7"/>
      <c r="J1068" s="7"/>
      <c r="K1068" s="7"/>
      <c r="L1068" s="7"/>
      <c r="M1068" s="7"/>
      <c r="N1068" s="7"/>
      <c r="O1068" s="7"/>
      <c r="P1068" s="7"/>
    </row>
    <row r="1069" spans="1:16" customFormat="1" ht="14.25" customHeight="1">
      <c r="A1069" s="116" t="s">
        <v>3100</v>
      </c>
      <c r="B1069" s="9">
        <v>17</v>
      </c>
      <c r="C1069" s="1" t="s">
        <v>1853</v>
      </c>
      <c r="D1069" s="184">
        <v>3</v>
      </c>
      <c r="E1069" s="6">
        <v>0.6</v>
      </c>
      <c r="F1069" s="7"/>
      <c r="G1069" s="7"/>
      <c r="H1069" s="7"/>
      <c r="I1069" s="7"/>
      <c r="J1069" s="7"/>
      <c r="K1069" s="7"/>
      <c r="L1069" s="7"/>
      <c r="M1069" s="7"/>
      <c r="N1069" s="7"/>
      <c r="O1069" s="7"/>
      <c r="P1069" s="7"/>
    </row>
    <row r="1070" spans="1:16" customFormat="1" ht="14.25" customHeight="1">
      <c r="A1070" s="116" t="s">
        <v>3127</v>
      </c>
      <c r="B1070" s="9">
        <v>17</v>
      </c>
      <c r="C1070" s="1" t="s">
        <v>1854</v>
      </c>
      <c r="D1070" s="184">
        <v>3</v>
      </c>
      <c r="E1070" s="6">
        <v>0.6</v>
      </c>
      <c r="F1070" s="7"/>
      <c r="G1070" s="7"/>
      <c r="H1070" s="7"/>
      <c r="I1070" s="7"/>
      <c r="J1070" s="7"/>
      <c r="K1070" s="7"/>
      <c r="L1070" s="7"/>
      <c r="M1070" s="7"/>
      <c r="N1070" s="7"/>
      <c r="O1070" s="7"/>
      <c r="P1070" s="4"/>
    </row>
    <row r="1071" spans="1:16" customFormat="1" ht="14.25" customHeight="1">
      <c r="A1071" s="116" t="s">
        <v>3101</v>
      </c>
      <c r="B1071" s="9">
        <v>17</v>
      </c>
      <c r="C1071" s="1" t="s">
        <v>1855</v>
      </c>
      <c r="D1071" s="184">
        <v>3</v>
      </c>
      <c r="E1071" s="6">
        <v>0.6</v>
      </c>
      <c r="F1071" s="7"/>
      <c r="G1071" s="7"/>
      <c r="H1071" s="7"/>
      <c r="I1071" s="7"/>
      <c r="J1071" s="7"/>
      <c r="K1071" s="7"/>
      <c r="L1071" s="7"/>
      <c r="M1071" s="7"/>
      <c r="N1071" s="7"/>
      <c r="O1071" s="7"/>
      <c r="P1071" s="7"/>
    </row>
    <row r="1072" spans="1:16" customFormat="1" ht="14.25" customHeight="1">
      <c r="A1072" s="116" t="s">
        <v>3102</v>
      </c>
      <c r="B1072" s="9">
        <v>32</v>
      </c>
      <c r="C1072" s="211" t="s">
        <v>1856</v>
      </c>
      <c r="D1072" s="184">
        <v>3</v>
      </c>
      <c r="E1072" s="6">
        <v>1.75</v>
      </c>
      <c r="F1072" s="7"/>
      <c r="G1072" s="211" t="s">
        <v>1856</v>
      </c>
      <c r="H1072" s="7"/>
      <c r="I1072" s="7"/>
      <c r="J1072" s="7"/>
      <c r="K1072" s="7"/>
      <c r="L1072" s="7"/>
      <c r="M1072" s="7"/>
      <c r="N1072" s="7"/>
      <c r="O1072" s="7"/>
      <c r="P1072" s="7"/>
    </row>
    <row r="1073" spans="1:16" customFormat="1" ht="14.25" customHeight="1">
      <c r="A1073" s="116" t="s">
        <v>3103</v>
      </c>
      <c r="B1073" s="9">
        <v>32</v>
      </c>
      <c r="C1073" s="1" t="s">
        <v>1857</v>
      </c>
      <c r="D1073" s="184">
        <v>3</v>
      </c>
      <c r="E1073" s="6">
        <v>1.75</v>
      </c>
      <c r="F1073" s="7"/>
      <c r="G1073" s="7"/>
      <c r="H1073" s="7"/>
      <c r="I1073" s="7"/>
      <c r="J1073" s="7"/>
      <c r="K1073" s="7"/>
      <c r="L1073" s="7"/>
      <c r="M1073" s="7"/>
      <c r="N1073" s="7"/>
      <c r="O1073" s="7"/>
      <c r="P1073" s="7"/>
    </row>
    <row r="1074" spans="1:16" customFormat="1" ht="14.25" customHeight="1">
      <c r="A1074" s="116" t="s">
        <v>3104</v>
      </c>
      <c r="B1074" s="9">
        <v>32</v>
      </c>
      <c r="C1074" s="1" t="s">
        <v>1858</v>
      </c>
      <c r="D1074" s="184">
        <v>3</v>
      </c>
      <c r="E1074" s="6">
        <v>1.75</v>
      </c>
      <c r="F1074" s="7"/>
      <c r="G1074" s="7"/>
      <c r="H1074" s="7"/>
      <c r="I1074" s="7"/>
      <c r="J1074" s="7"/>
      <c r="K1074" s="7"/>
      <c r="L1074" s="7"/>
      <c r="M1074" s="7"/>
      <c r="N1074" s="7"/>
      <c r="O1074" s="7"/>
      <c r="P1074" s="7"/>
    </row>
    <row r="1075" spans="1:16" customFormat="1" ht="14.25" customHeight="1">
      <c r="A1075" s="116" t="s">
        <v>3105</v>
      </c>
      <c r="B1075" s="9">
        <v>32</v>
      </c>
      <c r="C1075" s="1" t="s">
        <v>1859</v>
      </c>
      <c r="D1075" s="184">
        <v>3</v>
      </c>
      <c r="E1075" s="6">
        <v>1.75</v>
      </c>
      <c r="F1075" s="7"/>
      <c r="G1075" s="7"/>
      <c r="H1075" s="7"/>
      <c r="I1075" s="7"/>
      <c r="J1075" s="7"/>
      <c r="K1075" s="7"/>
      <c r="L1075" s="7"/>
      <c r="M1075" s="7"/>
      <c r="N1075" s="7"/>
      <c r="O1075" s="7"/>
      <c r="P1075" s="7"/>
    </row>
    <row r="1076" spans="1:16" customFormat="1" ht="14.25" customHeight="1">
      <c r="A1076" s="116" t="s">
        <v>3106</v>
      </c>
      <c r="B1076" s="9">
        <v>30</v>
      </c>
      <c r="C1076" s="1" t="s">
        <v>1861</v>
      </c>
      <c r="D1076" s="184">
        <v>5</v>
      </c>
      <c r="E1076" s="6">
        <v>1</v>
      </c>
      <c r="F1076" s="7"/>
      <c r="G1076" s="7"/>
      <c r="H1076" s="7"/>
      <c r="I1076" s="7"/>
      <c r="J1076" s="7"/>
      <c r="K1076" s="7"/>
      <c r="L1076" s="7"/>
      <c r="M1076" s="7"/>
      <c r="N1076" s="7"/>
      <c r="O1076" s="7"/>
      <c r="P1076" s="4"/>
    </row>
    <row r="1077" spans="1:16" customFormat="1" ht="14.25" customHeight="1">
      <c r="A1077" s="116" t="s">
        <v>3126</v>
      </c>
      <c r="B1077" s="9">
        <v>24.4</v>
      </c>
      <c r="C1077" s="211" t="s">
        <v>1860</v>
      </c>
      <c r="D1077" s="184">
        <v>20</v>
      </c>
      <c r="E1077" s="6">
        <v>0.6</v>
      </c>
      <c r="F1077" s="7"/>
      <c r="G1077" s="211" t="s">
        <v>1860</v>
      </c>
      <c r="H1077" s="7"/>
      <c r="I1077" s="7"/>
      <c r="J1077" s="7"/>
      <c r="K1077" s="7"/>
      <c r="L1077" s="7"/>
      <c r="M1077" s="7"/>
      <c r="N1077" s="7"/>
      <c r="O1077" s="7"/>
      <c r="P1077" s="7"/>
    </row>
    <row r="1078" spans="1:16" customFormat="1" ht="14.25" customHeight="1">
      <c r="A1078" s="116" t="s">
        <v>3107</v>
      </c>
      <c r="B1078" s="9">
        <v>26</v>
      </c>
      <c r="C1078" s="1" t="s">
        <v>1862</v>
      </c>
      <c r="D1078" s="184">
        <v>10</v>
      </c>
      <c r="E1078" s="6">
        <v>0.6</v>
      </c>
      <c r="F1078" s="7"/>
      <c r="G1078" s="7"/>
      <c r="H1078" s="7"/>
      <c r="I1078" s="7"/>
      <c r="J1078" s="7"/>
      <c r="K1078" s="7"/>
      <c r="L1078" s="7"/>
      <c r="M1078" s="7"/>
      <c r="N1078" s="7"/>
      <c r="O1078" s="7"/>
      <c r="P1078" s="7"/>
    </row>
    <row r="1079" spans="1:16" customFormat="1" ht="14.25" customHeight="1">
      <c r="A1079" s="116" t="s">
        <v>3108</v>
      </c>
      <c r="B1079" s="9">
        <v>26.9</v>
      </c>
      <c r="C1079" s="1" t="s">
        <v>1863</v>
      </c>
      <c r="D1079" s="184">
        <v>10</v>
      </c>
      <c r="E1079" s="6">
        <v>0.6</v>
      </c>
      <c r="F1079" s="7"/>
      <c r="G1079" s="7"/>
      <c r="H1079" s="7"/>
      <c r="I1079" s="7"/>
      <c r="J1079" s="7"/>
      <c r="K1079" s="7"/>
      <c r="L1079" s="7"/>
      <c r="M1079" s="7"/>
      <c r="N1079" s="7"/>
      <c r="O1079" s="7"/>
      <c r="P1079" s="7"/>
    </row>
    <row r="1080" spans="1:16" customFormat="1" ht="14.25" customHeight="1">
      <c r="A1080" s="116" t="s">
        <v>3109</v>
      </c>
      <c r="B1080" s="9">
        <v>25.2</v>
      </c>
      <c r="C1080" s="1" t="s">
        <v>1864</v>
      </c>
      <c r="D1080" s="184">
        <v>10</v>
      </c>
      <c r="E1080" s="6">
        <v>0.6</v>
      </c>
      <c r="F1080" s="7"/>
      <c r="G1080" s="7"/>
      <c r="H1080" s="7"/>
      <c r="I1080" s="7"/>
      <c r="J1080" s="7"/>
      <c r="K1080" s="7"/>
      <c r="L1080" s="7"/>
      <c r="M1080" s="7"/>
      <c r="N1080" s="7"/>
      <c r="O1080" s="7"/>
      <c r="P1080" s="7"/>
    </row>
    <row r="1081" spans="1:16" customFormat="1" ht="14.25" customHeight="1">
      <c r="A1081" s="116" t="s">
        <v>3110</v>
      </c>
      <c r="B1081" s="9">
        <v>19.3</v>
      </c>
      <c r="C1081" s="211" t="s">
        <v>1865</v>
      </c>
      <c r="D1081" s="184">
        <v>5</v>
      </c>
      <c r="E1081" s="6">
        <v>1.1000000000000001</v>
      </c>
      <c r="F1081" s="7"/>
      <c r="G1081" s="211" t="s">
        <v>1865</v>
      </c>
      <c r="H1081" s="7"/>
      <c r="I1081" s="7"/>
      <c r="J1081" s="7"/>
      <c r="K1081" s="7"/>
      <c r="L1081" s="7"/>
      <c r="M1081" s="7"/>
      <c r="N1081" s="7"/>
      <c r="O1081" s="7"/>
      <c r="P1081" s="4"/>
    </row>
    <row r="1082" spans="1:16"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row>
    <row r="1083" spans="1:16" customFormat="1" ht="14.25" customHeight="1">
      <c r="A1083" s="116" t="s">
        <v>3112</v>
      </c>
      <c r="B1083" s="9">
        <v>57</v>
      </c>
      <c r="C1083" s="1" t="s">
        <v>1867</v>
      </c>
      <c r="D1083" s="184">
        <v>20</v>
      </c>
      <c r="E1083" s="6">
        <v>1.2</v>
      </c>
      <c r="F1083" s="7"/>
      <c r="G1083" s="7"/>
      <c r="H1083" s="7"/>
      <c r="I1083" s="7"/>
      <c r="J1083" s="7"/>
      <c r="K1083" s="7"/>
      <c r="L1083" s="7"/>
      <c r="M1083" s="7"/>
      <c r="N1083" s="7"/>
      <c r="O1083" s="7"/>
      <c r="P1083" s="4"/>
    </row>
    <row r="1084" spans="1:16" customFormat="1" ht="14.25" customHeight="1">
      <c r="A1084" s="148" t="s">
        <v>3362</v>
      </c>
      <c r="B1084" s="9">
        <v>12.5</v>
      </c>
      <c r="C1084" s="212" t="s">
        <v>5924</v>
      </c>
      <c r="D1084" s="183">
        <v>5</v>
      </c>
      <c r="E1084" s="7">
        <v>0.45</v>
      </c>
      <c r="F1084" s="7"/>
      <c r="G1084" s="212" t="s">
        <v>5924</v>
      </c>
      <c r="H1084" s="7"/>
      <c r="I1084" s="7"/>
      <c r="J1084" s="7"/>
      <c r="K1084" s="7"/>
      <c r="L1084" s="7"/>
      <c r="M1084" s="7"/>
      <c r="N1084" s="7"/>
      <c r="O1084" s="7"/>
      <c r="P1084" s="7"/>
    </row>
    <row r="1085" spans="1:16"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row>
    <row r="1086" spans="1:16" customFormat="1" ht="14.25" customHeight="1">
      <c r="A1086" s="148" t="s">
        <v>3358</v>
      </c>
      <c r="B1086" s="9">
        <v>18.600000000000001</v>
      </c>
      <c r="C1086" s="212" t="s">
        <v>5926</v>
      </c>
      <c r="D1086" s="183">
        <v>3</v>
      </c>
      <c r="E1086" s="7">
        <v>0.95</v>
      </c>
      <c r="F1086" s="7"/>
      <c r="G1086" s="212" t="s">
        <v>5926</v>
      </c>
      <c r="H1086" s="7"/>
      <c r="I1086" s="7"/>
      <c r="J1086" s="7"/>
      <c r="K1086" s="7"/>
      <c r="L1086" s="7"/>
      <c r="M1086" s="7"/>
      <c r="N1086" s="7"/>
      <c r="O1086" s="7"/>
      <c r="P1086" s="7"/>
    </row>
    <row r="1087" spans="1:16"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row>
    <row r="1088" spans="1:16" customFormat="1" ht="14.25" customHeight="1">
      <c r="A1088" s="116" t="s">
        <v>2822</v>
      </c>
      <c r="B1088" s="9">
        <v>23</v>
      </c>
      <c r="C1088" s="211" t="s">
        <v>1187</v>
      </c>
      <c r="D1088" s="183">
        <v>6</v>
      </c>
      <c r="E1088" s="7">
        <v>3</v>
      </c>
      <c r="F1088" s="7"/>
      <c r="G1088" s="211" t="s">
        <v>1187</v>
      </c>
      <c r="H1088" s="7"/>
      <c r="I1088" s="7"/>
      <c r="J1088" s="7"/>
      <c r="K1088" s="7"/>
      <c r="L1088" s="7"/>
      <c r="M1088" s="7"/>
      <c r="N1088" s="7"/>
      <c r="O1088" s="7"/>
      <c r="P1088" s="7"/>
    </row>
    <row r="1089" spans="1:16" customFormat="1" ht="14.25" customHeight="1">
      <c r="A1089" s="116" t="s">
        <v>2823</v>
      </c>
      <c r="B1089" s="9">
        <v>23</v>
      </c>
      <c r="C1089" s="7" t="s">
        <v>1188</v>
      </c>
      <c r="D1089" s="183">
        <v>5</v>
      </c>
      <c r="E1089" s="7">
        <v>3</v>
      </c>
      <c r="F1089" s="7"/>
      <c r="G1089" s="7"/>
      <c r="H1089" s="7"/>
      <c r="I1089" s="7"/>
      <c r="J1089" s="7"/>
      <c r="K1089" s="7"/>
      <c r="L1089" s="7"/>
      <c r="M1089" s="7"/>
      <c r="N1089" s="7"/>
      <c r="O1089" s="7"/>
      <c r="P1089" s="7"/>
    </row>
    <row r="1090" spans="1:16" customFormat="1" ht="14.25" customHeight="1">
      <c r="A1090" s="116" t="s">
        <v>2824</v>
      </c>
      <c r="B1090" s="9">
        <v>23</v>
      </c>
      <c r="C1090" s="7" t="s">
        <v>1189</v>
      </c>
      <c r="D1090" s="183">
        <v>5</v>
      </c>
      <c r="E1090" s="7">
        <v>3</v>
      </c>
      <c r="F1090" s="7"/>
      <c r="G1090" s="7"/>
      <c r="H1090" s="7"/>
      <c r="I1090" s="7"/>
      <c r="J1090" s="7"/>
      <c r="K1090" s="7"/>
      <c r="L1090" s="7"/>
      <c r="M1090" s="7"/>
      <c r="N1090" s="7"/>
      <c r="O1090" s="7"/>
      <c r="P1090" s="7"/>
    </row>
    <row r="1091" spans="1:16" customFormat="1" ht="14.25" customHeight="1">
      <c r="A1091" s="116" t="s">
        <v>2825</v>
      </c>
      <c r="B1091" s="9">
        <v>23</v>
      </c>
      <c r="C1091" s="7" t="s">
        <v>1190</v>
      </c>
      <c r="D1091" s="183">
        <v>5</v>
      </c>
      <c r="E1091" s="7">
        <v>3</v>
      </c>
      <c r="F1091" s="7"/>
      <c r="G1091" s="7"/>
      <c r="H1091" s="7"/>
      <c r="I1091" s="7"/>
      <c r="J1091" s="7"/>
      <c r="K1091" s="7"/>
      <c r="L1091" s="7"/>
      <c r="M1091" s="7"/>
      <c r="N1091" s="7"/>
      <c r="O1091" s="7"/>
      <c r="P1091" s="7"/>
    </row>
    <row r="1092" spans="1:16" customFormat="1" ht="14.25" customHeight="1">
      <c r="A1092" s="116" t="s">
        <v>2826</v>
      </c>
      <c r="B1092" s="9">
        <v>23</v>
      </c>
      <c r="C1092" s="7" t="s">
        <v>1192</v>
      </c>
      <c r="D1092" s="183">
        <v>3</v>
      </c>
      <c r="E1092" s="7">
        <v>3</v>
      </c>
      <c r="F1092" s="7"/>
      <c r="G1092" s="7"/>
      <c r="H1092" s="7"/>
      <c r="I1092" s="7"/>
      <c r="J1092" s="7"/>
      <c r="K1092" s="7"/>
      <c r="L1092" s="7"/>
      <c r="M1092" s="7"/>
      <c r="N1092" s="7"/>
      <c r="O1092" s="7"/>
      <c r="P1092" s="7"/>
    </row>
    <row r="1093" spans="1:16" customFormat="1" ht="14.25" customHeight="1">
      <c r="A1093" s="116" t="s">
        <v>2827</v>
      </c>
      <c r="B1093" s="9">
        <v>23</v>
      </c>
      <c r="C1093" s="7" t="s">
        <v>1191</v>
      </c>
      <c r="D1093" s="183">
        <v>3</v>
      </c>
      <c r="E1093" s="7">
        <v>3</v>
      </c>
      <c r="F1093" s="7"/>
      <c r="G1093" s="7"/>
      <c r="H1093" s="7"/>
      <c r="I1093" s="7"/>
      <c r="J1093" s="7"/>
      <c r="K1093" s="7"/>
      <c r="L1093" s="7"/>
      <c r="M1093" s="7"/>
      <c r="N1093" s="7"/>
      <c r="O1093" s="7"/>
      <c r="P1093" s="7"/>
    </row>
    <row r="1094" spans="1:16" customFormat="1" ht="14.25" customHeight="1">
      <c r="A1094" s="116" t="s">
        <v>2828</v>
      </c>
      <c r="B1094" s="9">
        <v>22</v>
      </c>
      <c r="C1094" s="211" t="s">
        <v>1193</v>
      </c>
      <c r="D1094" s="183">
        <v>3</v>
      </c>
      <c r="E1094" s="7">
        <v>1.7</v>
      </c>
      <c r="F1094" s="7"/>
      <c r="G1094" s="211" t="s">
        <v>1193</v>
      </c>
      <c r="H1094" s="7"/>
      <c r="I1094" s="7"/>
      <c r="J1094" s="7"/>
      <c r="K1094" s="7"/>
      <c r="L1094" s="7"/>
      <c r="M1094" s="7"/>
      <c r="N1094" s="7"/>
      <c r="O1094" s="7"/>
      <c r="P1094" s="7"/>
    </row>
    <row r="1095" spans="1:16" customFormat="1" ht="14.25" customHeight="1">
      <c r="A1095" s="116" t="s">
        <v>2829</v>
      </c>
      <c r="B1095" s="9">
        <v>22</v>
      </c>
      <c r="C1095" s="7" t="s">
        <v>1194</v>
      </c>
      <c r="D1095" s="183">
        <v>3</v>
      </c>
      <c r="E1095" s="7">
        <v>1.7</v>
      </c>
      <c r="F1095" s="7"/>
      <c r="G1095" s="7"/>
      <c r="H1095" s="7"/>
      <c r="I1095" s="7"/>
      <c r="J1095" s="7"/>
      <c r="K1095" s="7"/>
      <c r="L1095" s="7"/>
      <c r="M1095" s="7"/>
      <c r="N1095" s="7"/>
      <c r="O1095" s="7"/>
      <c r="P1095" s="7"/>
    </row>
    <row r="1096" spans="1:16" customFormat="1" ht="14.25" customHeight="1">
      <c r="A1096" s="116" t="s">
        <v>2830</v>
      </c>
      <c r="B1096" s="9">
        <v>22</v>
      </c>
      <c r="C1096" s="7" t="s">
        <v>1195</v>
      </c>
      <c r="D1096" s="183">
        <v>3</v>
      </c>
      <c r="E1096" s="7">
        <v>1.7</v>
      </c>
      <c r="F1096" s="7"/>
      <c r="G1096" s="7"/>
      <c r="H1096" s="7"/>
      <c r="I1096" s="7"/>
      <c r="J1096" s="7"/>
      <c r="K1096" s="7"/>
      <c r="L1096" s="7"/>
      <c r="M1096" s="7"/>
      <c r="N1096" s="7"/>
      <c r="O1096" s="7"/>
      <c r="P1096" s="4"/>
    </row>
    <row r="1097" spans="1:16" customFormat="1" ht="14.25" customHeight="1">
      <c r="A1097" s="116" t="s">
        <v>2831</v>
      </c>
      <c r="B1097" s="9">
        <v>22</v>
      </c>
      <c r="C1097" s="7" t="s">
        <v>1196</v>
      </c>
      <c r="D1097" s="183">
        <v>3</v>
      </c>
      <c r="E1097" s="7">
        <v>1.7</v>
      </c>
      <c r="F1097" s="7"/>
      <c r="G1097" s="7"/>
      <c r="H1097" s="7"/>
      <c r="I1097" s="7"/>
      <c r="J1097" s="7"/>
      <c r="K1097" s="7"/>
      <c r="L1097" s="7"/>
      <c r="M1097" s="7"/>
      <c r="N1097" s="7"/>
      <c r="O1097" s="7"/>
      <c r="P1097" s="7"/>
    </row>
    <row r="1098" spans="1:16" customFormat="1" ht="14.25" customHeight="1">
      <c r="A1098" s="116" t="s">
        <v>2832</v>
      </c>
      <c r="B1098" s="9">
        <v>22</v>
      </c>
      <c r="C1098" s="7" t="s">
        <v>1197</v>
      </c>
      <c r="D1098" s="183">
        <v>3</v>
      </c>
      <c r="E1098" s="7">
        <v>1.7</v>
      </c>
      <c r="F1098" s="7"/>
      <c r="G1098" s="7"/>
      <c r="H1098" s="7"/>
      <c r="I1098" s="7"/>
      <c r="J1098" s="7"/>
      <c r="K1098" s="7"/>
      <c r="L1098" s="7"/>
      <c r="M1098" s="7"/>
      <c r="N1098" s="7"/>
      <c r="O1098" s="7"/>
      <c r="P1098" s="7"/>
    </row>
    <row r="1099" spans="1:16" customFormat="1" ht="14.25" customHeight="1">
      <c r="A1099" s="116" t="s">
        <v>2833</v>
      </c>
      <c r="B1099" s="9">
        <v>22</v>
      </c>
      <c r="C1099" s="7" t="s">
        <v>1198</v>
      </c>
      <c r="D1099" s="183">
        <v>2</v>
      </c>
      <c r="E1099" s="7">
        <v>1.7</v>
      </c>
      <c r="F1099" s="7"/>
      <c r="G1099" s="7"/>
      <c r="H1099" s="7"/>
      <c r="I1099" s="7"/>
      <c r="J1099" s="7"/>
      <c r="K1099" s="7"/>
      <c r="L1099" s="7"/>
      <c r="M1099" s="7"/>
      <c r="N1099" s="7"/>
      <c r="O1099" s="7"/>
      <c r="P1099" s="7"/>
    </row>
    <row r="1100" spans="1:16" customFormat="1" ht="14.25" customHeight="1">
      <c r="A1100" s="116" t="s">
        <v>2834</v>
      </c>
      <c r="B1100" s="9">
        <v>22</v>
      </c>
      <c r="C1100" s="7" t="s">
        <v>1199</v>
      </c>
      <c r="D1100" s="183">
        <v>2</v>
      </c>
      <c r="E1100" s="7">
        <v>1.7</v>
      </c>
      <c r="F1100" s="7"/>
      <c r="G1100" s="7"/>
      <c r="H1100" s="7"/>
      <c r="I1100" s="7"/>
      <c r="J1100" s="7"/>
      <c r="K1100" s="7"/>
      <c r="L1100" s="7"/>
      <c r="M1100" s="7"/>
      <c r="N1100" s="7"/>
      <c r="O1100" s="7"/>
      <c r="P1100" s="7"/>
    </row>
    <row r="1101" spans="1:16" customFormat="1" ht="14.25" customHeight="1">
      <c r="A1101" s="116" t="s">
        <v>2835</v>
      </c>
      <c r="B1101" s="9">
        <v>21</v>
      </c>
      <c r="C1101" s="211" t="s">
        <v>1206</v>
      </c>
      <c r="D1101" s="183">
        <v>3</v>
      </c>
      <c r="E1101" s="7">
        <v>1.7</v>
      </c>
      <c r="F1101" s="7"/>
      <c r="G1101" s="211" t="s">
        <v>1206</v>
      </c>
      <c r="H1101" s="7"/>
      <c r="I1101" s="7"/>
      <c r="J1101" s="7"/>
      <c r="K1101" s="7"/>
      <c r="L1101" s="7"/>
      <c r="M1101" s="7"/>
      <c r="N1101" s="7"/>
      <c r="O1101" s="7"/>
      <c r="P1101" s="7"/>
    </row>
    <row r="1102" spans="1:16" customFormat="1" ht="14.25" customHeight="1">
      <c r="A1102" s="116" t="s">
        <v>2836</v>
      </c>
      <c r="B1102" s="9">
        <v>21</v>
      </c>
      <c r="C1102" s="7" t="s">
        <v>1200</v>
      </c>
      <c r="D1102" s="183">
        <v>3</v>
      </c>
      <c r="E1102" s="7">
        <v>1.7</v>
      </c>
      <c r="F1102" s="7"/>
      <c r="G1102" s="7"/>
      <c r="H1102" s="7"/>
      <c r="I1102" s="7"/>
      <c r="J1102" s="7"/>
      <c r="K1102" s="7"/>
      <c r="L1102" s="7"/>
      <c r="M1102" s="7"/>
      <c r="N1102" s="7"/>
      <c r="O1102" s="7"/>
      <c r="P1102" s="7"/>
    </row>
    <row r="1103" spans="1:16" customFormat="1" ht="14.25" customHeight="1">
      <c r="A1103" s="116" t="s">
        <v>2837</v>
      </c>
      <c r="B1103" s="9">
        <v>21</v>
      </c>
      <c r="C1103" s="7" t="s">
        <v>1201</v>
      </c>
      <c r="D1103" s="183">
        <v>3</v>
      </c>
      <c r="E1103" s="7">
        <v>1.7</v>
      </c>
      <c r="F1103" s="7"/>
      <c r="G1103" s="7"/>
      <c r="H1103" s="7"/>
      <c r="I1103" s="7"/>
      <c r="J1103" s="7"/>
      <c r="K1103" s="7"/>
      <c r="L1103" s="7"/>
      <c r="M1103" s="7"/>
      <c r="N1103" s="7"/>
      <c r="O1103" s="7"/>
      <c r="P1103" s="7"/>
    </row>
    <row r="1104" spans="1:16" customFormat="1" ht="14.25" customHeight="1">
      <c r="A1104" s="116" t="s">
        <v>2838</v>
      </c>
      <c r="B1104" s="9">
        <v>21</v>
      </c>
      <c r="C1104" s="7" t="s">
        <v>1202</v>
      </c>
      <c r="D1104" s="183">
        <v>3</v>
      </c>
      <c r="E1104" s="7">
        <v>1.7</v>
      </c>
      <c r="F1104" s="7"/>
      <c r="G1104" s="7"/>
      <c r="H1104" s="7"/>
      <c r="I1104" s="7"/>
      <c r="J1104" s="7"/>
      <c r="K1104" s="7"/>
      <c r="L1104" s="7"/>
      <c r="M1104" s="7"/>
      <c r="N1104" s="7"/>
      <c r="O1104" s="7"/>
      <c r="P1104" s="7"/>
    </row>
    <row r="1105" spans="1:16" customFormat="1" ht="14.25" customHeight="1">
      <c r="A1105" s="116" t="s">
        <v>2839</v>
      </c>
      <c r="B1105" s="9">
        <v>21</v>
      </c>
      <c r="C1105" s="7" t="s">
        <v>1203</v>
      </c>
      <c r="D1105" s="183">
        <v>3</v>
      </c>
      <c r="E1105" s="7">
        <v>1.7</v>
      </c>
      <c r="F1105" s="7"/>
      <c r="G1105" s="7"/>
      <c r="H1105" s="7"/>
      <c r="I1105" s="7"/>
      <c r="J1105" s="7"/>
      <c r="K1105" s="7"/>
      <c r="L1105" s="7"/>
      <c r="M1105" s="7"/>
      <c r="N1105" s="7"/>
      <c r="O1105" s="7"/>
      <c r="P1105" s="7"/>
    </row>
    <row r="1106" spans="1:16" customFormat="1" ht="14.25" customHeight="1">
      <c r="A1106" s="116" t="s">
        <v>2840</v>
      </c>
      <c r="B1106" s="9">
        <v>21</v>
      </c>
      <c r="C1106" s="7" t="s">
        <v>1204</v>
      </c>
      <c r="D1106" s="183">
        <v>2</v>
      </c>
      <c r="E1106" s="7">
        <v>1.7</v>
      </c>
      <c r="F1106" s="7"/>
      <c r="G1106" s="7"/>
      <c r="H1106" s="7"/>
      <c r="I1106" s="7"/>
      <c r="J1106" s="7"/>
      <c r="K1106" s="7"/>
      <c r="L1106" s="7"/>
      <c r="M1106" s="7"/>
      <c r="N1106" s="7"/>
      <c r="O1106" s="7"/>
      <c r="P1106" s="7"/>
    </row>
    <row r="1107" spans="1:16" customFormat="1" ht="14.25" customHeight="1">
      <c r="A1107" s="116" t="s">
        <v>2841</v>
      </c>
      <c r="B1107" s="9">
        <v>21</v>
      </c>
      <c r="C1107" s="7" t="s">
        <v>1205</v>
      </c>
      <c r="D1107" s="183">
        <v>2</v>
      </c>
      <c r="E1107" s="7">
        <v>1.7</v>
      </c>
      <c r="F1107" s="7"/>
      <c r="G1107" s="7"/>
      <c r="H1107" s="7"/>
      <c r="I1107" s="7"/>
      <c r="J1107" s="7"/>
      <c r="K1107" s="7"/>
      <c r="L1107" s="7"/>
      <c r="M1107" s="7"/>
      <c r="N1107" s="7"/>
      <c r="O1107" s="7"/>
      <c r="P1107" s="7"/>
    </row>
    <row r="1108" spans="1:16" customFormat="1" ht="14.25" customHeight="1">
      <c r="A1108" s="116" t="s">
        <v>2843</v>
      </c>
      <c r="B1108" s="9">
        <v>17</v>
      </c>
      <c r="C1108" s="211" t="s">
        <v>1668</v>
      </c>
      <c r="D1108" s="183">
        <v>3</v>
      </c>
      <c r="E1108" s="7">
        <v>1.6</v>
      </c>
      <c r="F1108" s="7"/>
      <c r="G1108" s="211" t="s">
        <v>1668</v>
      </c>
      <c r="H1108" s="7"/>
      <c r="I1108" s="7"/>
      <c r="J1108" s="7"/>
      <c r="K1108" s="7"/>
      <c r="L1108" s="7"/>
      <c r="M1108" s="7"/>
      <c r="N1108" s="7"/>
      <c r="O1108" s="7"/>
      <c r="P1108" s="7"/>
    </row>
    <row r="1109" spans="1:16" customFormat="1" ht="14.25" customHeight="1">
      <c r="A1109" s="116" t="s">
        <v>2844</v>
      </c>
      <c r="B1109" s="9">
        <v>17</v>
      </c>
      <c r="C1109" s="7" t="s">
        <v>1219</v>
      </c>
      <c r="D1109" s="183">
        <v>3</v>
      </c>
      <c r="E1109" s="7">
        <v>1.6</v>
      </c>
      <c r="F1109" s="7"/>
      <c r="G1109" s="7"/>
      <c r="H1109" s="7"/>
      <c r="I1109" s="7"/>
      <c r="J1109" s="7"/>
      <c r="K1109" s="7"/>
      <c r="L1109" s="7"/>
      <c r="M1109" s="7"/>
      <c r="N1109" s="7"/>
      <c r="O1109" s="7"/>
      <c r="P1109" s="7"/>
    </row>
    <row r="1110" spans="1:16" customFormat="1" ht="14.25" customHeight="1">
      <c r="A1110" s="116" t="s">
        <v>2845</v>
      </c>
      <c r="B1110" s="9">
        <v>17</v>
      </c>
      <c r="C1110" s="7" t="s">
        <v>1220</v>
      </c>
      <c r="D1110" s="183">
        <v>3</v>
      </c>
      <c r="E1110" s="7">
        <v>1.6</v>
      </c>
      <c r="F1110" s="7"/>
      <c r="G1110" s="7"/>
      <c r="H1110" s="7"/>
      <c r="I1110" s="7"/>
      <c r="J1110" s="7"/>
      <c r="K1110" s="7"/>
      <c r="L1110" s="7"/>
      <c r="M1110" s="7"/>
      <c r="N1110" s="7"/>
      <c r="O1110" s="7"/>
      <c r="P1110" s="7"/>
    </row>
    <row r="1111" spans="1:16" customFormat="1" ht="14.25" customHeight="1">
      <c r="A1111" s="116" t="s">
        <v>2846</v>
      </c>
      <c r="B1111" s="9">
        <v>17</v>
      </c>
      <c r="C1111" s="7" t="s">
        <v>1221</v>
      </c>
      <c r="D1111" s="183">
        <v>3</v>
      </c>
      <c r="E1111" s="7">
        <v>1.6</v>
      </c>
      <c r="F1111" s="7"/>
      <c r="G1111" s="7"/>
      <c r="H1111" s="7"/>
      <c r="I1111" s="7"/>
      <c r="J1111" s="7"/>
      <c r="K1111" s="7"/>
      <c r="L1111" s="7"/>
      <c r="M1111" s="7"/>
      <c r="N1111" s="7"/>
      <c r="O1111" s="7"/>
      <c r="P1111" s="7"/>
    </row>
    <row r="1112" spans="1:16" customFormat="1" ht="14.25" customHeight="1">
      <c r="A1112" s="116" t="s">
        <v>2847</v>
      </c>
      <c r="B1112" s="9">
        <v>17</v>
      </c>
      <c r="C1112" s="7" t="s">
        <v>1222</v>
      </c>
      <c r="D1112" s="183">
        <v>3</v>
      </c>
      <c r="E1112" s="7">
        <v>1.6</v>
      </c>
      <c r="F1112" s="7"/>
      <c r="G1112" s="7"/>
      <c r="H1112" s="7"/>
      <c r="I1112" s="7"/>
      <c r="J1112" s="7"/>
      <c r="K1112" s="7"/>
      <c r="L1112" s="7"/>
      <c r="M1112" s="7"/>
      <c r="N1112" s="7"/>
      <c r="O1112" s="7"/>
      <c r="P1112" s="7"/>
    </row>
    <row r="1113" spans="1:16" customFormat="1" ht="14.25" customHeight="1">
      <c r="A1113" s="116" t="s">
        <v>2848</v>
      </c>
      <c r="B1113" s="9">
        <v>17</v>
      </c>
      <c r="C1113" s="7" t="s">
        <v>1223</v>
      </c>
      <c r="D1113" s="183">
        <v>2</v>
      </c>
      <c r="E1113" s="7">
        <v>1.6</v>
      </c>
      <c r="F1113" s="7"/>
      <c r="G1113" s="7"/>
      <c r="H1113" s="7"/>
      <c r="I1113" s="7"/>
      <c r="J1113" s="7"/>
      <c r="K1113" s="7"/>
      <c r="L1113" s="7"/>
      <c r="M1113" s="7"/>
      <c r="N1113" s="7"/>
      <c r="O1113" s="7"/>
      <c r="P1113" s="7"/>
    </row>
    <row r="1114" spans="1:16" customFormat="1" ht="14.25" customHeight="1">
      <c r="A1114" s="116" t="s">
        <v>2849</v>
      </c>
      <c r="B1114" s="9">
        <v>17</v>
      </c>
      <c r="C1114" s="7" t="s">
        <v>1224</v>
      </c>
      <c r="D1114" s="183">
        <v>2</v>
      </c>
      <c r="E1114" s="7">
        <v>1.6</v>
      </c>
      <c r="F1114" s="7"/>
      <c r="G1114" s="7"/>
      <c r="H1114" s="7"/>
      <c r="I1114" s="7"/>
      <c r="J1114" s="7"/>
      <c r="K1114" s="7"/>
      <c r="L1114" s="7"/>
      <c r="M1114" s="7"/>
      <c r="N1114" s="7"/>
      <c r="O1114" s="7"/>
      <c r="P1114" s="7"/>
    </row>
    <row r="1115" spans="1:16" customFormat="1" ht="14.25" customHeight="1">
      <c r="A1115" s="117" t="s">
        <v>2875</v>
      </c>
      <c r="B1115" s="9">
        <v>23.5</v>
      </c>
      <c r="C1115" s="211" t="s">
        <v>1178</v>
      </c>
      <c r="D1115" s="183">
        <v>3</v>
      </c>
      <c r="E1115" s="7">
        <v>1.65</v>
      </c>
      <c r="F1115" s="7"/>
      <c r="G1115" s="211" t="s">
        <v>1178</v>
      </c>
      <c r="H1115" s="7"/>
      <c r="I1115" s="7"/>
      <c r="J1115" s="7"/>
      <c r="K1115" s="7"/>
      <c r="L1115" s="7"/>
      <c r="M1115" s="7"/>
      <c r="N1115" s="7"/>
      <c r="O1115" s="7"/>
      <c r="P1115" s="7"/>
    </row>
    <row r="1116" spans="1:16" customFormat="1" ht="14.25" customHeight="1">
      <c r="A1116" s="117" t="s">
        <v>2876</v>
      </c>
      <c r="B1116" s="9">
        <v>23.5</v>
      </c>
      <c r="C1116" s="7" t="s">
        <v>1180</v>
      </c>
      <c r="D1116" s="183">
        <v>3</v>
      </c>
      <c r="E1116" s="7">
        <v>1.65</v>
      </c>
      <c r="F1116" s="7"/>
      <c r="G1116" s="7"/>
      <c r="H1116" s="7"/>
      <c r="I1116" s="7"/>
      <c r="J1116" s="7"/>
      <c r="K1116" s="7"/>
      <c r="L1116" s="7"/>
      <c r="M1116" s="7"/>
      <c r="N1116" s="7"/>
      <c r="O1116" s="7"/>
      <c r="P1116" s="7"/>
    </row>
    <row r="1117" spans="1:16" customFormat="1" ht="14.25" customHeight="1">
      <c r="A1117" s="117" t="s">
        <v>2877</v>
      </c>
      <c r="B1117" s="9">
        <v>23.8</v>
      </c>
      <c r="C1117" s="7" t="s">
        <v>1179</v>
      </c>
      <c r="D1117" s="183">
        <v>3</v>
      </c>
      <c r="E1117" s="7">
        <v>1.65</v>
      </c>
      <c r="F1117" s="7"/>
      <c r="G1117" s="7"/>
      <c r="H1117" s="7"/>
      <c r="I1117" s="7"/>
      <c r="J1117" s="7"/>
      <c r="K1117" s="7"/>
      <c r="L1117" s="7"/>
      <c r="M1117" s="7"/>
      <c r="N1117" s="7"/>
      <c r="O1117" s="7"/>
      <c r="P1117" s="7"/>
    </row>
    <row r="1118" spans="1:16" customFormat="1" ht="14.25" customHeight="1">
      <c r="A1118" s="117" t="s">
        <v>2878</v>
      </c>
      <c r="B1118" s="9">
        <v>29.4</v>
      </c>
      <c r="C1118" s="7" t="s">
        <v>1181</v>
      </c>
      <c r="D1118" s="183">
        <v>3</v>
      </c>
      <c r="E1118" s="7">
        <v>1.65</v>
      </c>
      <c r="F1118" s="7"/>
      <c r="G1118" s="7"/>
      <c r="H1118" s="7"/>
      <c r="I1118" s="7"/>
      <c r="J1118" s="7"/>
      <c r="K1118" s="7"/>
      <c r="L1118" s="7"/>
      <c r="M1118" s="7"/>
      <c r="N1118" s="7"/>
      <c r="O1118" s="7"/>
      <c r="P1118" s="7"/>
    </row>
    <row r="1119" spans="1:16" customFormat="1" ht="14.25" customHeight="1">
      <c r="A1119" s="117" t="s">
        <v>2879</v>
      </c>
      <c r="B1119" s="9">
        <v>27.2</v>
      </c>
      <c r="C1119" s="7" t="s">
        <v>1182</v>
      </c>
      <c r="D1119" s="183">
        <v>3</v>
      </c>
      <c r="E1119" s="7">
        <v>1.65</v>
      </c>
      <c r="F1119" s="7"/>
      <c r="G1119" s="7"/>
      <c r="H1119" s="7"/>
      <c r="I1119" s="7"/>
      <c r="J1119" s="7"/>
      <c r="K1119" s="7"/>
      <c r="L1119" s="7"/>
      <c r="M1119" s="7"/>
      <c r="N1119" s="7"/>
      <c r="O1119" s="7"/>
      <c r="P1119" s="7"/>
    </row>
    <row r="1120" spans="1:16" customFormat="1" ht="14.25" customHeight="1">
      <c r="A1120" s="117" t="s">
        <v>2880</v>
      </c>
      <c r="B1120" s="9">
        <v>26.5</v>
      </c>
      <c r="C1120" s="7" t="s">
        <v>1183</v>
      </c>
      <c r="D1120" s="183">
        <v>3</v>
      </c>
      <c r="E1120" s="7">
        <v>1.65</v>
      </c>
      <c r="F1120" s="7"/>
      <c r="G1120" s="7"/>
      <c r="H1120" s="7"/>
      <c r="I1120" s="7"/>
      <c r="J1120" s="7"/>
      <c r="K1120" s="7"/>
      <c r="L1120" s="7"/>
      <c r="M1120" s="7"/>
      <c r="N1120" s="7"/>
      <c r="O1120" s="7"/>
      <c r="P1120" s="7"/>
    </row>
    <row r="1121" spans="1:16" customFormat="1" ht="14.25" customHeight="1">
      <c r="A1121" s="117" t="s">
        <v>2881</v>
      </c>
      <c r="B1121" s="9">
        <v>26.8</v>
      </c>
      <c r="C1121" s="7" t="s">
        <v>1184</v>
      </c>
      <c r="D1121" s="183">
        <v>3</v>
      </c>
      <c r="E1121" s="7">
        <v>1.65</v>
      </c>
      <c r="F1121" s="7"/>
      <c r="G1121" s="7"/>
      <c r="H1121" s="7"/>
      <c r="I1121" s="7"/>
      <c r="J1121" s="7"/>
      <c r="K1121" s="7"/>
      <c r="L1121" s="7"/>
      <c r="M1121" s="7"/>
      <c r="N1121" s="7"/>
      <c r="O1121" s="7"/>
      <c r="P1121" s="7"/>
    </row>
    <row r="1122" spans="1:16" customFormat="1" ht="14.25" customHeight="1">
      <c r="A1122" s="117" t="s">
        <v>2882</v>
      </c>
      <c r="B1122" s="9">
        <v>23.3</v>
      </c>
      <c r="C1122" s="7" t="s">
        <v>1185</v>
      </c>
      <c r="D1122" s="183">
        <v>3</v>
      </c>
      <c r="E1122" s="7">
        <v>1.65</v>
      </c>
      <c r="F1122" s="7"/>
      <c r="G1122" s="7"/>
      <c r="H1122" s="7"/>
      <c r="I1122" s="7"/>
      <c r="J1122" s="7"/>
      <c r="K1122" s="7"/>
      <c r="L1122" s="7"/>
      <c r="M1122" s="7"/>
      <c r="N1122" s="7"/>
      <c r="O1122" s="7"/>
      <c r="P1122" s="7"/>
    </row>
    <row r="1123" spans="1:16" customFormat="1" ht="14.25" customHeight="1">
      <c r="A1123" s="117" t="s">
        <v>2884</v>
      </c>
      <c r="B1123" s="9">
        <v>23.6</v>
      </c>
      <c r="C1123" s="1" t="s">
        <v>2883</v>
      </c>
      <c r="D1123" s="183">
        <v>3</v>
      </c>
      <c r="E1123" s="7">
        <v>1.65</v>
      </c>
      <c r="F1123" s="7"/>
      <c r="G1123" s="7"/>
      <c r="H1123" s="7"/>
      <c r="I1123" s="7"/>
      <c r="J1123" s="7"/>
      <c r="K1123" s="7"/>
      <c r="L1123" s="7"/>
      <c r="M1123" s="7"/>
      <c r="N1123" s="7"/>
      <c r="O1123" s="7"/>
      <c r="P1123" s="7"/>
    </row>
    <row r="1124" spans="1:16" customFormat="1" ht="14.25" customHeight="1">
      <c r="A1124" s="193" t="s">
        <v>4167</v>
      </c>
      <c r="B1124" s="9">
        <v>20.6</v>
      </c>
      <c r="C1124" s="211" t="s">
        <v>1146</v>
      </c>
      <c r="D1124" s="183">
        <v>3</v>
      </c>
      <c r="E1124" s="7">
        <v>1.75</v>
      </c>
      <c r="F1124" s="7"/>
      <c r="G1124" s="211" t="s">
        <v>1146</v>
      </c>
      <c r="H1124" s="7"/>
      <c r="I1124" s="7"/>
      <c r="J1124" s="7"/>
      <c r="K1124" s="7"/>
      <c r="L1124" s="7"/>
      <c r="M1124" s="7"/>
      <c r="N1124" s="7"/>
      <c r="O1124" s="7"/>
      <c r="P1124" s="7"/>
    </row>
    <row r="1125" spans="1:16" customFormat="1" ht="14.25" customHeight="1">
      <c r="A1125" s="193" t="s">
        <v>4169</v>
      </c>
      <c r="B1125" s="9">
        <v>19.7</v>
      </c>
      <c r="C1125" s="7" t="s">
        <v>1147</v>
      </c>
      <c r="D1125" s="183">
        <v>3</v>
      </c>
      <c r="E1125" s="7">
        <v>1.75</v>
      </c>
      <c r="F1125" s="7"/>
      <c r="G1125" s="7"/>
      <c r="H1125" s="7"/>
      <c r="I1125" s="7"/>
      <c r="J1125" s="7"/>
      <c r="K1125" s="7"/>
      <c r="L1125" s="7"/>
      <c r="M1125" s="7"/>
      <c r="N1125" s="7"/>
      <c r="O1125" s="7"/>
      <c r="P1125" s="7"/>
    </row>
    <row r="1126" spans="1:16" customFormat="1" ht="14.25" customHeight="1">
      <c r="A1126" s="193" t="s">
        <v>4171</v>
      </c>
      <c r="B1126" s="9">
        <v>19.2</v>
      </c>
      <c r="C1126" s="7" t="s">
        <v>1148</v>
      </c>
      <c r="D1126" s="183">
        <v>3</v>
      </c>
      <c r="E1126" s="7">
        <v>1.75</v>
      </c>
      <c r="F1126" s="7"/>
      <c r="G1126" s="7"/>
      <c r="H1126" s="7"/>
      <c r="I1126" s="7"/>
      <c r="J1126" s="7"/>
      <c r="K1126" s="7"/>
      <c r="L1126" s="7"/>
      <c r="M1126" s="7"/>
      <c r="N1126" s="7"/>
      <c r="O1126" s="7"/>
      <c r="P1126" s="7"/>
    </row>
    <row r="1127" spans="1:16" customFormat="1" ht="14.25" customHeight="1">
      <c r="A1127" s="193" t="s">
        <v>4173</v>
      </c>
      <c r="B1127" s="9">
        <v>19.2</v>
      </c>
      <c r="C1127" s="7" t="s">
        <v>1149</v>
      </c>
      <c r="D1127" s="183">
        <v>3</v>
      </c>
      <c r="E1127" s="7">
        <v>1.75</v>
      </c>
      <c r="F1127" s="7"/>
      <c r="G1127" s="7"/>
      <c r="H1127" s="7"/>
      <c r="I1127" s="7"/>
      <c r="J1127" s="7"/>
      <c r="K1127" s="7"/>
      <c r="L1127" s="7"/>
      <c r="M1127" s="7"/>
      <c r="N1127" s="7"/>
      <c r="O1127" s="7"/>
      <c r="P1127" s="7"/>
    </row>
    <row r="1128" spans="1:16"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row>
    <row r="1129" spans="1:16" customFormat="1" ht="14.25" customHeight="1">
      <c r="A1129" s="193" t="s">
        <v>4177</v>
      </c>
      <c r="B1129" s="9">
        <v>20.8</v>
      </c>
      <c r="C1129" s="7" t="s">
        <v>1145</v>
      </c>
      <c r="D1129" s="183">
        <v>3</v>
      </c>
      <c r="E1129" s="7">
        <v>1.75</v>
      </c>
      <c r="F1129" s="7"/>
      <c r="G1129" s="7"/>
      <c r="H1129" s="7"/>
      <c r="I1129" s="7"/>
      <c r="J1129" s="7"/>
      <c r="K1129" s="7"/>
      <c r="L1129" s="7"/>
      <c r="M1129" s="7"/>
      <c r="N1129" s="7"/>
      <c r="O1129" s="7"/>
      <c r="P1129" s="7"/>
    </row>
    <row r="1130" spans="1:16" customFormat="1" ht="14.25" customHeight="1">
      <c r="A1130" s="193" t="s">
        <v>4179</v>
      </c>
      <c r="B1130" s="9">
        <v>19.8</v>
      </c>
      <c r="C1130" s="7" t="s">
        <v>1151</v>
      </c>
      <c r="D1130" s="183">
        <v>3</v>
      </c>
      <c r="E1130" s="7">
        <v>1.7</v>
      </c>
      <c r="F1130" s="7"/>
      <c r="G1130" s="7"/>
      <c r="H1130" s="7"/>
      <c r="I1130" s="7"/>
      <c r="J1130" s="7"/>
      <c r="K1130" s="7"/>
      <c r="L1130" s="7"/>
      <c r="M1130" s="7"/>
      <c r="N1130" s="7"/>
      <c r="O1130" s="7"/>
      <c r="P1130" s="7"/>
    </row>
    <row r="1131" spans="1:16" customFormat="1" ht="14.25" customHeight="1">
      <c r="A1131" s="193" t="s">
        <v>4181</v>
      </c>
      <c r="B1131" s="9">
        <v>20.8</v>
      </c>
      <c r="C1131" s="7" t="s">
        <v>1152</v>
      </c>
      <c r="D1131" s="183">
        <v>3</v>
      </c>
      <c r="E1131" s="7">
        <v>1.75</v>
      </c>
      <c r="F1131" s="7"/>
      <c r="G1131" s="7"/>
      <c r="H1131" s="7"/>
      <c r="I1131" s="7"/>
      <c r="J1131" s="7"/>
      <c r="K1131" s="7"/>
      <c r="L1131" s="7"/>
      <c r="M1131" s="7"/>
      <c r="N1131" s="7"/>
      <c r="O1131" s="7"/>
      <c r="P1131" s="7"/>
    </row>
    <row r="1132" spans="1:16"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row>
    <row r="1133" spans="1:16"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row>
    <row r="1134" spans="1:16" customFormat="1" ht="14.25" customHeight="1">
      <c r="A1134" s="116" t="s">
        <v>2893</v>
      </c>
      <c r="B1134" s="9">
        <v>31.8</v>
      </c>
      <c r="C1134" s="211" t="s">
        <v>1155</v>
      </c>
      <c r="D1134" s="183">
        <v>3</v>
      </c>
      <c r="E1134" s="7">
        <v>1.25</v>
      </c>
      <c r="F1134" s="7"/>
      <c r="G1134" s="211" t="s">
        <v>1155</v>
      </c>
      <c r="H1134" s="7"/>
      <c r="I1134" s="7"/>
      <c r="J1134" s="7"/>
      <c r="K1134" s="7"/>
      <c r="L1134" s="7"/>
      <c r="M1134" s="7"/>
      <c r="N1134" s="7"/>
      <c r="O1134" s="7"/>
      <c r="P1134" s="7"/>
    </row>
    <row r="1135" spans="1:16" customFormat="1" ht="14.25" customHeight="1">
      <c r="A1135" s="116" t="s">
        <v>2894</v>
      </c>
      <c r="B1135" s="9">
        <v>30.2</v>
      </c>
      <c r="C1135" s="7" t="s">
        <v>1156</v>
      </c>
      <c r="D1135" s="183">
        <v>3</v>
      </c>
      <c r="E1135" s="7">
        <v>1.25</v>
      </c>
      <c r="F1135" s="7"/>
      <c r="G1135" s="7"/>
      <c r="H1135" s="7"/>
      <c r="I1135" s="7"/>
      <c r="J1135" s="7"/>
      <c r="K1135" s="7"/>
      <c r="L1135" s="7"/>
      <c r="M1135" s="7"/>
      <c r="N1135" s="7"/>
      <c r="O1135" s="7"/>
      <c r="P1135" s="7"/>
    </row>
    <row r="1136" spans="1:16" customFormat="1" ht="14.25" customHeight="1">
      <c r="A1136" s="116" t="s">
        <v>2895</v>
      </c>
      <c r="B1136" s="9">
        <v>21.8</v>
      </c>
      <c r="C1136" s="7" t="s">
        <v>1157</v>
      </c>
      <c r="D1136" s="183">
        <v>3</v>
      </c>
      <c r="E1136" s="7">
        <v>1.25</v>
      </c>
      <c r="F1136" s="7"/>
      <c r="G1136" s="7"/>
      <c r="H1136" s="7"/>
      <c r="I1136" s="7"/>
      <c r="J1136" s="7"/>
      <c r="K1136" s="7"/>
      <c r="L1136" s="7"/>
      <c r="M1136" s="7"/>
      <c r="N1136" s="7"/>
      <c r="O1136" s="7"/>
      <c r="P1136" s="7"/>
    </row>
    <row r="1137" spans="1:16" customFormat="1" ht="14.25" customHeight="1">
      <c r="A1137" s="116" t="s">
        <v>2896</v>
      </c>
      <c r="B1137" s="9">
        <v>31.1</v>
      </c>
      <c r="C1137" s="7" t="s">
        <v>1158</v>
      </c>
      <c r="D1137" s="183">
        <v>3</v>
      </c>
      <c r="E1137" s="7">
        <v>1.25</v>
      </c>
      <c r="F1137" s="7"/>
      <c r="G1137" s="7"/>
      <c r="H1137" s="7"/>
      <c r="I1137" s="7"/>
      <c r="J1137" s="7"/>
      <c r="K1137" s="7"/>
      <c r="L1137" s="7"/>
      <c r="M1137" s="7"/>
      <c r="N1137" s="7"/>
      <c r="O1137" s="7"/>
      <c r="P1137" s="7"/>
    </row>
    <row r="1138" spans="1:16" customFormat="1" ht="14.25" customHeight="1">
      <c r="A1138" s="116" t="s">
        <v>2897</v>
      </c>
      <c r="B1138" s="9">
        <v>22.6</v>
      </c>
      <c r="C1138" s="211" t="s">
        <v>1159</v>
      </c>
      <c r="D1138" s="183">
        <v>3</v>
      </c>
      <c r="E1138" s="7">
        <v>2</v>
      </c>
      <c r="F1138" s="7"/>
      <c r="G1138" s="211" t="s">
        <v>1159</v>
      </c>
      <c r="H1138" s="7"/>
      <c r="I1138" s="7"/>
      <c r="J1138" s="7"/>
      <c r="K1138" s="7"/>
      <c r="L1138" s="7"/>
      <c r="M1138" s="7"/>
      <c r="N1138" s="7"/>
      <c r="O1138" s="7"/>
      <c r="P1138" s="7"/>
    </row>
    <row r="1139" spans="1:16" customFormat="1" ht="14.25" customHeight="1">
      <c r="A1139" s="116" t="s">
        <v>2898</v>
      </c>
      <c r="B1139" s="9">
        <v>23.1</v>
      </c>
      <c r="C1139" s="7" t="s">
        <v>1160</v>
      </c>
      <c r="D1139" s="183">
        <v>3</v>
      </c>
      <c r="E1139" s="7">
        <v>2</v>
      </c>
      <c r="F1139" s="7"/>
      <c r="G1139" s="7"/>
      <c r="H1139" s="7"/>
      <c r="I1139" s="7"/>
      <c r="J1139" s="7"/>
      <c r="K1139" s="7"/>
      <c r="L1139" s="7"/>
      <c r="M1139" s="7"/>
      <c r="N1139" s="7"/>
      <c r="O1139" s="7"/>
      <c r="P1139" s="7"/>
    </row>
    <row r="1140" spans="1:16" customFormat="1" ht="14.25" customHeight="1">
      <c r="A1140" s="116" t="s">
        <v>2899</v>
      </c>
      <c r="B1140" s="9">
        <v>22.6</v>
      </c>
      <c r="C1140" s="7" t="s">
        <v>1161</v>
      </c>
      <c r="D1140" s="183">
        <v>3</v>
      </c>
      <c r="E1140" s="7">
        <v>1.9</v>
      </c>
      <c r="F1140" s="7"/>
      <c r="G1140" s="7"/>
      <c r="H1140" s="7"/>
      <c r="I1140" s="7"/>
      <c r="J1140" s="7"/>
      <c r="K1140" s="7"/>
      <c r="L1140" s="7"/>
      <c r="M1140" s="7"/>
      <c r="N1140" s="7"/>
      <c r="O1140" s="7"/>
      <c r="P1140" s="7"/>
    </row>
    <row r="1141" spans="1:16" customFormat="1" ht="14.25" customHeight="1">
      <c r="A1141" s="116" t="s">
        <v>2861</v>
      </c>
      <c r="B1141" s="9">
        <v>22.5</v>
      </c>
      <c r="C1141" s="211" t="s">
        <v>1232</v>
      </c>
      <c r="D1141" s="183">
        <v>3</v>
      </c>
      <c r="E1141" s="7">
        <v>1.3</v>
      </c>
      <c r="F1141" s="7"/>
      <c r="G1141" s="211" t="s">
        <v>1232</v>
      </c>
      <c r="H1141" s="7"/>
      <c r="I1141" s="7"/>
      <c r="J1141" s="7"/>
      <c r="K1141" s="7"/>
      <c r="L1141" s="7"/>
      <c r="M1141" s="7"/>
      <c r="N1141" s="7"/>
      <c r="O1141" s="7"/>
      <c r="P1141" s="7"/>
    </row>
    <row r="1142" spans="1:16" customFormat="1" ht="14.25" customHeight="1">
      <c r="A1142" s="116" t="s">
        <v>2862</v>
      </c>
      <c r="B1142" s="9">
        <v>19.8</v>
      </c>
      <c r="C1142" s="7" t="s">
        <v>1164</v>
      </c>
      <c r="D1142" s="183">
        <v>3</v>
      </c>
      <c r="E1142" s="7">
        <v>1.3</v>
      </c>
      <c r="F1142" s="7"/>
      <c r="G1142" s="7"/>
      <c r="H1142" s="7"/>
      <c r="I1142" s="7"/>
      <c r="J1142" s="7"/>
      <c r="K1142" s="7"/>
      <c r="L1142" s="7"/>
      <c r="M1142" s="7"/>
      <c r="N1142" s="7"/>
      <c r="O1142" s="7"/>
      <c r="P1142" s="7"/>
    </row>
    <row r="1143" spans="1:16" customFormat="1" ht="14.25" customHeight="1">
      <c r="A1143" s="116" t="s">
        <v>2863</v>
      </c>
      <c r="B1143" s="9">
        <v>19.8</v>
      </c>
      <c r="C1143" s="7" t="s">
        <v>1362</v>
      </c>
      <c r="D1143" s="183">
        <v>3</v>
      </c>
      <c r="E1143" s="7">
        <v>1.3</v>
      </c>
      <c r="F1143" s="7"/>
      <c r="G1143" s="7"/>
      <c r="H1143" s="7"/>
      <c r="I1143" s="7"/>
      <c r="J1143" s="7"/>
      <c r="K1143" s="7"/>
      <c r="L1143" s="7"/>
      <c r="M1143" s="7"/>
      <c r="N1143" s="7"/>
      <c r="O1143" s="7"/>
      <c r="P1143" s="7"/>
    </row>
    <row r="1144" spans="1:16" customFormat="1" ht="14.25" customHeight="1">
      <c r="A1144" s="116" t="s">
        <v>2864</v>
      </c>
      <c r="B1144" s="9">
        <v>22.6</v>
      </c>
      <c r="C1144" s="211" t="s">
        <v>1175</v>
      </c>
      <c r="D1144" s="183">
        <v>3</v>
      </c>
      <c r="E1144" s="7">
        <v>1.8</v>
      </c>
      <c r="F1144" s="7"/>
      <c r="G1144" s="211" t="s">
        <v>1175</v>
      </c>
      <c r="H1144" s="7"/>
      <c r="I1144" s="7"/>
      <c r="J1144" s="7"/>
      <c r="K1144" s="7"/>
      <c r="L1144" s="7"/>
      <c r="M1144" s="7"/>
      <c r="N1144" s="7"/>
      <c r="O1144" s="7"/>
      <c r="P1144" s="7"/>
    </row>
    <row r="1145" spans="1:16" customFormat="1" ht="14.25" customHeight="1">
      <c r="A1145" s="116" t="s">
        <v>2865</v>
      </c>
      <c r="B1145" s="9">
        <v>22.9</v>
      </c>
      <c r="C1145" s="7" t="s">
        <v>1176</v>
      </c>
      <c r="D1145" s="183">
        <v>3</v>
      </c>
      <c r="E1145" s="7">
        <v>1.8</v>
      </c>
      <c r="F1145" s="7"/>
      <c r="G1145" s="7"/>
      <c r="H1145" s="7"/>
      <c r="I1145" s="7"/>
      <c r="J1145" s="7"/>
      <c r="K1145" s="7"/>
      <c r="L1145" s="7"/>
      <c r="M1145" s="7"/>
      <c r="N1145" s="7"/>
      <c r="O1145" s="7"/>
      <c r="P1145" s="7"/>
    </row>
    <row r="1146" spans="1:16" customFormat="1" ht="14.25" customHeight="1">
      <c r="A1146" s="116" t="s">
        <v>2866</v>
      </c>
      <c r="B1146" s="9">
        <v>21.7</v>
      </c>
      <c r="C1146" s="7" t="s">
        <v>1177</v>
      </c>
      <c r="D1146" s="183">
        <v>3</v>
      </c>
      <c r="E1146" s="7">
        <v>1.8</v>
      </c>
      <c r="F1146" s="7"/>
      <c r="G1146" s="7"/>
      <c r="H1146" s="7"/>
      <c r="I1146" s="7"/>
      <c r="J1146" s="7"/>
      <c r="K1146" s="7"/>
      <c r="L1146" s="7"/>
      <c r="M1146" s="7"/>
      <c r="N1146" s="7"/>
      <c r="O1146" s="7"/>
      <c r="P1146" s="7"/>
    </row>
    <row r="1147" spans="1:16" customFormat="1" ht="14.25" customHeight="1">
      <c r="A1147" s="116" t="s">
        <v>2867</v>
      </c>
      <c r="B1147" s="9">
        <v>17.2</v>
      </c>
      <c r="C1147" s="211" t="s">
        <v>1170</v>
      </c>
      <c r="D1147" s="183">
        <v>3</v>
      </c>
      <c r="E1147" s="7">
        <v>2</v>
      </c>
      <c r="F1147" s="7"/>
      <c r="G1147" s="211" t="s">
        <v>1170</v>
      </c>
      <c r="H1147" s="7"/>
      <c r="I1147" s="7"/>
      <c r="J1147" s="7"/>
      <c r="K1147" s="7"/>
      <c r="L1147" s="7"/>
      <c r="M1147" s="7"/>
      <c r="N1147" s="7"/>
      <c r="O1147" s="7"/>
      <c r="P1147" s="7"/>
    </row>
    <row r="1148" spans="1:16"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row>
    <row r="1149" spans="1:16"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row>
    <row r="1150" spans="1:16" customFormat="1" ht="14.25" customHeight="1">
      <c r="A1150" s="116" t="s">
        <v>3128</v>
      </c>
      <c r="B1150" s="9">
        <v>17.3</v>
      </c>
      <c r="C1150" s="211" t="s">
        <v>1173</v>
      </c>
      <c r="D1150" s="183">
        <v>3</v>
      </c>
      <c r="E1150" s="7">
        <v>2.1</v>
      </c>
      <c r="F1150" s="7"/>
      <c r="G1150" s="211" t="s">
        <v>1173</v>
      </c>
      <c r="H1150" s="7"/>
      <c r="I1150" s="7"/>
      <c r="J1150" s="7"/>
      <c r="K1150" s="7"/>
      <c r="L1150" s="7"/>
      <c r="M1150" s="7"/>
      <c r="N1150" s="7"/>
      <c r="O1150" s="7"/>
      <c r="P1150" s="7"/>
    </row>
    <row r="1151" spans="1:16"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4"/>
    </row>
    <row r="1152" spans="1:16" customFormat="1" ht="14.25" customHeight="1">
      <c r="A1152" s="116" t="s">
        <v>2871</v>
      </c>
      <c r="B1152" s="9">
        <v>19</v>
      </c>
      <c r="C1152" s="7" t="s">
        <v>1144</v>
      </c>
      <c r="D1152" s="183">
        <v>3</v>
      </c>
      <c r="E1152" s="7">
        <v>2.1</v>
      </c>
      <c r="F1152" s="7"/>
      <c r="G1152" s="7"/>
      <c r="H1152" s="7"/>
      <c r="I1152" s="7"/>
      <c r="J1152" s="7"/>
      <c r="K1152" s="7"/>
      <c r="L1152" s="7"/>
      <c r="M1152" s="7"/>
      <c r="N1152" s="7"/>
      <c r="O1152" s="7"/>
      <c r="P1152" s="7"/>
    </row>
    <row r="1153" spans="1:16" customFormat="1" ht="14.25" customHeight="1">
      <c r="A1153" s="116" t="s">
        <v>2872</v>
      </c>
      <c r="B1153" s="9">
        <v>19</v>
      </c>
      <c r="C1153" s="7" t="s">
        <v>1143</v>
      </c>
      <c r="D1153" s="183">
        <v>3</v>
      </c>
      <c r="E1153" s="7">
        <v>2.1</v>
      </c>
      <c r="F1153" s="7"/>
      <c r="G1153" s="7"/>
      <c r="H1153" s="7"/>
      <c r="I1153" s="7"/>
      <c r="J1153" s="7"/>
      <c r="K1153" s="7"/>
      <c r="L1153" s="7"/>
      <c r="M1153" s="7"/>
      <c r="N1153" s="7"/>
      <c r="O1153" s="7"/>
      <c r="P1153" s="4"/>
    </row>
    <row r="1154" spans="1:16" customFormat="1" ht="14.25" customHeight="1">
      <c r="A1154" s="116" t="s">
        <v>2873</v>
      </c>
      <c r="B1154" s="9">
        <v>17.5</v>
      </c>
      <c r="C1154" s="7" t="s">
        <v>1140</v>
      </c>
      <c r="D1154" s="183">
        <v>3</v>
      </c>
      <c r="E1154" s="7">
        <v>2.1</v>
      </c>
      <c r="F1154" s="7"/>
      <c r="G1154" s="7"/>
      <c r="H1154" s="7"/>
      <c r="I1154" s="7"/>
      <c r="J1154" s="7"/>
      <c r="K1154" s="7"/>
      <c r="L1154" s="7"/>
      <c r="M1154" s="7"/>
      <c r="N1154" s="7"/>
      <c r="O1154" s="7"/>
      <c r="P1154" s="7"/>
    </row>
    <row r="1155" spans="1:16" customFormat="1" ht="14.25" customHeight="1">
      <c r="A1155" s="116" t="s">
        <v>2874</v>
      </c>
      <c r="B1155" s="9">
        <v>20</v>
      </c>
      <c r="C1155" s="7" t="s">
        <v>1141</v>
      </c>
      <c r="D1155" s="183">
        <v>3</v>
      </c>
      <c r="E1155" s="7">
        <v>2.1</v>
      </c>
      <c r="F1155" s="7"/>
      <c r="G1155" s="7"/>
      <c r="H1155" s="7"/>
      <c r="I1155" s="7"/>
      <c r="J1155" s="7"/>
      <c r="K1155" s="7"/>
      <c r="L1155" s="7"/>
      <c r="M1155" s="7"/>
      <c r="N1155" s="7"/>
      <c r="O1155" s="7"/>
      <c r="P1155" s="7"/>
    </row>
    <row r="1156" spans="1:16" customFormat="1" ht="14.25" customHeight="1">
      <c r="A1156" s="116" t="s">
        <v>3057</v>
      </c>
      <c r="B1156" s="9">
        <v>36</v>
      </c>
      <c r="C1156" s="211" t="s">
        <v>1213</v>
      </c>
      <c r="D1156" s="183">
        <v>3</v>
      </c>
      <c r="E1156" s="7">
        <v>1.5</v>
      </c>
      <c r="F1156" s="7"/>
      <c r="G1156" s="211" t="s">
        <v>1213</v>
      </c>
      <c r="H1156" s="7"/>
      <c r="I1156" s="7"/>
      <c r="J1156" s="7"/>
      <c r="K1156" s="7"/>
      <c r="L1156" s="7"/>
      <c r="M1156" s="7"/>
      <c r="N1156" s="7"/>
      <c r="O1156" s="7"/>
      <c r="P1156" s="7"/>
    </row>
    <row r="1157" spans="1:16" customFormat="1" ht="14.25" customHeight="1">
      <c r="A1157" s="116" t="s">
        <v>3058</v>
      </c>
      <c r="B1157" s="9">
        <v>36</v>
      </c>
      <c r="C1157" s="7" t="s">
        <v>1214</v>
      </c>
      <c r="D1157" s="183">
        <v>3</v>
      </c>
      <c r="E1157" s="7">
        <v>1.5</v>
      </c>
      <c r="F1157" s="7"/>
      <c r="G1157" s="7"/>
      <c r="H1157" s="7"/>
      <c r="I1157" s="7"/>
      <c r="J1157" s="7"/>
      <c r="K1157" s="7"/>
      <c r="L1157" s="7"/>
      <c r="M1157" s="7"/>
      <c r="N1157" s="7"/>
      <c r="O1157" s="7"/>
      <c r="P1157" s="7"/>
    </row>
    <row r="1158" spans="1:16" customFormat="1" ht="14.25" customHeight="1">
      <c r="A1158" s="116" t="s">
        <v>3059</v>
      </c>
      <c r="B1158" s="9">
        <v>36</v>
      </c>
      <c r="C1158" s="7" t="s">
        <v>1215</v>
      </c>
      <c r="D1158" s="183">
        <v>6</v>
      </c>
      <c r="E1158" s="7">
        <v>1.5</v>
      </c>
      <c r="F1158" s="7"/>
      <c r="G1158" s="7"/>
      <c r="H1158" s="7"/>
      <c r="I1158" s="7"/>
      <c r="J1158" s="7"/>
      <c r="K1158" s="7"/>
      <c r="L1158" s="7"/>
      <c r="M1158" s="7"/>
      <c r="N1158" s="7"/>
      <c r="O1158" s="7"/>
      <c r="P1158" s="7"/>
    </row>
    <row r="1159" spans="1:16" customFormat="1" ht="14.25" customHeight="1">
      <c r="A1159" s="116" t="s">
        <v>3060</v>
      </c>
      <c r="B1159" s="9">
        <v>36</v>
      </c>
      <c r="C1159" s="7" t="s">
        <v>3153</v>
      </c>
      <c r="D1159" s="183">
        <v>3</v>
      </c>
      <c r="E1159" s="7">
        <v>1.5</v>
      </c>
      <c r="F1159" s="7"/>
      <c r="G1159" s="7"/>
      <c r="H1159" s="7"/>
      <c r="I1159" s="7"/>
      <c r="J1159" s="7"/>
      <c r="K1159" s="7"/>
      <c r="L1159" s="7"/>
      <c r="M1159" s="7"/>
      <c r="N1159" s="7"/>
      <c r="O1159" s="7"/>
      <c r="P1159" s="7"/>
    </row>
    <row r="1160" spans="1:16" customFormat="1" ht="14.25" customHeight="1">
      <c r="A1160" s="116" t="s">
        <v>3061</v>
      </c>
      <c r="B1160" s="9">
        <v>36</v>
      </c>
      <c r="C1160" s="7" t="s">
        <v>1217</v>
      </c>
      <c r="D1160" s="183">
        <v>3</v>
      </c>
      <c r="E1160" s="7">
        <v>1.5</v>
      </c>
      <c r="F1160" s="7"/>
      <c r="G1160" s="7"/>
      <c r="H1160" s="7"/>
      <c r="I1160" s="7"/>
      <c r="J1160" s="7"/>
      <c r="K1160" s="7"/>
      <c r="L1160" s="7"/>
      <c r="M1160" s="7"/>
      <c r="N1160" s="7"/>
      <c r="O1160" s="7"/>
      <c r="P1160" s="7"/>
    </row>
    <row r="1161" spans="1:16" customFormat="1" ht="14.25" customHeight="1">
      <c r="A1161" s="125" t="s">
        <v>3062</v>
      </c>
      <c r="B1161" s="9">
        <v>17</v>
      </c>
      <c r="C1161" s="211" t="s">
        <v>1364</v>
      </c>
      <c r="D1161" s="183">
        <v>3</v>
      </c>
      <c r="E1161" s="7">
        <v>1.6</v>
      </c>
      <c r="F1161" s="7"/>
      <c r="G1161" s="211" t="s">
        <v>1364</v>
      </c>
      <c r="H1161" s="7"/>
      <c r="I1161" s="7"/>
      <c r="J1161" s="7"/>
      <c r="K1161" s="7"/>
      <c r="L1161" s="7"/>
      <c r="M1161" s="7"/>
      <c r="N1161" s="7"/>
      <c r="O1161" s="7"/>
      <c r="P1161" s="7"/>
    </row>
    <row r="1162" spans="1:16" customFormat="1" ht="14.25" customHeight="1">
      <c r="A1162" s="125" t="s">
        <v>3063</v>
      </c>
      <c r="B1162" s="9">
        <v>17</v>
      </c>
      <c r="C1162" s="7" t="s">
        <v>1226</v>
      </c>
      <c r="D1162" s="183">
        <v>3</v>
      </c>
      <c r="E1162" s="7">
        <v>1.6</v>
      </c>
      <c r="F1162" s="7"/>
      <c r="G1162" s="7"/>
      <c r="H1162" s="7"/>
      <c r="I1162" s="7"/>
      <c r="J1162" s="7"/>
      <c r="K1162" s="7"/>
      <c r="L1162" s="7"/>
      <c r="M1162" s="7"/>
      <c r="N1162" s="7"/>
      <c r="O1162" s="7"/>
      <c r="P1162" s="7"/>
    </row>
    <row r="1163" spans="1:16" customFormat="1" ht="14.25" customHeight="1">
      <c r="A1163" s="125" t="s">
        <v>3064</v>
      </c>
      <c r="B1163" s="9">
        <v>17</v>
      </c>
      <c r="C1163" s="7" t="s">
        <v>1227</v>
      </c>
      <c r="D1163" s="183">
        <v>3</v>
      </c>
      <c r="E1163" s="7">
        <v>1.6</v>
      </c>
      <c r="F1163" s="7"/>
      <c r="G1163" s="7"/>
      <c r="H1163" s="7"/>
      <c r="I1163" s="7"/>
      <c r="J1163" s="7"/>
      <c r="K1163" s="7"/>
      <c r="L1163" s="7"/>
      <c r="M1163" s="7"/>
      <c r="N1163" s="7"/>
      <c r="O1163" s="7"/>
      <c r="P1163" s="7"/>
    </row>
    <row r="1164" spans="1:16" customFormat="1" ht="14.25" customHeight="1">
      <c r="A1164" s="125" t="s">
        <v>3065</v>
      </c>
      <c r="B1164" s="9">
        <v>17</v>
      </c>
      <c r="C1164" s="7" t="s">
        <v>1228</v>
      </c>
      <c r="D1164" s="183">
        <v>3</v>
      </c>
      <c r="E1164" s="7">
        <v>1.6</v>
      </c>
      <c r="F1164" s="7"/>
      <c r="G1164" s="7"/>
      <c r="H1164" s="7"/>
      <c r="I1164" s="7"/>
      <c r="J1164" s="7"/>
      <c r="K1164" s="7"/>
      <c r="L1164" s="7"/>
      <c r="M1164" s="7"/>
      <c r="N1164" s="7"/>
      <c r="O1164" s="7"/>
      <c r="P1164" s="7"/>
    </row>
    <row r="1165" spans="1:16" customFormat="1" ht="14.25" customHeight="1">
      <c r="A1165" s="125" t="s">
        <v>3066</v>
      </c>
      <c r="B1165" s="9">
        <v>17</v>
      </c>
      <c r="C1165" s="7" t="s">
        <v>1229</v>
      </c>
      <c r="D1165" s="183">
        <v>3</v>
      </c>
      <c r="E1165" s="7">
        <v>1.6</v>
      </c>
      <c r="F1165" s="7"/>
      <c r="G1165" s="7"/>
      <c r="H1165" s="7"/>
      <c r="I1165" s="7"/>
      <c r="J1165" s="7"/>
      <c r="K1165" s="7"/>
      <c r="L1165" s="7"/>
      <c r="M1165" s="7"/>
      <c r="N1165" s="7"/>
      <c r="O1165" s="7"/>
      <c r="P1165" s="7"/>
    </row>
    <row r="1166" spans="1:16" customFormat="1" ht="14.25" customHeight="1">
      <c r="A1166" s="116" t="s">
        <v>3067</v>
      </c>
      <c r="B1166" s="9">
        <v>19.7</v>
      </c>
      <c r="C1166" s="211" t="s">
        <v>1669</v>
      </c>
      <c r="D1166" s="183">
        <v>3</v>
      </c>
      <c r="E1166" s="7">
        <v>1.5</v>
      </c>
      <c r="F1166" s="7"/>
      <c r="G1166" s="211" t="s">
        <v>1669</v>
      </c>
      <c r="H1166" s="7"/>
      <c r="I1166" s="7"/>
      <c r="J1166" s="7"/>
      <c r="K1166" s="7"/>
      <c r="L1166" s="7"/>
      <c r="M1166" s="7"/>
      <c r="N1166" s="7"/>
      <c r="O1166" s="7"/>
      <c r="P1166" s="7"/>
    </row>
    <row r="1167" spans="1:16" customFormat="1" ht="14.25" customHeight="1">
      <c r="A1167" s="116" t="s">
        <v>3068</v>
      </c>
      <c r="B1167" s="9">
        <v>19.5</v>
      </c>
      <c r="C1167" s="7" t="s">
        <v>1670</v>
      </c>
      <c r="D1167" s="183">
        <v>3</v>
      </c>
      <c r="E1167" s="7">
        <v>1.5</v>
      </c>
      <c r="F1167" s="7"/>
      <c r="G1167" s="7"/>
      <c r="H1167" s="7"/>
      <c r="I1167" s="7"/>
      <c r="J1167" s="7"/>
      <c r="K1167" s="7"/>
      <c r="L1167" s="7"/>
      <c r="M1167" s="7"/>
      <c r="N1167" s="7"/>
      <c r="O1167" s="7"/>
      <c r="P1167" s="7"/>
    </row>
    <row r="1168" spans="1:16" customFormat="1" ht="14.25" customHeight="1">
      <c r="A1168" s="116" t="s">
        <v>3069</v>
      </c>
      <c r="B1168" s="9">
        <v>19.2</v>
      </c>
      <c r="C1168" s="7" t="s">
        <v>1672</v>
      </c>
      <c r="D1168" s="183">
        <v>3</v>
      </c>
      <c r="E1168" s="7">
        <v>1.5</v>
      </c>
      <c r="F1168" s="7"/>
      <c r="G1168" s="7"/>
      <c r="H1168" s="7"/>
      <c r="I1168" s="7"/>
      <c r="J1168" s="7"/>
      <c r="K1168" s="7"/>
      <c r="L1168" s="7"/>
      <c r="M1168" s="7"/>
      <c r="N1168" s="7"/>
      <c r="O1168" s="7"/>
      <c r="P1168" s="7"/>
    </row>
    <row r="1169" spans="1:16"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row>
    <row r="1170" spans="1:16"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row>
    <row r="1171" spans="1:16"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row>
    <row r="1172" spans="1:16" customFormat="1" ht="14.25" customHeight="1">
      <c r="A1172" s="116" t="s">
        <v>2851</v>
      </c>
      <c r="B1172" s="9">
        <v>31.5</v>
      </c>
      <c r="C1172" s="211" t="s">
        <v>1162</v>
      </c>
      <c r="D1172" s="183">
        <v>3</v>
      </c>
      <c r="E1172" s="7">
        <v>2</v>
      </c>
      <c r="F1172" s="7"/>
      <c r="G1172" s="211" t="s">
        <v>1162</v>
      </c>
      <c r="H1172" s="7"/>
      <c r="I1172" s="7"/>
      <c r="J1172" s="7"/>
      <c r="K1172" s="7"/>
      <c r="L1172" s="7"/>
      <c r="M1172" s="7"/>
      <c r="N1172" s="7"/>
      <c r="O1172" s="7"/>
      <c r="P1172" s="7"/>
    </row>
    <row r="1173" spans="1:16"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row>
    <row r="1174" spans="1:16" customFormat="1" ht="14.25" customHeight="1">
      <c r="A1174" s="116" t="s">
        <v>2853</v>
      </c>
      <c r="B1174" s="9">
        <v>23.8</v>
      </c>
      <c r="C1174" s="211" t="s">
        <v>1165</v>
      </c>
      <c r="D1174" s="183">
        <v>3</v>
      </c>
      <c r="E1174" s="7">
        <v>1.1000000000000001</v>
      </c>
      <c r="F1174" s="7"/>
      <c r="G1174" s="211" t="s">
        <v>1165</v>
      </c>
      <c r="H1174" s="7"/>
      <c r="I1174" s="7"/>
      <c r="J1174" s="7"/>
      <c r="K1174" s="7"/>
      <c r="L1174" s="7"/>
      <c r="M1174" s="7"/>
      <c r="N1174" s="7"/>
      <c r="O1174" s="7"/>
      <c r="P1174" s="7"/>
    </row>
    <row r="1175" spans="1:16" customFormat="1" ht="14.25" customHeight="1">
      <c r="A1175" s="116" t="s">
        <v>2854</v>
      </c>
      <c r="B1175" s="9">
        <v>24.8</v>
      </c>
      <c r="C1175" s="1" t="s">
        <v>1166</v>
      </c>
      <c r="D1175" s="184">
        <v>3</v>
      </c>
      <c r="E1175" s="7">
        <v>1.1000000000000001</v>
      </c>
      <c r="F1175" s="7"/>
      <c r="G1175" s="7"/>
      <c r="H1175" s="7"/>
      <c r="I1175" s="7"/>
      <c r="J1175" s="7"/>
      <c r="K1175" s="7"/>
      <c r="L1175" s="7"/>
      <c r="M1175" s="7"/>
      <c r="N1175" s="7"/>
      <c r="O1175" s="7"/>
      <c r="P1175" s="7"/>
    </row>
    <row r="1176" spans="1:16" customFormat="1" ht="14.25" customHeight="1">
      <c r="A1176" s="116" t="s">
        <v>2855</v>
      </c>
      <c r="B1176" s="9">
        <v>21.8</v>
      </c>
      <c r="C1176" s="7" t="s">
        <v>1167</v>
      </c>
      <c r="D1176" s="183">
        <v>3</v>
      </c>
      <c r="E1176" s="7">
        <v>0.95</v>
      </c>
      <c r="F1176" s="7"/>
      <c r="G1176" s="7"/>
      <c r="H1176" s="7"/>
      <c r="I1176" s="7"/>
      <c r="J1176" s="7"/>
      <c r="K1176" s="7"/>
      <c r="L1176" s="7"/>
      <c r="M1176" s="7"/>
      <c r="N1176" s="7"/>
      <c r="O1176" s="7"/>
      <c r="P1176" s="7"/>
    </row>
    <row r="1177" spans="1:16" customFormat="1" ht="14.25" customHeight="1">
      <c r="A1177" s="116" t="s">
        <v>2856</v>
      </c>
      <c r="B1177" s="9">
        <v>23.7</v>
      </c>
      <c r="C1177" s="7" t="s">
        <v>1168</v>
      </c>
      <c r="D1177" s="183">
        <v>3</v>
      </c>
      <c r="E1177" s="7">
        <v>0.95</v>
      </c>
      <c r="F1177" s="7"/>
      <c r="G1177" s="7"/>
      <c r="H1177" s="7"/>
      <c r="I1177" s="7"/>
      <c r="J1177" s="7"/>
      <c r="K1177" s="7"/>
      <c r="L1177" s="7"/>
      <c r="M1177" s="7"/>
      <c r="N1177" s="7"/>
      <c r="O1177" s="7"/>
      <c r="P1177" s="7"/>
    </row>
    <row r="1178" spans="1:16" customFormat="1" ht="14.25" customHeight="1">
      <c r="A1178" s="116" t="s">
        <v>2857</v>
      </c>
      <c r="B1178" s="9">
        <v>19.3</v>
      </c>
      <c r="C1178" s="211" t="s">
        <v>1234</v>
      </c>
      <c r="D1178" s="183">
        <v>3</v>
      </c>
      <c r="E1178" s="7">
        <v>1.39</v>
      </c>
      <c r="F1178" s="7"/>
      <c r="G1178" s="211" t="s">
        <v>1234</v>
      </c>
      <c r="H1178" s="7"/>
      <c r="I1178" s="7"/>
      <c r="J1178" s="7"/>
      <c r="K1178" s="7"/>
      <c r="L1178" s="7"/>
      <c r="M1178" s="7"/>
      <c r="N1178" s="7"/>
      <c r="O1178" s="7"/>
      <c r="P1178" s="7"/>
    </row>
    <row r="1179" spans="1:16" customFormat="1" ht="14.25" customHeight="1">
      <c r="A1179" s="116" t="s">
        <v>2858</v>
      </c>
      <c r="B1179" s="9">
        <v>18.8</v>
      </c>
      <c r="C1179" s="7" t="s">
        <v>1235</v>
      </c>
      <c r="D1179" s="183">
        <v>3</v>
      </c>
      <c r="E1179" s="7">
        <v>1.3</v>
      </c>
      <c r="F1179" s="7"/>
      <c r="G1179" s="7"/>
      <c r="H1179" s="7"/>
      <c r="I1179" s="7"/>
      <c r="J1179" s="7"/>
      <c r="K1179" s="7"/>
      <c r="L1179" s="7"/>
      <c r="M1179" s="7"/>
      <c r="N1179" s="7"/>
      <c r="O1179" s="7"/>
      <c r="P1179" s="7"/>
    </row>
    <row r="1180" spans="1:16" customFormat="1" ht="14.25" customHeight="1">
      <c r="A1180" s="116" t="s">
        <v>2859</v>
      </c>
      <c r="B1180" s="9">
        <v>17.8</v>
      </c>
      <c r="C1180" s="7" t="s">
        <v>1361</v>
      </c>
      <c r="D1180" s="183">
        <v>3</v>
      </c>
      <c r="E1180" s="7">
        <v>1.3</v>
      </c>
      <c r="F1180" s="7"/>
      <c r="G1180" s="7"/>
      <c r="H1180" s="7"/>
      <c r="I1180" s="7"/>
      <c r="J1180" s="7"/>
      <c r="K1180" s="7"/>
      <c r="L1180" s="7"/>
      <c r="M1180" s="7"/>
      <c r="N1180" s="7"/>
      <c r="O1180" s="7"/>
      <c r="P1180" s="7"/>
    </row>
    <row r="1181" spans="1:16" customFormat="1" ht="14.25" customHeight="1">
      <c r="A1181" s="116" t="s">
        <v>2860</v>
      </c>
      <c r="B1181" s="9">
        <v>24.8</v>
      </c>
      <c r="C1181" s="7" t="s">
        <v>1233</v>
      </c>
      <c r="D1181" s="183">
        <v>3</v>
      </c>
      <c r="E1181" s="7">
        <v>1.3</v>
      </c>
      <c r="F1181" s="7"/>
      <c r="G1181" s="7"/>
      <c r="H1181" s="7"/>
      <c r="I1181" s="7"/>
      <c r="J1181" s="7"/>
      <c r="K1181" s="7"/>
      <c r="L1181" s="7"/>
      <c r="M1181" s="7"/>
      <c r="N1181" s="7"/>
      <c r="O1181" s="7"/>
      <c r="P1181" s="7"/>
    </row>
    <row r="1182" spans="1:16" customFormat="1" ht="14.25" customHeight="1">
      <c r="A1182" s="125" t="s">
        <v>3052</v>
      </c>
      <c r="B1182" s="9">
        <v>33</v>
      </c>
      <c r="C1182" s="211" t="s">
        <v>1471</v>
      </c>
      <c r="D1182" s="183">
        <v>3</v>
      </c>
      <c r="E1182" s="7">
        <v>2.15</v>
      </c>
      <c r="F1182" s="7"/>
      <c r="G1182" s="211" t="s">
        <v>1471</v>
      </c>
      <c r="H1182" s="7"/>
      <c r="I1182" s="7"/>
      <c r="J1182" s="7"/>
      <c r="K1182" s="7"/>
      <c r="L1182" s="7"/>
      <c r="M1182" s="7"/>
      <c r="N1182" s="7"/>
      <c r="O1182" s="7"/>
      <c r="P1182" s="7"/>
    </row>
    <row r="1183" spans="1:16" customFormat="1" ht="14.25" customHeight="1">
      <c r="A1183" s="125" t="s">
        <v>3053</v>
      </c>
      <c r="B1183" s="9">
        <v>33</v>
      </c>
      <c r="C1183" s="131" t="s">
        <v>3295</v>
      </c>
      <c r="D1183" s="183">
        <v>3</v>
      </c>
      <c r="E1183" s="7">
        <v>2.15</v>
      </c>
      <c r="F1183" s="7"/>
      <c r="G1183" s="7"/>
      <c r="H1183" s="7"/>
      <c r="I1183" s="7"/>
      <c r="J1183" s="7"/>
      <c r="K1183" s="7"/>
      <c r="L1183" s="7"/>
      <c r="M1183" s="7"/>
      <c r="N1183" s="7"/>
      <c r="O1183" s="7"/>
      <c r="P1183" s="7"/>
    </row>
    <row r="1184" spans="1:16" customFormat="1" ht="14.25" customHeight="1">
      <c r="A1184" s="125" t="s">
        <v>3054</v>
      </c>
      <c r="B1184" s="9">
        <v>33</v>
      </c>
      <c r="C1184" s="7" t="s">
        <v>1472</v>
      </c>
      <c r="D1184" s="183">
        <v>3</v>
      </c>
      <c r="E1184" s="7">
        <v>2.15</v>
      </c>
      <c r="F1184" s="7"/>
      <c r="G1184" s="7"/>
      <c r="H1184" s="7"/>
      <c r="I1184" s="7"/>
      <c r="J1184" s="7"/>
      <c r="K1184" s="7"/>
      <c r="L1184" s="7"/>
      <c r="M1184" s="7"/>
      <c r="N1184" s="7"/>
      <c r="O1184" s="7"/>
      <c r="P1184" s="7"/>
    </row>
    <row r="1185" spans="1:16" customFormat="1" ht="14.25" customHeight="1">
      <c r="A1185" s="125" t="s">
        <v>3055</v>
      </c>
      <c r="B1185" s="9">
        <v>33</v>
      </c>
      <c r="C1185" s="7" t="s">
        <v>1473</v>
      </c>
      <c r="D1185" s="183">
        <v>3</v>
      </c>
      <c r="E1185" s="7">
        <v>2.15</v>
      </c>
      <c r="F1185" s="7"/>
      <c r="G1185" s="7"/>
      <c r="H1185" s="7"/>
      <c r="I1185" s="7"/>
      <c r="J1185" s="7"/>
      <c r="K1185" s="7"/>
      <c r="L1185" s="7"/>
      <c r="M1185" s="7"/>
      <c r="N1185" s="7"/>
      <c r="O1185" s="7"/>
      <c r="P1185" s="7"/>
    </row>
    <row r="1186" spans="1:16" customFormat="1" ht="14.25" customHeight="1">
      <c r="A1186" s="125" t="s">
        <v>3056</v>
      </c>
      <c r="B1186" s="9">
        <v>33</v>
      </c>
      <c r="C1186" s="7" t="s">
        <v>1363</v>
      </c>
      <c r="D1186" s="183">
        <v>3</v>
      </c>
      <c r="E1186" s="7">
        <v>2.15</v>
      </c>
      <c r="F1186" s="7"/>
      <c r="G1186" s="7"/>
      <c r="H1186" s="7"/>
      <c r="I1186" s="7"/>
      <c r="J1186" s="7"/>
      <c r="K1186" s="7"/>
      <c r="L1186" s="7"/>
      <c r="M1186" s="7"/>
      <c r="N1186" s="7"/>
      <c r="O1186" s="7"/>
      <c r="P1186" s="7"/>
    </row>
    <row r="1187" spans="1:16"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row>
    <row r="1188" spans="1:16"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row>
    <row r="1189" spans="1:16" customFormat="1" ht="14.25" customHeight="1">
      <c r="A1189" s="147" t="s">
        <v>3630</v>
      </c>
      <c r="B1189" s="9">
        <v>10</v>
      </c>
      <c r="C1189" s="198" t="s">
        <v>5928</v>
      </c>
      <c r="D1189" s="186">
        <v>6</v>
      </c>
      <c r="E1189" s="7">
        <v>0.3</v>
      </c>
      <c r="F1189" s="7"/>
      <c r="G1189" s="7"/>
      <c r="H1189" s="7"/>
      <c r="I1189" s="7"/>
      <c r="J1189" s="7"/>
      <c r="K1189" s="7"/>
      <c r="L1189" s="7"/>
      <c r="M1189" s="7"/>
      <c r="N1189" s="7"/>
      <c r="O1189" s="7"/>
      <c r="P1189" s="7"/>
    </row>
    <row r="1190" spans="1:16"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row>
  </sheetData>
  <phoneticPr fontId="2"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6035</v>
      </c>
      <c r="H5" s="74">
        <f t="shared" si="0"/>
        <v>4</v>
      </c>
      <c r="I5" s="74">
        <v>4</v>
      </c>
      <c r="J5" s="74">
        <v>1</v>
      </c>
      <c r="K5" s="74">
        <v>1</v>
      </c>
      <c r="L5" s="74">
        <v>0.13</v>
      </c>
      <c r="M5" s="74">
        <v>350</v>
      </c>
      <c r="N5" s="75">
        <v>20</v>
      </c>
      <c r="Q5" s="1"/>
    </row>
    <row r="6" spans="1:17" ht="12" customHeight="1">
      <c r="A6" s="81"/>
      <c r="F6" s="71"/>
      <c r="G6" s="7" t="s">
        <v>6036</v>
      </c>
      <c r="H6" s="74">
        <f t="shared" ref="H6" si="1">K6*I6*J6</f>
        <v>4</v>
      </c>
      <c r="I6" s="74">
        <v>4</v>
      </c>
      <c r="J6" s="74">
        <v>1</v>
      </c>
      <c r="K6" s="74">
        <v>1</v>
      </c>
      <c r="L6" s="74"/>
      <c r="Q6" s="1"/>
    </row>
    <row r="7" spans="1:17" ht="12" customHeight="1">
      <c r="A7" s="81"/>
      <c r="F7" s="71"/>
      <c r="G7" s="1" t="s">
        <v>6039</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6040</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6044</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6049</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6050</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6051</v>
      </c>
      <c r="H36" s="74">
        <f t="shared" si="0"/>
        <v>8</v>
      </c>
      <c r="I36" s="74">
        <v>4</v>
      </c>
      <c r="J36" s="74">
        <v>2</v>
      </c>
      <c r="K36" s="74">
        <v>1</v>
      </c>
      <c r="L36" s="74">
        <v>1</v>
      </c>
      <c r="M36" s="74">
        <v>3</v>
      </c>
      <c r="N36" s="75">
        <v>1</v>
      </c>
      <c r="O36" s="71"/>
    </row>
    <row r="37" spans="1:15" ht="12" customHeight="1">
      <c r="A37" s="71"/>
      <c r="D37" s="81" t="s">
        <v>1911</v>
      </c>
      <c r="E37" s="94">
        <v>251.41</v>
      </c>
      <c r="F37" s="71"/>
      <c r="G37" s="196" t="s">
        <v>6052</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6053</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6056</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6077</v>
      </c>
      <c r="H51" s="74">
        <f t="shared" si="0"/>
        <v>4</v>
      </c>
      <c r="I51" s="74">
        <v>4</v>
      </c>
      <c r="J51" s="74">
        <v>1</v>
      </c>
      <c r="K51" s="74">
        <v>1</v>
      </c>
      <c r="L51" s="74"/>
      <c r="O51" s="71"/>
    </row>
    <row r="52" spans="1:15" ht="12" customHeight="1">
      <c r="A52" s="71"/>
      <c r="B52" s="1" t="s">
        <v>1933</v>
      </c>
      <c r="C52" s="93">
        <v>268</v>
      </c>
      <c r="D52" s="94"/>
      <c r="E52" s="94"/>
      <c r="F52" s="1"/>
      <c r="G52" s="196" t="s">
        <v>6079</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6081</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6082</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2"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1230" zoomScaleNormal="100" workbookViewId="0">
      <selection activeCell="G1251" sqref="G1251"/>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6046</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6047</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6057</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6037</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6083</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6084</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8"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2"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8"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2"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2"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tabSelected="1" topLeftCell="B21" zoomScaleNormal="100" workbookViewId="0">
      <selection activeCell="G44" sqref="G44"/>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3990</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6093</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2"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2"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2020-02-15T02:22:08Z</dcterms:modified>
</cp:coreProperties>
</file>