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093" i="70" l="1"/>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29" i="70" l="1"/>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7" i="70"/>
  <c r="H57" i="71"/>
  <c r="H52" i="71"/>
  <c r="H50" i="71"/>
  <c r="H46" i="71"/>
  <c r="O463" i="70"/>
  <c r="H43" i="71"/>
  <c r="H42" i="71"/>
  <c r="H41" i="71"/>
  <c r="H39" i="71"/>
  <c r="H34" i="71"/>
  <c r="H28" i="71"/>
  <c r="H19" i="71"/>
  <c r="H16" i="71"/>
  <c r="H13" i="71"/>
  <c r="H12" i="71"/>
  <c r="N121" i="70"/>
  <c r="N114" i="70"/>
  <c r="N112" i="70"/>
  <c r="N111" i="70"/>
  <c r="N110" i="70"/>
  <c r="N109" i="70"/>
  <c r="N108" i="70"/>
  <c r="N107" i="70"/>
  <c r="N70"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5" i="70"/>
  <c r="O1071" i="70"/>
  <c r="B1070" i="70"/>
  <c r="B1053" i="70"/>
  <c r="B1052" i="70"/>
  <c r="B1051" i="70"/>
  <c r="B1050" i="70"/>
  <c r="B1049" i="70"/>
  <c r="B1048" i="70"/>
  <c r="B1047" i="70"/>
  <c r="B1046" i="70"/>
  <c r="B1045" i="70"/>
  <c r="B1044" i="70"/>
  <c r="B948" i="70"/>
  <c r="O939" i="70"/>
  <c r="B939" i="70"/>
  <c r="B938" i="70"/>
  <c r="B937" i="70"/>
  <c r="B936" i="70"/>
  <c r="B935" i="70"/>
  <c r="B934" i="70"/>
  <c r="B933" i="70"/>
  <c r="O919" i="70"/>
  <c r="B911" i="70"/>
  <c r="B910" i="70"/>
  <c r="B909" i="70"/>
  <c r="B908" i="70"/>
  <c r="B907" i="70"/>
  <c r="B906" i="70"/>
  <c r="B905" i="70"/>
  <c r="B904" i="70"/>
  <c r="B903" i="70"/>
  <c r="B902" i="70"/>
  <c r="B901" i="70"/>
  <c r="B900" i="70"/>
  <c r="B899" i="70"/>
  <c r="B898" i="70"/>
  <c r="B896" i="70"/>
  <c r="B895" i="70"/>
  <c r="B893" i="70"/>
  <c r="B892" i="70"/>
  <c r="B891" i="70"/>
  <c r="B868" i="70"/>
  <c r="B867" i="70"/>
  <c r="B866" i="70"/>
  <c r="B865" i="70"/>
  <c r="B864" i="70"/>
  <c r="B862" i="70"/>
  <c r="B861" i="70"/>
  <c r="B859" i="70"/>
  <c r="B858" i="70"/>
  <c r="B857" i="70"/>
  <c r="B856" i="70"/>
  <c r="B855" i="70"/>
  <c r="B854" i="70"/>
  <c r="B850" i="70"/>
  <c r="B849" i="70"/>
  <c r="B848" i="70"/>
  <c r="B847" i="70"/>
  <c r="B846" i="70"/>
  <c r="B845" i="70"/>
  <c r="B844" i="70"/>
  <c r="B843" i="70"/>
  <c r="B842" i="70"/>
  <c r="B841" i="70"/>
  <c r="B840" i="70"/>
  <c r="B839" i="70"/>
  <c r="B834" i="70"/>
  <c r="B833" i="70"/>
  <c r="B832" i="70"/>
  <c r="B831" i="70"/>
  <c r="B830" i="70"/>
  <c r="B829" i="70"/>
  <c r="B828" i="70"/>
  <c r="B827" i="70"/>
  <c r="B826" i="70"/>
  <c r="B825" i="70"/>
  <c r="B824" i="70"/>
  <c r="B753" i="70"/>
  <c r="N821" i="70"/>
  <c r="B816" i="70"/>
  <c r="B815" i="70"/>
  <c r="N814" i="70"/>
  <c r="B814" i="70"/>
  <c r="N813" i="70"/>
  <c r="B813" i="70"/>
  <c r="N812" i="70"/>
  <c r="B812" i="70"/>
  <c r="N811" i="70"/>
  <c r="B811" i="70"/>
  <c r="N810" i="70"/>
  <c r="B810" i="70"/>
  <c r="B809" i="70"/>
  <c r="B808" i="70"/>
  <c r="B807" i="70"/>
  <c r="B806" i="70"/>
  <c r="B805" i="70"/>
  <c r="B804" i="70"/>
  <c r="B803" i="70"/>
  <c r="N802" i="70"/>
  <c r="B802" i="70"/>
  <c r="N801" i="70"/>
  <c r="B801" i="70"/>
  <c r="N800" i="70"/>
  <c r="B800" i="70"/>
  <c r="N799" i="70"/>
  <c r="B799" i="70"/>
  <c r="N798" i="70"/>
  <c r="B798" i="70"/>
  <c r="N797" i="70"/>
  <c r="B797" i="70"/>
  <c r="O795" i="70"/>
  <c r="B795" i="70"/>
  <c r="O794" i="70"/>
  <c r="B794" i="70"/>
  <c r="O793" i="70"/>
  <c r="B793" i="70"/>
  <c r="O792" i="70"/>
  <c r="B792" i="70"/>
  <c r="O791" i="70"/>
  <c r="B791" i="70"/>
  <c r="B790" i="70"/>
  <c r="B789" i="70"/>
  <c r="B788" i="70"/>
  <c r="B786" i="70"/>
  <c r="B785" i="70"/>
  <c r="B784" i="70"/>
  <c r="B783" i="70"/>
  <c r="B782" i="70"/>
  <c r="B780" i="70"/>
  <c r="B779" i="70"/>
  <c r="B778" i="70"/>
  <c r="B777" i="70"/>
  <c r="B764" i="70"/>
  <c r="B763" i="70"/>
  <c r="B762" i="70"/>
  <c r="B761" i="70"/>
  <c r="B760" i="70"/>
  <c r="N759" i="70"/>
  <c r="B759" i="70"/>
  <c r="N758" i="70"/>
  <c r="B758" i="70"/>
  <c r="B757" i="70"/>
  <c r="B756" i="70"/>
  <c r="B755" i="70"/>
  <c r="B754" i="70"/>
  <c r="B752" i="70"/>
  <c r="B751" i="70"/>
  <c r="B750" i="70"/>
  <c r="B749" i="70"/>
  <c r="B748" i="70"/>
  <c r="B747" i="70"/>
  <c r="B746" i="70"/>
  <c r="B745" i="70"/>
  <c r="B744" i="70"/>
  <c r="B737" i="70"/>
  <c r="O736" i="70"/>
  <c r="B736" i="70"/>
  <c r="O735" i="70"/>
  <c r="B735" i="70"/>
  <c r="B734" i="70"/>
  <c r="N733" i="70"/>
  <c r="B733" i="70"/>
  <c r="B732" i="70"/>
  <c r="B731" i="70"/>
  <c r="B730" i="70"/>
  <c r="B729" i="70"/>
  <c r="B728" i="70"/>
  <c r="B727"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B706" i="70"/>
  <c r="B705" i="70"/>
  <c r="B704" i="70"/>
  <c r="B703" i="70"/>
  <c r="B702" i="70"/>
  <c r="B701" i="70"/>
  <c r="B700" i="70"/>
  <c r="B668" i="70"/>
  <c r="B667" i="70"/>
  <c r="B666" i="70"/>
  <c r="B665" i="70"/>
  <c r="B664" i="70"/>
  <c r="B663" i="70"/>
  <c r="B662" i="70"/>
  <c r="B661" i="70"/>
  <c r="B660" i="70"/>
  <c r="B659" i="70"/>
  <c r="B658" i="70"/>
  <c r="B657" i="70"/>
  <c r="B656" i="70"/>
  <c r="B655" i="70"/>
  <c r="B654" i="70"/>
  <c r="O653" i="70"/>
  <c r="B653" i="70"/>
  <c r="O652" i="70"/>
  <c r="B652" i="70"/>
  <c r="O651" i="70"/>
  <c r="B651" i="70"/>
  <c r="B650" i="70"/>
  <c r="B649" i="70"/>
  <c r="B648" i="70"/>
  <c r="B647" i="70"/>
  <c r="B646" i="70"/>
  <c r="B645" i="70"/>
  <c r="B644" i="70"/>
  <c r="B643" i="70"/>
  <c r="O642" i="70"/>
  <c r="B642" i="70"/>
  <c r="O641" i="70"/>
  <c r="B641" i="70"/>
  <c r="O640" i="70"/>
  <c r="B640" i="70"/>
  <c r="O639" i="70"/>
  <c r="B639" i="70"/>
  <c r="O638" i="70"/>
  <c r="B638" i="70"/>
  <c r="O637" i="70"/>
  <c r="B637" i="70"/>
  <c r="B636" i="70"/>
  <c r="B635" i="70"/>
  <c r="B634" i="70"/>
  <c r="O633" i="70"/>
  <c r="B633" i="70"/>
  <c r="O632" i="70"/>
  <c r="B632" i="70"/>
  <c r="O631" i="70"/>
  <c r="B631" i="70"/>
  <c r="O621" i="70"/>
  <c r="O620" i="70"/>
  <c r="O619" i="70"/>
  <c r="B533" i="70"/>
  <c r="B532" i="70"/>
  <c r="B531" i="70"/>
  <c r="B530" i="70"/>
  <c r="O479" i="70"/>
  <c r="N479" i="70"/>
  <c r="B479" i="70"/>
  <c r="O478" i="70"/>
  <c r="N478" i="70"/>
  <c r="B478" i="70"/>
  <c r="O477" i="70"/>
  <c r="N477" i="70"/>
  <c r="B477" i="70"/>
  <c r="O476" i="70"/>
  <c r="N476" i="70"/>
  <c r="B476" i="70"/>
  <c r="O475" i="70"/>
  <c r="N475" i="70"/>
  <c r="B475" i="70"/>
  <c r="O474" i="70"/>
  <c r="N474" i="70"/>
  <c r="B474" i="70"/>
  <c r="O473" i="70"/>
  <c r="N473" i="70"/>
  <c r="B473" i="70"/>
  <c r="O472" i="70"/>
  <c r="N472" i="70"/>
  <c r="B472" i="70"/>
  <c r="O471" i="70"/>
  <c r="B471" i="70"/>
  <c r="O470" i="70"/>
  <c r="B470" i="70"/>
  <c r="O469" i="70"/>
  <c r="B469" i="70"/>
  <c r="B468" i="70"/>
  <c r="B467" i="70"/>
  <c r="B466" i="70"/>
  <c r="B465" i="70"/>
  <c r="B464" i="70"/>
  <c r="B463" i="70"/>
  <c r="O462" i="70"/>
  <c r="B462" i="70"/>
  <c r="O461" i="70"/>
  <c r="B461" i="70"/>
  <c r="O440" i="70"/>
  <c r="B440" i="70"/>
  <c r="O439" i="70"/>
  <c r="B439" i="70"/>
  <c r="O438" i="70"/>
  <c r="B438" i="70"/>
  <c r="O437" i="70"/>
  <c r="B437" i="70"/>
  <c r="O436" i="70"/>
  <c r="B436" i="70"/>
  <c r="O435" i="70"/>
  <c r="B435" i="70"/>
  <c r="O434" i="70"/>
  <c r="B434" i="70"/>
  <c r="O433" i="70"/>
  <c r="B433" i="70"/>
  <c r="O432" i="70"/>
  <c r="B432" i="70"/>
  <c r="O431" i="70"/>
  <c r="B431" i="70"/>
  <c r="O430" i="70"/>
  <c r="B430" i="70"/>
  <c r="O429" i="70"/>
  <c r="B429" i="70"/>
  <c r="O428" i="70"/>
  <c r="B428" i="70"/>
  <c r="O427" i="70"/>
  <c r="B427" i="70"/>
  <c r="B426" i="70"/>
  <c r="B425" i="70"/>
  <c r="B424" i="70"/>
  <c r="O423" i="70"/>
  <c r="B423" i="70"/>
  <c r="O422" i="70"/>
  <c r="B422" i="70"/>
  <c r="O421" i="70"/>
  <c r="B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O394" i="70"/>
  <c r="O393" i="70"/>
  <c r="O392" i="70"/>
  <c r="O391" i="70"/>
  <c r="O390" i="70"/>
  <c r="O389" i="70"/>
  <c r="O388" i="70"/>
  <c r="O387" i="70"/>
  <c r="O386" i="70"/>
  <c r="O385" i="70"/>
  <c r="B385" i="70"/>
  <c r="O384" i="70"/>
  <c r="B384" i="70"/>
  <c r="O383" i="70"/>
  <c r="B383" i="70"/>
  <c r="B382" i="70"/>
  <c r="B381" i="70"/>
  <c r="B380" i="70"/>
  <c r="B379" i="70"/>
  <c r="B378" i="70"/>
  <c r="B377" i="70"/>
  <c r="B376" i="70"/>
  <c r="B375" i="70"/>
  <c r="O374" i="70"/>
  <c r="B374" i="70"/>
  <c r="O373" i="70"/>
  <c r="B373" i="70"/>
  <c r="O372" i="70"/>
  <c r="B372" i="70"/>
  <c r="O371" i="70"/>
  <c r="B371" i="70"/>
  <c r="O370" i="70"/>
  <c r="B370" i="70"/>
  <c r="O369" i="70"/>
  <c r="B369" i="70"/>
  <c r="O367" i="70"/>
  <c r="N367" i="70"/>
  <c r="O366" i="70"/>
  <c r="N366" i="70"/>
  <c r="O365" i="70"/>
  <c r="N365" i="70"/>
  <c r="O364" i="70"/>
  <c r="N364" i="70"/>
  <c r="B352" i="70"/>
  <c r="B351" i="70"/>
  <c r="B350" i="70"/>
  <c r="B349" i="70"/>
  <c r="B348" i="70"/>
  <c r="B347" i="70"/>
  <c r="B346" i="70"/>
  <c r="B345" i="70"/>
  <c r="B344" i="70"/>
  <c r="B343" i="70"/>
  <c r="B342" i="70"/>
  <c r="B341" i="70"/>
  <c r="B325" i="70"/>
  <c r="B324" i="70"/>
  <c r="B323" i="70"/>
  <c r="B322" i="70"/>
  <c r="B321" i="70"/>
  <c r="B320" i="70"/>
  <c r="B319" i="70"/>
  <c r="B318" i="70"/>
  <c r="B317" i="70"/>
  <c r="B316" i="70"/>
  <c r="B315" i="70"/>
  <c r="B314" i="70"/>
  <c r="B313" i="70"/>
  <c r="B312" i="70"/>
  <c r="B311" i="70"/>
  <c r="B310" i="70"/>
  <c r="B309" i="70"/>
  <c r="B308" i="70"/>
  <c r="B307"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B218" i="70"/>
  <c r="B217" i="70"/>
  <c r="B216" i="70"/>
  <c r="B215" i="70"/>
  <c r="B173" i="70"/>
  <c r="B172" i="70"/>
  <c r="B171" i="70"/>
  <c r="B170" i="70"/>
  <c r="B169" i="70"/>
  <c r="B168" i="70"/>
  <c r="B167" i="70"/>
  <c r="B166" i="70"/>
  <c r="B165" i="70"/>
  <c r="B164" i="70"/>
  <c r="B161" i="70"/>
  <c r="B160" i="70"/>
  <c r="B159" i="70"/>
  <c r="B158" i="70"/>
  <c r="B157" i="70"/>
  <c r="B156" i="70"/>
  <c r="B155" i="70"/>
  <c r="B154" i="70"/>
  <c r="B153" i="70"/>
  <c r="B152" i="70"/>
  <c r="B151" i="70"/>
  <c r="B150" i="70"/>
  <c r="B149" i="70"/>
  <c r="B148" i="70"/>
  <c r="N145" i="70"/>
  <c r="N144" i="70"/>
  <c r="B143" i="70"/>
  <c r="O142" i="70"/>
  <c r="B142" i="70"/>
  <c r="B141" i="70"/>
  <c r="B140" i="70"/>
  <c r="B139" i="70"/>
  <c r="B138" i="70"/>
  <c r="N137" i="70"/>
  <c r="B137" i="70"/>
  <c r="O136" i="70"/>
  <c r="O135" i="70"/>
  <c r="O134" i="70"/>
  <c r="O133" i="70"/>
  <c r="O132" i="70"/>
  <c r="O131" i="70"/>
  <c r="O130" i="70"/>
  <c r="O129" i="70"/>
  <c r="O128" i="70"/>
  <c r="B128" i="70"/>
  <c r="O127" i="70"/>
  <c r="B127" i="70"/>
  <c r="O126" i="70"/>
  <c r="B126" i="70"/>
  <c r="O125" i="70"/>
  <c r="B125" i="70"/>
  <c r="O124" i="70"/>
  <c r="B124" i="70"/>
  <c r="O123" i="70"/>
  <c r="B123" i="70"/>
  <c r="B122" i="70"/>
  <c r="O121" i="70"/>
  <c r="B121" i="70"/>
  <c r="O120" i="70"/>
  <c r="N120" i="70"/>
  <c r="B120" i="70"/>
  <c r="O119" i="70"/>
  <c r="N119" i="70"/>
  <c r="B119" i="70"/>
  <c r="O118" i="70"/>
  <c r="N118" i="70"/>
  <c r="B118" i="70"/>
  <c r="O117" i="70"/>
  <c r="N117" i="70"/>
  <c r="B117" i="70"/>
  <c r="O116" i="70"/>
  <c r="N116" i="70"/>
  <c r="B116" i="70"/>
  <c r="O115" i="70"/>
  <c r="N115" i="70"/>
  <c r="B115" i="70"/>
  <c r="O114" i="70"/>
  <c r="B114" i="70"/>
  <c r="O113" i="70"/>
  <c r="B113" i="70"/>
  <c r="O112" i="70"/>
  <c r="B112" i="70"/>
  <c r="O111" i="70"/>
  <c r="O110" i="70"/>
  <c r="B110" i="70"/>
  <c r="O109" i="70"/>
  <c r="B109" i="70"/>
  <c r="O108" i="70"/>
  <c r="B108" i="70"/>
  <c r="O107" i="70"/>
  <c r="B107" i="70"/>
  <c r="O106" i="70"/>
  <c r="B106" i="70"/>
  <c r="O105" i="70"/>
  <c r="B105" i="70"/>
  <c r="O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O80" i="70"/>
  <c r="N80" i="70"/>
  <c r="O79" i="70"/>
  <c r="N79" i="70"/>
  <c r="B79" i="70"/>
  <c r="O78" i="70"/>
  <c r="N78" i="70"/>
  <c r="O77" i="70"/>
  <c r="N77" i="70"/>
  <c r="O76" i="70"/>
  <c r="N76" i="70"/>
  <c r="O75" i="70"/>
  <c r="N75" i="70"/>
  <c r="O74" i="70"/>
  <c r="N74" i="70"/>
  <c r="O73" i="70"/>
  <c r="N73" i="70"/>
  <c r="O72" i="70"/>
  <c r="N72" i="70"/>
  <c r="B72" i="70"/>
  <c r="O71" i="70"/>
  <c r="N71" i="70"/>
  <c r="O70" i="70"/>
  <c r="B70" i="70"/>
  <c r="O69" i="70"/>
  <c r="N69" i="70"/>
  <c r="B69" i="70"/>
  <c r="O68" i="70"/>
  <c r="N68" i="70"/>
  <c r="B68" i="70"/>
  <c r="O67" i="70"/>
  <c r="N67" i="70"/>
  <c r="O66" i="70"/>
  <c r="N66" i="70"/>
  <c r="O65" i="70"/>
  <c r="N65" i="70"/>
  <c r="O64" i="70"/>
  <c r="N64" i="70"/>
  <c r="B64" i="70"/>
  <c r="O63" i="70"/>
  <c r="N63" i="70"/>
  <c r="B63" i="70"/>
  <c r="O62" i="70"/>
  <c r="N62" i="70"/>
  <c r="B62" i="70"/>
  <c r="O61" i="70"/>
  <c r="N61" i="70"/>
  <c r="B61" i="70"/>
  <c r="O60" i="70"/>
  <c r="N60" i="70"/>
  <c r="B60" i="70"/>
  <c r="O59" i="70"/>
  <c r="N59" i="70"/>
  <c r="B59" i="70"/>
  <c r="O58" i="70"/>
  <c r="N58" i="70"/>
  <c r="B58" i="70"/>
  <c r="B52" i="70"/>
  <c r="B35" i="70"/>
  <c r="B33"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O17" i="70"/>
  <c r="Q17" i="70" s="1"/>
  <c r="R17" i="70" s="1"/>
  <c r="O19" i="70"/>
  <c r="Q19" i="70" s="1"/>
  <c r="R19" i="70" s="1"/>
  <c r="Q15" i="70"/>
  <c r="R15"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5" authorId="0">
      <text>
        <r>
          <rPr>
            <b/>
            <sz val="9"/>
            <color indexed="81"/>
            <rFont val="宋体"/>
            <charset val="134"/>
          </rPr>
          <t>內</t>
        </r>
        <r>
          <rPr>
            <b/>
            <sz val="9"/>
            <color indexed="81"/>
            <rFont val="Tahoma"/>
            <family val="2"/>
          </rPr>
          <t>13*14</t>
        </r>
      </text>
    </comment>
    <comment ref="C36" authorId="0">
      <text>
        <r>
          <rPr>
            <b/>
            <sz val="9"/>
            <color indexed="81"/>
            <rFont val="宋体"/>
            <charset val="134"/>
          </rPr>
          <t>內</t>
        </r>
        <r>
          <rPr>
            <b/>
            <sz val="9"/>
            <color indexed="81"/>
            <rFont val="Tahoma"/>
            <family val="2"/>
          </rPr>
          <t xml:space="preserve">12.5*18.5
</t>
        </r>
      </text>
    </comment>
    <comment ref="C37" authorId="0">
      <text>
        <r>
          <rPr>
            <b/>
            <sz val="9"/>
            <color indexed="81"/>
            <rFont val="宋体"/>
            <charset val="134"/>
          </rPr>
          <t>內</t>
        </r>
        <r>
          <rPr>
            <b/>
            <sz val="9"/>
            <color indexed="81"/>
            <rFont val="Tahoma"/>
            <family val="2"/>
          </rPr>
          <t>12.5*24</t>
        </r>
      </text>
    </comment>
    <comment ref="C38" authorId="0">
      <text>
        <r>
          <rPr>
            <b/>
            <sz val="9"/>
            <color indexed="81"/>
            <rFont val="宋体"/>
            <charset val="134"/>
          </rPr>
          <t>內</t>
        </r>
        <r>
          <rPr>
            <b/>
            <sz val="9"/>
            <color indexed="81"/>
            <rFont val="Tahoma"/>
            <family val="2"/>
          </rPr>
          <t>14*14</t>
        </r>
      </text>
    </comment>
    <comment ref="C39" authorId="0">
      <text>
        <r>
          <rPr>
            <b/>
            <sz val="9"/>
            <color indexed="81"/>
            <rFont val="宋体"/>
            <charset val="134"/>
          </rPr>
          <t>內</t>
        </r>
        <r>
          <rPr>
            <b/>
            <sz val="9"/>
            <color indexed="81"/>
            <rFont val="Tahoma"/>
            <family val="2"/>
          </rPr>
          <t>14.5*19</t>
        </r>
      </text>
    </comment>
    <comment ref="C40" authorId="0">
      <text>
        <r>
          <rPr>
            <b/>
            <sz val="9"/>
            <color indexed="81"/>
            <rFont val="宋体"/>
            <charset val="134"/>
          </rPr>
          <t>內</t>
        </r>
        <r>
          <rPr>
            <b/>
            <sz val="9"/>
            <color indexed="81"/>
            <rFont val="Tahoma"/>
            <family val="2"/>
          </rPr>
          <t>14.5*23.5</t>
        </r>
      </text>
    </comment>
    <comment ref="C41" authorId="0">
      <text>
        <r>
          <rPr>
            <b/>
            <sz val="9"/>
            <color indexed="81"/>
            <rFont val="宋体"/>
            <charset val="134"/>
          </rPr>
          <t>內</t>
        </r>
        <r>
          <rPr>
            <b/>
            <sz val="9"/>
            <color indexed="81"/>
            <rFont val="Tahoma"/>
            <family val="2"/>
          </rPr>
          <t>19.5*24</t>
        </r>
      </text>
    </comment>
    <comment ref="C42" authorId="0">
      <text>
        <r>
          <rPr>
            <b/>
            <sz val="9"/>
            <color indexed="81"/>
            <rFont val="宋体"/>
            <charset val="134"/>
          </rPr>
          <t>內</t>
        </r>
        <r>
          <rPr>
            <b/>
            <sz val="9"/>
            <color indexed="81"/>
            <rFont val="Tahoma"/>
            <family val="2"/>
          </rPr>
          <t>19.5*28</t>
        </r>
      </text>
    </comment>
    <comment ref="C43" authorId="0">
      <text>
        <r>
          <rPr>
            <b/>
            <sz val="9"/>
            <color indexed="81"/>
            <rFont val="宋体"/>
            <charset val="134"/>
          </rPr>
          <t>內</t>
        </r>
        <r>
          <rPr>
            <b/>
            <sz val="9"/>
            <color indexed="81"/>
            <rFont val="Tahoma"/>
            <family val="2"/>
          </rPr>
          <t>24.5*24</t>
        </r>
      </text>
    </comment>
    <comment ref="C44" authorId="0">
      <text>
        <r>
          <rPr>
            <b/>
            <sz val="9"/>
            <color indexed="81"/>
            <rFont val="宋体"/>
            <charset val="134"/>
          </rPr>
          <t>內</t>
        </r>
        <r>
          <rPr>
            <b/>
            <sz val="9"/>
            <color indexed="81"/>
            <rFont val="Tahoma"/>
            <family val="2"/>
          </rPr>
          <t>24*29</t>
        </r>
      </text>
    </comment>
    <comment ref="C46" authorId="0">
      <text>
        <r>
          <rPr>
            <b/>
            <sz val="9"/>
            <color indexed="81"/>
            <rFont val="宋体"/>
            <charset val="134"/>
          </rPr>
          <t>內</t>
        </r>
        <r>
          <rPr>
            <b/>
            <sz val="9"/>
            <color indexed="81"/>
            <rFont val="Tahoma"/>
            <family val="2"/>
          </rPr>
          <t>29.5*34</t>
        </r>
      </text>
    </comment>
    <comment ref="B58" authorId="0">
      <text>
        <r>
          <rPr>
            <b/>
            <sz val="9"/>
            <color indexed="81"/>
            <rFont val="Tahoma"/>
            <family val="2"/>
          </rPr>
          <t xml:space="preserve">7g/1000pcs
</t>
        </r>
      </text>
    </comment>
    <comment ref="B59" authorId="0">
      <text>
        <r>
          <rPr>
            <b/>
            <sz val="9"/>
            <color indexed="81"/>
            <rFont val="Tahoma"/>
            <family val="2"/>
          </rPr>
          <t xml:space="preserve">118g/1000pcs
</t>
        </r>
      </text>
    </comment>
    <comment ref="B60" authorId="0">
      <text>
        <r>
          <rPr>
            <b/>
            <sz val="9"/>
            <color indexed="81"/>
            <rFont val="Tahoma"/>
            <family val="2"/>
          </rPr>
          <t xml:space="preserve">282g/2000pcs
</t>
        </r>
      </text>
    </comment>
    <comment ref="B61" authorId="0">
      <text>
        <r>
          <rPr>
            <b/>
            <sz val="9"/>
            <color indexed="81"/>
            <rFont val="Tahoma"/>
            <family val="2"/>
          </rPr>
          <t>466g/1000pcs</t>
        </r>
      </text>
    </comment>
    <comment ref="B62" authorId="0">
      <text>
        <r>
          <rPr>
            <b/>
            <sz val="9"/>
            <color indexed="81"/>
            <rFont val="Tahoma"/>
            <family val="2"/>
          </rPr>
          <t>290g/1000pcs</t>
        </r>
      </text>
    </comment>
    <comment ref="B63" authorId="0">
      <text>
        <r>
          <rPr>
            <b/>
            <sz val="9"/>
            <color indexed="81"/>
            <rFont val="Tahoma"/>
            <family val="2"/>
          </rPr>
          <t>360g/1000pcs</t>
        </r>
      </text>
    </comment>
    <comment ref="B65" authorId="0">
      <text>
        <r>
          <rPr>
            <b/>
            <sz val="9"/>
            <color indexed="81"/>
            <rFont val="宋体"/>
            <charset val="134"/>
          </rPr>
          <t xml:space="preserve">按面積計算
</t>
        </r>
        <r>
          <rPr>
            <b/>
            <sz val="9"/>
            <color indexed="81"/>
            <rFont val="Tahoma"/>
            <family val="2"/>
          </rPr>
          <t>1cm*1cm=0.006g</t>
        </r>
      </text>
    </comment>
    <comment ref="B66" authorId="0">
      <text>
        <r>
          <rPr>
            <b/>
            <sz val="9"/>
            <color indexed="81"/>
            <rFont val="宋体"/>
            <charset val="134"/>
          </rPr>
          <t xml:space="preserve">按面積計算
</t>
        </r>
        <r>
          <rPr>
            <b/>
            <sz val="9"/>
            <color indexed="81"/>
            <rFont val="Tahoma"/>
            <family val="2"/>
          </rPr>
          <t>1cm*1cm=0.006g</t>
        </r>
      </text>
    </comment>
    <comment ref="B67" authorId="0">
      <text>
        <r>
          <rPr>
            <b/>
            <sz val="9"/>
            <color indexed="81"/>
            <rFont val="宋体"/>
            <charset val="134"/>
          </rPr>
          <t xml:space="preserve">按面積計算
</t>
        </r>
        <r>
          <rPr>
            <b/>
            <sz val="9"/>
            <color indexed="81"/>
            <rFont val="Tahoma"/>
            <family val="2"/>
          </rPr>
          <t>1cm*1cm=0.006g</t>
        </r>
      </text>
    </comment>
    <comment ref="C67" authorId="0">
      <text>
        <r>
          <rPr>
            <b/>
            <sz val="9"/>
            <color indexed="81"/>
            <rFont val="宋体"/>
            <charset val="134"/>
          </rPr>
          <t>內</t>
        </r>
        <r>
          <rPr>
            <b/>
            <sz val="9"/>
            <color indexed="81"/>
            <rFont val="Tahoma"/>
            <family val="2"/>
          </rPr>
          <t>7.4*10</t>
        </r>
      </text>
    </comment>
    <comment ref="C68" authorId="0">
      <text>
        <r>
          <rPr>
            <b/>
            <sz val="9"/>
            <color indexed="81"/>
            <rFont val="宋体"/>
            <charset val="134"/>
          </rPr>
          <t>內</t>
        </r>
        <r>
          <rPr>
            <b/>
            <sz val="9"/>
            <color indexed="81"/>
            <rFont val="Tahoma"/>
            <family val="2"/>
          </rPr>
          <t>8.2*9</t>
        </r>
      </text>
    </comment>
    <comment ref="C69" authorId="0">
      <text>
        <r>
          <rPr>
            <b/>
            <sz val="9"/>
            <color indexed="81"/>
            <rFont val="宋体"/>
            <charset val="134"/>
          </rPr>
          <t>內</t>
        </r>
        <r>
          <rPr>
            <b/>
            <sz val="9"/>
            <color indexed="81"/>
            <rFont val="Tahoma"/>
            <family val="2"/>
          </rPr>
          <t>9.5*16</t>
        </r>
      </text>
    </comment>
    <comment ref="C70" authorId="0">
      <text>
        <r>
          <rPr>
            <b/>
            <sz val="9"/>
            <color indexed="81"/>
            <rFont val="宋体"/>
            <charset val="134"/>
          </rPr>
          <t>內</t>
        </r>
        <r>
          <rPr>
            <b/>
            <sz val="9"/>
            <color indexed="81"/>
            <rFont val="Tahoma"/>
            <family val="2"/>
          </rPr>
          <t xml:space="preserve">10.5*15
</t>
        </r>
      </text>
    </comment>
    <comment ref="N70"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11.5*18</t>
        </r>
      </text>
    </comment>
    <comment ref="AJ71" authorId="0">
      <text>
        <r>
          <rPr>
            <b/>
            <sz val="9"/>
            <color indexed="81"/>
            <rFont val="宋体"/>
            <charset val="134"/>
          </rPr>
          <t>內</t>
        </r>
        <r>
          <rPr>
            <b/>
            <sz val="9"/>
            <color indexed="81"/>
            <rFont val="Tahoma"/>
            <family val="2"/>
          </rPr>
          <t>11.5*18</t>
        </r>
      </text>
    </comment>
    <comment ref="C72" authorId="0">
      <text>
        <r>
          <rPr>
            <b/>
            <sz val="9"/>
            <color indexed="81"/>
            <rFont val="宋体"/>
            <charset val="134"/>
          </rPr>
          <t>內</t>
        </r>
        <r>
          <rPr>
            <b/>
            <sz val="9"/>
            <color indexed="81"/>
            <rFont val="Tahoma"/>
            <family val="2"/>
          </rPr>
          <t>12.5*20</t>
        </r>
      </text>
    </comment>
    <comment ref="N72" authorId="0">
      <text>
        <r>
          <rPr>
            <b/>
            <sz val="9"/>
            <color indexed="81"/>
            <rFont val="宋体"/>
            <charset val="134"/>
          </rPr>
          <t>包彩帶用</t>
        </r>
        <r>
          <rPr>
            <b/>
            <sz val="9"/>
            <color indexed="81"/>
            <rFont val="Tahoma"/>
            <family val="2"/>
          </rPr>
          <t>-30x</t>
        </r>
      </text>
    </comment>
    <comment ref="O72" authorId="0">
      <text>
        <r>
          <rPr>
            <b/>
            <sz val="9"/>
            <color indexed="81"/>
            <rFont val="宋体"/>
            <charset val="134"/>
          </rPr>
          <t>包彩帶用</t>
        </r>
        <r>
          <rPr>
            <b/>
            <sz val="9"/>
            <color indexed="81"/>
            <rFont val="Tahoma"/>
            <family val="2"/>
          </rPr>
          <t>-30x</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13.3*25</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14.3*21</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17.5*30</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19.3*26</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22.5*32</t>
        </r>
      </text>
    </comment>
    <comment ref="C79" authorId="0">
      <text>
        <r>
          <rPr>
            <b/>
            <sz val="9"/>
            <color indexed="81"/>
            <rFont val="宋体"/>
            <charset val="134"/>
          </rPr>
          <t>洞+內</t>
        </r>
        <r>
          <rPr>
            <b/>
            <sz val="9"/>
            <color indexed="81"/>
            <rFont val="Tahoma"/>
            <family val="2"/>
          </rPr>
          <t>25.3*30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29.3*38</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39.3*60</t>
        </r>
      </text>
    </comment>
    <comment ref="C92" authorId="0">
      <text>
        <r>
          <rPr>
            <b/>
            <sz val="9"/>
            <color indexed="81"/>
            <rFont val="宋体"/>
            <charset val="134"/>
          </rPr>
          <t>實際</t>
        </r>
        <r>
          <rPr>
            <b/>
            <sz val="9"/>
            <color indexed="81"/>
            <rFont val="Tahoma"/>
            <family val="2"/>
          </rPr>
          <t>6*15.5cm</t>
        </r>
      </text>
    </comment>
    <comment ref="C94" authorId="0">
      <text>
        <r>
          <rPr>
            <b/>
            <sz val="9"/>
            <color indexed="81"/>
            <rFont val="宋体"/>
            <charset val="134"/>
          </rPr>
          <t>實際</t>
        </r>
        <r>
          <rPr>
            <b/>
            <sz val="9"/>
            <color indexed="81"/>
            <rFont val="Tahoma"/>
            <family val="2"/>
          </rPr>
          <t>6*20.5cm</t>
        </r>
      </text>
    </comment>
    <comment ref="C95" authorId="0">
      <text>
        <r>
          <rPr>
            <b/>
            <sz val="9"/>
            <color indexed="81"/>
            <rFont val="宋体"/>
            <charset val="134"/>
          </rPr>
          <t>實際</t>
        </r>
        <r>
          <rPr>
            <b/>
            <sz val="9"/>
            <color indexed="81"/>
            <rFont val="Tahoma"/>
            <family val="2"/>
          </rPr>
          <t>6*30.5cm</t>
        </r>
      </text>
    </comment>
    <comment ref="C96"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內</t>
        </r>
        <r>
          <rPr>
            <b/>
            <sz val="9"/>
            <color indexed="81"/>
            <rFont val="Tahoma"/>
            <family val="2"/>
          </rPr>
          <t>:5.3*24cm</t>
        </r>
      </text>
    </comment>
    <comment ref="C101" authorId="0">
      <text>
        <r>
          <rPr>
            <b/>
            <sz val="9"/>
            <color indexed="81"/>
            <rFont val="宋体"/>
            <charset val="134"/>
          </rPr>
          <t>內</t>
        </r>
        <r>
          <rPr>
            <b/>
            <sz val="9"/>
            <color indexed="81"/>
            <rFont val="Tahoma"/>
            <family val="2"/>
          </rPr>
          <t>:17.5*26cm</t>
        </r>
      </text>
    </comment>
    <comment ref="C102" authorId="0">
      <text>
        <r>
          <rPr>
            <b/>
            <sz val="9"/>
            <color indexed="81"/>
            <rFont val="宋体"/>
            <charset val="134"/>
          </rPr>
          <t>內</t>
        </r>
        <r>
          <rPr>
            <b/>
            <sz val="9"/>
            <color indexed="81"/>
            <rFont val="Tahoma"/>
            <family val="2"/>
          </rPr>
          <t>:19.5*30cm</t>
        </r>
      </text>
    </comment>
    <comment ref="C103" authorId="0">
      <text>
        <r>
          <rPr>
            <b/>
            <sz val="9"/>
            <color indexed="81"/>
            <rFont val="宋体"/>
            <charset val="134"/>
          </rPr>
          <t>內</t>
        </r>
        <r>
          <rPr>
            <b/>
            <sz val="9"/>
            <color indexed="81"/>
            <rFont val="Tahoma"/>
            <family val="2"/>
          </rPr>
          <t xml:space="preserve">:22*33cm
</t>
        </r>
      </text>
    </comment>
    <comment ref="C105" authorId="0">
      <text>
        <r>
          <rPr>
            <b/>
            <sz val="9"/>
            <color indexed="81"/>
            <rFont val="宋体"/>
            <charset val="134"/>
          </rPr>
          <t>定作</t>
        </r>
      </text>
    </comment>
    <comment ref="C106" authorId="0">
      <text>
        <r>
          <rPr>
            <b/>
            <sz val="9"/>
            <color indexed="81"/>
            <rFont val="宋体"/>
            <charset val="134"/>
          </rPr>
          <t>定作</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1"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4"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21" authorId="0">
      <text>
        <r>
          <rPr>
            <b/>
            <sz val="9"/>
            <color indexed="81"/>
            <rFont val="宋体"/>
            <family val="3"/>
            <charset val="134"/>
          </rPr>
          <t>原重覆錯編</t>
        </r>
        <r>
          <rPr>
            <b/>
            <sz val="9"/>
            <color indexed="81"/>
            <rFont val="Tahoma"/>
            <family val="2"/>
          </rPr>
          <t>:107.10</t>
        </r>
      </text>
    </comment>
    <comment ref="N121"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2" authorId="0">
      <text>
        <r>
          <rPr>
            <b/>
            <sz val="9"/>
            <color indexed="81"/>
            <rFont val="宋体"/>
            <family val="3"/>
            <charset val="134"/>
          </rPr>
          <t>原重覆錯編</t>
        </r>
        <r>
          <rPr>
            <b/>
            <sz val="9"/>
            <color indexed="81"/>
            <rFont val="Tahoma"/>
            <family val="2"/>
          </rPr>
          <t>:107.02</t>
        </r>
      </text>
    </comment>
    <comment ref="N14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6"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4" authorId="0">
      <text>
        <r>
          <rPr>
            <b/>
            <sz val="9"/>
            <color indexed="81"/>
            <rFont val="Tahoma"/>
            <family val="2"/>
          </rPr>
          <t>8</t>
        </r>
        <r>
          <rPr>
            <b/>
            <sz val="9"/>
            <color indexed="81"/>
            <rFont val="宋体"/>
            <charset val="134"/>
          </rPr>
          <t xml:space="preserve">件裝分拆
</t>
        </r>
      </text>
    </comment>
    <comment ref="AJ364" authorId="0">
      <text>
        <r>
          <rPr>
            <b/>
            <sz val="9"/>
            <color indexed="81"/>
            <rFont val="Tahoma"/>
            <family val="2"/>
          </rPr>
          <t>8</t>
        </r>
        <r>
          <rPr>
            <b/>
            <sz val="9"/>
            <color indexed="81"/>
            <rFont val="宋体"/>
            <charset val="134"/>
          </rPr>
          <t xml:space="preserve">件裝分拆
</t>
        </r>
      </text>
    </comment>
    <comment ref="C365" authorId="0">
      <text>
        <r>
          <rPr>
            <b/>
            <sz val="9"/>
            <color indexed="81"/>
            <rFont val="Tahoma"/>
            <family val="2"/>
          </rPr>
          <t>8</t>
        </r>
        <r>
          <rPr>
            <b/>
            <sz val="9"/>
            <color indexed="81"/>
            <rFont val="宋体"/>
            <charset val="134"/>
          </rPr>
          <t xml:space="preserve">件裝分拆
</t>
        </r>
      </text>
    </comment>
    <comment ref="C366" authorId="0">
      <text>
        <r>
          <rPr>
            <b/>
            <sz val="9"/>
            <color indexed="81"/>
            <rFont val="Tahoma"/>
            <family val="2"/>
          </rPr>
          <t>8</t>
        </r>
        <r>
          <rPr>
            <b/>
            <sz val="9"/>
            <color indexed="81"/>
            <rFont val="宋体"/>
            <charset val="134"/>
          </rPr>
          <t xml:space="preserve">件裝分拆
</t>
        </r>
      </text>
    </comment>
    <comment ref="C367" authorId="0">
      <text>
        <r>
          <rPr>
            <b/>
            <sz val="9"/>
            <color indexed="81"/>
            <rFont val="Tahoma"/>
            <family val="2"/>
          </rPr>
          <t>8</t>
        </r>
        <r>
          <rPr>
            <b/>
            <sz val="9"/>
            <color indexed="81"/>
            <rFont val="宋体"/>
            <charset val="134"/>
          </rPr>
          <t xml:space="preserve">件裝分拆
</t>
        </r>
      </text>
    </comment>
    <comment ref="C368" authorId="0">
      <text>
        <r>
          <rPr>
            <b/>
            <sz val="9"/>
            <color indexed="81"/>
            <rFont val="宋体"/>
            <charset val="134"/>
          </rPr>
          <t xml:space="preserve">廠家免費送
</t>
        </r>
      </text>
    </comment>
    <comment ref="O368" authorId="0">
      <text>
        <r>
          <rPr>
            <b/>
            <sz val="9"/>
            <color indexed="81"/>
            <rFont val="宋体"/>
            <charset val="134"/>
          </rPr>
          <t xml:space="preserve">廠家免費送
</t>
        </r>
      </text>
    </comment>
    <comment ref="AJ368" authorId="0">
      <text>
        <r>
          <rPr>
            <b/>
            <sz val="9"/>
            <color indexed="81"/>
            <rFont val="宋体"/>
            <charset val="134"/>
          </rPr>
          <t xml:space="preserve">廠家免費送
</t>
        </r>
      </text>
    </comment>
    <comment ref="C369" authorId="0">
      <text>
        <r>
          <rPr>
            <b/>
            <sz val="9"/>
            <color indexed="81"/>
            <rFont val="宋体"/>
            <charset val="134"/>
          </rPr>
          <t xml:space="preserve">勾+毛
</t>
        </r>
      </text>
    </comment>
    <comment ref="AJ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AJ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AJ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1" authorId="0">
      <text>
        <r>
          <rPr>
            <b/>
            <sz val="9"/>
            <color indexed="81"/>
            <rFont val="宋体"/>
            <charset val="134"/>
          </rPr>
          <t xml:space="preserve">疑似出貨100米
</t>
        </r>
      </text>
    </comment>
    <comment ref="N421"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1" authorId="0">
      <text>
        <r>
          <rPr>
            <b/>
            <sz val="9"/>
            <color indexed="81"/>
            <rFont val="宋体"/>
            <charset val="134"/>
          </rPr>
          <t>国标3*100宽2.5mm
国标3*150宽2.5mm
国标3*200宽2.5mm</t>
        </r>
      </text>
    </comment>
    <comment ref="AJ441" authorId="0">
      <text>
        <r>
          <rPr>
            <b/>
            <sz val="9"/>
            <color indexed="81"/>
            <rFont val="宋体"/>
            <charset val="134"/>
          </rPr>
          <t>国标3*100宽2.5mm
国标3*150宽2.5mm
国标3*200宽2.5mm</t>
        </r>
      </text>
    </comment>
    <comment ref="C447" authorId="0">
      <text>
        <r>
          <rPr>
            <b/>
            <sz val="9"/>
            <color indexed="81"/>
            <rFont val="宋体"/>
            <charset val="134"/>
          </rPr>
          <t>国标3*100宽2.5mm
国标3*150宽2.5mm
国标3*200宽2.5mm</t>
        </r>
      </text>
    </comment>
    <comment ref="AJ447" authorId="0">
      <text>
        <r>
          <rPr>
            <b/>
            <sz val="9"/>
            <color indexed="81"/>
            <rFont val="宋体"/>
            <charset val="134"/>
          </rPr>
          <t>国标3*100宽2.5mm
国标3*150宽2.5mm
国标3*200宽2.5mm</t>
        </r>
      </text>
    </comment>
    <comment ref="C455" authorId="0">
      <text>
        <r>
          <rPr>
            <b/>
            <sz val="9"/>
            <color indexed="81"/>
            <rFont val="宋体"/>
            <charset val="134"/>
          </rPr>
          <t>国标3*100宽2.5mm
国标3*150宽2.5mm
国标3*200宽2.5mm</t>
        </r>
      </text>
    </comment>
    <comment ref="AJ455" authorId="0">
      <text>
        <r>
          <rPr>
            <b/>
            <sz val="9"/>
            <color indexed="81"/>
            <rFont val="宋体"/>
            <charset val="134"/>
          </rPr>
          <t>国标3*100宽2.5mm
国标3*150宽2.5mm
国标3*200宽2.5mm</t>
        </r>
      </text>
    </comment>
    <comment ref="C46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J46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2"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3"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4" authorId="0">
      <text>
        <r>
          <rPr>
            <b/>
            <sz val="9"/>
            <color indexed="81"/>
            <rFont val="Tahoma"/>
            <family val="2"/>
          </rPr>
          <t>330g/10pcs</t>
        </r>
      </text>
    </comment>
    <comment ref="N46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0"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1"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3"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9" authorId="0">
      <text>
        <r>
          <rPr>
            <b/>
            <sz val="9"/>
            <color indexed="81"/>
            <rFont val="Tahoma"/>
            <family val="2"/>
          </rPr>
          <t>5</t>
        </r>
        <r>
          <rPr>
            <b/>
            <sz val="9"/>
            <color indexed="81"/>
            <rFont val="宋体"/>
            <charset val="134"/>
          </rPr>
          <t xml:space="preserve">件套裝分拆
</t>
        </r>
      </text>
    </comment>
    <comment ref="O61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0" authorId="0">
      <text>
        <r>
          <rPr>
            <b/>
            <sz val="9"/>
            <color indexed="81"/>
            <rFont val="Tahoma"/>
            <family val="2"/>
          </rPr>
          <t>5</t>
        </r>
        <r>
          <rPr>
            <b/>
            <sz val="9"/>
            <color indexed="81"/>
            <rFont val="宋体"/>
            <charset val="134"/>
          </rPr>
          <t xml:space="preserve">件套裝分拆
</t>
        </r>
      </text>
    </comment>
    <comment ref="O62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1" authorId="0">
      <text>
        <r>
          <rPr>
            <b/>
            <sz val="9"/>
            <color indexed="81"/>
            <rFont val="Tahoma"/>
            <family val="2"/>
          </rPr>
          <t>5</t>
        </r>
        <r>
          <rPr>
            <b/>
            <sz val="9"/>
            <color indexed="81"/>
            <rFont val="宋体"/>
            <charset val="134"/>
          </rPr>
          <t xml:space="preserve">件套裝分拆
</t>
        </r>
      </text>
    </comment>
    <comment ref="O621"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8" authorId="0">
      <text>
        <r>
          <rPr>
            <b/>
            <sz val="9"/>
            <color indexed="81"/>
            <rFont val="宋体"/>
            <charset val="134"/>
          </rPr>
          <t>自封袋</t>
        </r>
        <r>
          <rPr>
            <b/>
            <sz val="9"/>
            <color indexed="81"/>
            <rFont val="Tahoma"/>
            <family val="2"/>
          </rPr>
          <t>:8*12cm-1g
4.5g/10pcs</t>
        </r>
      </text>
    </comment>
    <comment ref="B677" authorId="0">
      <text>
        <r>
          <rPr>
            <b/>
            <sz val="9"/>
            <color indexed="81"/>
            <rFont val="Tahoma"/>
            <family val="2"/>
          </rPr>
          <t>13g/10pcs</t>
        </r>
      </text>
    </comment>
    <comment ref="B680" authorId="0">
      <text>
        <r>
          <rPr>
            <b/>
            <sz val="9"/>
            <color indexed="81"/>
            <rFont val="Tahoma"/>
            <family val="2"/>
          </rPr>
          <t>6.4g/10pcs</t>
        </r>
      </text>
    </comment>
    <comment ref="C727" authorId="0">
      <text>
        <r>
          <rPr>
            <b/>
            <sz val="9"/>
            <color indexed="81"/>
            <rFont val="宋体"/>
            <charset val="134"/>
          </rPr>
          <t>出成迷你透明已重新下單小透明1</t>
        </r>
        <r>
          <rPr>
            <b/>
            <sz val="9"/>
            <color indexed="81"/>
            <rFont val="宋体"/>
            <family val="3"/>
            <charset val="134"/>
          </rPr>
          <t>0個</t>
        </r>
      </text>
    </comment>
    <comment ref="N727" authorId="0">
      <text>
        <r>
          <rPr>
            <b/>
            <sz val="9"/>
            <color indexed="81"/>
            <rFont val="宋体"/>
            <charset val="134"/>
          </rPr>
          <t>出成迷你透明已重新下單小透明1</t>
        </r>
        <r>
          <rPr>
            <b/>
            <sz val="9"/>
            <color indexed="81"/>
            <rFont val="宋体"/>
            <family val="3"/>
            <charset val="134"/>
          </rPr>
          <t>0個</t>
        </r>
      </text>
    </comment>
    <comment ref="C729" authorId="0">
      <text>
        <r>
          <rPr>
            <b/>
            <sz val="9"/>
            <color indexed="81"/>
            <rFont val="宋体"/>
            <charset val="134"/>
          </rPr>
          <t>出成迷你透明已重新下單小透明1</t>
        </r>
        <r>
          <rPr>
            <b/>
            <sz val="9"/>
            <color indexed="81"/>
            <rFont val="宋体"/>
            <family val="3"/>
            <charset val="134"/>
          </rPr>
          <t>0個</t>
        </r>
      </text>
    </comment>
    <comment ref="N729" authorId="0">
      <text>
        <r>
          <rPr>
            <b/>
            <sz val="9"/>
            <color indexed="81"/>
            <rFont val="宋体"/>
            <charset val="134"/>
          </rPr>
          <t>出成迷你透明已重新下單小透明1</t>
        </r>
        <r>
          <rPr>
            <b/>
            <sz val="9"/>
            <color indexed="81"/>
            <rFont val="宋体"/>
            <family val="3"/>
            <charset val="134"/>
          </rPr>
          <t>0個</t>
        </r>
      </text>
    </comment>
    <comment ref="A753" authorId="0">
      <text>
        <r>
          <rPr>
            <b/>
            <sz val="9"/>
            <color indexed="81"/>
            <rFont val="宋体"/>
            <family val="3"/>
            <charset val="134"/>
          </rPr>
          <t>原錯編</t>
        </r>
        <r>
          <rPr>
            <b/>
            <sz val="9"/>
            <color indexed="81"/>
            <rFont val="Tahoma"/>
            <family val="2"/>
          </rPr>
          <t>:331.01</t>
        </r>
      </text>
    </comment>
    <comment ref="B753" authorId="0">
      <text>
        <r>
          <rPr>
            <b/>
            <sz val="9"/>
            <color indexed="81"/>
            <rFont val="宋体"/>
            <charset val="134"/>
          </rPr>
          <t>紙卡</t>
        </r>
        <r>
          <rPr>
            <b/>
            <sz val="9"/>
            <color indexed="81"/>
            <rFont val="Tahoma"/>
            <family val="2"/>
          </rPr>
          <t xml:space="preserve">4.2g
</t>
        </r>
      </text>
    </comment>
    <comment ref="C77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6" authorId="0">
      <text>
        <r>
          <rPr>
            <b/>
            <sz val="9"/>
            <color indexed="81"/>
            <rFont val="宋体"/>
            <charset val="134"/>
          </rPr>
          <t>到</t>
        </r>
        <r>
          <rPr>
            <b/>
            <sz val="9"/>
            <color indexed="81"/>
            <rFont val="Tahoma"/>
            <family val="2"/>
          </rPr>
          <t>99</t>
        </r>
        <r>
          <rPr>
            <b/>
            <sz val="9"/>
            <color indexed="81"/>
            <rFont val="宋体"/>
            <charset val="134"/>
          </rPr>
          <t>個</t>
        </r>
      </text>
    </comment>
    <comment ref="C806" authorId="0">
      <text>
        <r>
          <rPr>
            <b/>
            <sz val="9"/>
            <color indexed="81"/>
            <rFont val="宋体"/>
            <charset val="134"/>
          </rPr>
          <t>下單黑色
出成黃色</t>
        </r>
      </text>
    </comment>
    <comment ref="N807" authorId="0">
      <text>
        <r>
          <rPr>
            <b/>
            <sz val="9"/>
            <color indexed="81"/>
            <rFont val="宋体"/>
            <charset val="134"/>
          </rPr>
          <t>出</t>
        </r>
        <r>
          <rPr>
            <b/>
            <sz val="9"/>
            <color indexed="81"/>
            <rFont val="Tahoma"/>
            <family val="2"/>
          </rPr>
          <t>53</t>
        </r>
        <r>
          <rPr>
            <b/>
            <sz val="9"/>
            <color indexed="81"/>
            <rFont val="宋体"/>
            <charset val="134"/>
          </rPr>
          <t>個</t>
        </r>
      </text>
    </comment>
    <comment ref="B815" authorId="0">
      <text>
        <r>
          <rPr>
            <b/>
            <sz val="9"/>
            <color indexed="81"/>
            <rFont val="宋体"/>
            <charset val="134"/>
          </rPr>
          <t>塑膠袋</t>
        </r>
        <r>
          <rPr>
            <b/>
            <sz val="9"/>
            <color indexed="81"/>
            <rFont val="Tahoma"/>
            <family val="2"/>
          </rPr>
          <t>:2.7g</t>
        </r>
      </text>
    </comment>
    <comment ref="N815" authorId="0">
      <text>
        <r>
          <rPr>
            <b/>
            <sz val="9"/>
            <color indexed="81"/>
            <rFont val="Tahoma"/>
            <family val="2"/>
          </rPr>
          <t>387g/1.54g</t>
        </r>
      </text>
    </comment>
    <comment ref="B816" authorId="0">
      <text>
        <r>
          <rPr>
            <b/>
            <sz val="9"/>
            <color indexed="81"/>
            <rFont val="宋体"/>
            <charset val="134"/>
          </rPr>
          <t>塑膠袋</t>
        </r>
        <r>
          <rPr>
            <b/>
            <sz val="9"/>
            <color indexed="81"/>
            <rFont val="Tahoma"/>
            <family val="2"/>
          </rPr>
          <t>:2.7g</t>
        </r>
      </text>
    </comment>
    <comment ref="N816" authorId="0">
      <text>
        <r>
          <rPr>
            <b/>
            <sz val="9"/>
            <color indexed="81"/>
            <rFont val="Tahoma"/>
            <family val="2"/>
          </rPr>
          <t>381.6g/1.52g</t>
        </r>
      </text>
    </comment>
    <comment ref="A821"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7" authorId="0">
      <text>
        <r>
          <rPr>
            <b/>
            <sz val="9"/>
            <color indexed="81"/>
            <rFont val="宋体"/>
            <charset val="134"/>
          </rPr>
          <t>塑膠袋</t>
        </r>
        <r>
          <rPr>
            <b/>
            <sz val="9"/>
            <color indexed="81"/>
            <rFont val="Tahoma"/>
            <family val="2"/>
          </rPr>
          <t>:2.7g</t>
        </r>
      </text>
    </comment>
    <comment ref="B838" authorId="0">
      <text>
        <r>
          <rPr>
            <b/>
            <sz val="9"/>
            <color indexed="81"/>
            <rFont val="宋体"/>
            <charset val="134"/>
          </rPr>
          <t>塑膠袋</t>
        </r>
        <r>
          <rPr>
            <b/>
            <sz val="9"/>
            <color indexed="81"/>
            <rFont val="Tahoma"/>
            <family val="2"/>
          </rPr>
          <t>:2.7g</t>
        </r>
      </text>
    </comment>
    <comment ref="N851" authorId="0">
      <text>
        <r>
          <rPr>
            <b/>
            <sz val="9"/>
            <color indexed="81"/>
            <rFont val="宋体"/>
            <charset val="134"/>
          </rPr>
          <t>出</t>
        </r>
        <r>
          <rPr>
            <b/>
            <sz val="9"/>
            <color indexed="81"/>
            <rFont val="Tahoma"/>
            <family val="2"/>
          </rPr>
          <t>11</t>
        </r>
        <r>
          <rPr>
            <b/>
            <sz val="9"/>
            <color indexed="81"/>
            <rFont val="宋体"/>
            <charset val="134"/>
          </rPr>
          <t>條</t>
        </r>
      </text>
    </comment>
    <comment ref="B894" authorId="0">
      <text>
        <r>
          <rPr>
            <b/>
            <sz val="9"/>
            <color indexed="81"/>
            <rFont val="宋体"/>
            <charset val="134"/>
          </rPr>
          <t>塑膠袋</t>
        </r>
        <r>
          <rPr>
            <b/>
            <sz val="9"/>
            <color indexed="81"/>
            <rFont val="Tahoma"/>
            <family val="2"/>
          </rPr>
          <t>:2.7g</t>
        </r>
      </text>
    </comment>
    <comment ref="B897" authorId="0">
      <text>
        <r>
          <rPr>
            <b/>
            <sz val="9"/>
            <color indexed="81"/>
            <rFont val="宋体"/>
            <charset val="134"/>
          </rPr>
          <t>塑膠袋</t>
        </r>
        <r>
          <rPr>
            <b/>
            <sz val="9"/>
            <color indexed="81"/>
            <rFont val="Tahoma"/>
            <family val="2"/>
          </rPr>
          <t>:2.7g</t>
        </r>
      </text>
    </comment>
    <comment ref="N9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4" authorId="0">
      <text>
        <r>
          <rPr>
            <b/>
            <sz val="9"/>
            <color indexed="81"/>
            <rFont val="宋体"/>
            <charset val="134"/>
          </rPr>
          <t>原定
SONY環光鼠標(裸機)x20
-&gt;仿萍果白鼠標(裸機)x19</t>
        </r>
      </text>
    </comment>
    <comment ref="C925"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2"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8" authorId="0">
      <text>
        <r>
          <rPr>
            <b/>
            <sz val="9"/>
            <color indexed="81"/>
            <rFont val="宋体"/>
            <charset val="134"/>
          </rPr>
          <t>紙卡</t>
        </r>
        <r>
          <rPr>
            <b/>
            <sz val="9"/>
            <color indexed="81"/>
            <rFont val="Tahoma"/>
            <family val="2"/>
          </rPr>
          <t>6.6g</t>
        </r>
      </text>
    </comment>
    <comment ref="B104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N106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0"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1"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C1180"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3"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4"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<sst xmlns="http://schemas.openxmlformats.org/spreadsheetml/2006/main" count="12993" uniqueCount="6203">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</sst>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39">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95"/>
  <sheetViews>
    <sheetView tabSelected="1" zoomScaleNormal="100" workbookViewId="0">
      <pane ySplit="1" topLeftCell="A20" activePane="bottomLeft" state="frozen"/>
      <selection pane="bottomLeft" activeCell="V30" sqref="V30"/>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0" width="6.75" style="126" customWidth="1"/>
    <col min="21" max="21" width="1.75" style="237" customWidth="1"/>
    <col min="22" max="22" width="6.75" style="103" bestFit="1" customWidth="1"/>
    <col min="23" max="23" width="10.25" style="9" bestFit="1" customWidth="1"/>
    <col min="24" max="25" width="11.25" style="9" bestFit="1" customWidth="1"/>
    <col min="26" max="26" width="4.125" style="9" bestFit="1" customWidth="1"/>
    <col min="27" max="27" width="5.875" style="126" customWidth="1"/>
    <col min="28" max="28" width="6" style="9" customWidth="1"/>
    <col min="29" max="29" width="5.875" style="9" bestFit="1"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6176</v>
      </c>
      <c r="T1" s="227" t="s">
        <v>6095</v>
      </c>
      <c r="U1" s="231"/>
      <c r="V1" s="103" t="s">
        <v>6108</v>
      </c>
      <c r="W1" s="9" t="s">
        <v>6109</v>
      </c>
      <c r="X1" s="9" t="s">
        <v>6110</v>
      </c>
      <c r="Y1" s="9" t="s">
        <v>6111</v>
      </c>
      <c r="Z1" s="9" t="s">
        <v>6177</v>
      </c>
      <c r="AA1" s="227" t="s">
        <v>6174</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6096</v>
      </c>
      <c r="U2" s="231"/>
      <c r="V2" s="110">
        <v>101.01</v>
      </c>
      <c r="W2" s="208" t="s">
        <v>6142</v>
      </c>
      <c r="X2" s="3" t="s">
        <v>6112</v>
      </c>
      <c r="Y2" s="3" t="s">
        <v>6113</v>
      </c>
      <c r="Z2" s="3">
        <v>16</v>
      </c>
      <c r="AA2" s="19" t="s">
        <v>6107</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6097</v>
      </c>
      <c r="U3" s="231"/>
      <c r="V3" s="110">
        <v>101.02</v>
      </c>
      <c r="W3" s="3" t="s">
        <v>6114</v>
      </c>
      <c r="X3" s="3" t="s">
        <v>6115</v>
      </c>
      <c r="Y3" s="3" t="s">
        <v>6116</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6098</v>
      </c>
      <c r="U4" s="231"/>
      <c r="V4" s="110">
        <v>101.03</v>
      </c>
      <c r="W4" s="3" t="s">
        <v>6117</v>
      </c>
      <c r="X4" s="3" t="s">
        <v>6116</v>
      </c>
      <c r="Y4" s="3" t="s">
        <v>6118</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6099</v>
      </c>
      <c r="U5" s="231"/>
      <c r="V5" s="110">
        <v>101.05</v>
      </c>
      <c r="W5" s="3" t="s">
        <v>6119</v>
      </c>
      <c r="X5" s="3" t="s">
        <v>6120</v>
      </c>
      <c r="Y5" s="3" t="s">
        <v>6121</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6100</v>
      </c>
      <c r="U6" s="231"/>
      <c r="V6" s="110">
        <v>101.04</v>
      </c>
      <c r="W6" s="3" t="s">
        <v>6122</v>
      </c>
      <c r="X6" s="3" t="s">
        <v>6123</v>
      </c>
      <c r="Y6" s="3" t="s">
        <v>6124</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6101</v>
      </c>
      <c r="U7" s="231"/>
      <c r="V7" s="110">
        <v>101.07</v>
      </c>
      <c r="W7" s="3" t="s">
        <v>6125</v>
      </c>
      <c r="X7" s="3" t="s">
        <v>6121</v>
      </c>
      <c r="Y7" s="3" t="s">
        <v>6126</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6102</v>
      </c>
      <c r="U8" s="231"/>
      <c r="V8" s="110">
        <v>101.06</v>
      </c>
      <c r="W8" s="3" t="s">
        <v>6127</v>
      </c>
      <c r="X8" s="3" t="s">
        <v>6128</v>
      </c>
      <c r="Y8" s="3" t="s">
        <v>6129</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6103</v>
      </c>
      <c r="U9" s="231"/>
      <c r="V9" s="110">
        <v>101.08</v>
      </c>
      <c r="W9" s="3" t="s">
        <v>6130</v>
      </c>
      <c r="X9" s="3" t="s">
        <v>6131</v>
      </c>
      <c r="Y9" s="3" t="s">
        <v>6132</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6104</v>
      </c>
      <c r="U10" s="231"/>
      <c r="V10" s="110">
        <v>101.09</v>
      </c>
      <c r="W10" s="3" t="s">
        <v>6133</v>
      </c>
      <c r="X10" s="3" t="s">
        <v>6134</v>
      </c>
      <c r="Y10" s="3" t="s">
        <v>6135</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6105</v>
      </c>
      <c r="U11" s="231"/>
      <c r="V11" s="235" t="s">
        <v>6159</v>
      </c>
      <c r="W11" s="3" t="s">
        <v>6136</v>
      </c>
      <c r="X11" s="3" t="s">
        <v>6137</v>
      </c>
      <c r="Y11" s="3" t="s">
        <v>6138</v>
      </c>
      <c r="Z11" s="3">
        <v>3</v>
      </c>
      <c r="AA11" s="19"/>
      <c r="AB11" s="3">
        <v>27</v>
      </c>
      <c r="AC11" s="3">
        <f t="shared" ref="AC11:AC12" si="2">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6106</v>
      </c>
      <c r="U12" s="231"/>
      <c r="V12" s="110">
        <v>101.11</v>
      </c>
      <c r="W12" s="3" t="s">
        <v>6139</v>
      </c>
      <c r="X12" s="3" t="s">
        <v>6140</v>
      </c>
      <c r="Y12" s="3" t="s">
        <v>6141</v>
      </c>
      <c r="Z12" s="3">
        <v>3</v>
      </c>
      <c r="AA12" s="19"/>
      <c r="AB12" s="3">
        <v>33</v>
      </c>
      <c r="AC12" s="3">
        <f t="shared" si="2"/>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7"/>
      <c r="T13" s="19"/>
      <c r="U13" s="231"/>
      <c r="V13" s="103"/>
      <c r="W13" s="9"/>
      <c r="X13" s="9"/>
      <c r="Y13" s="9"/>
      <c r="Z13" s="9"/>
      <c r="AA13" s="227"/>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2">
        <f>D14/2.54</f>
        <v>4.1338582677165352</v>
      </c>
      <c r="G14" s="232">
        <f t="shared" ref="G14:G20" si="3">E14/2.54</f>
        <v>8.8582677165354333</v>
      </c>
      <c r="H14" s="184">
        <v>13</v>
      </c>
      <c r="I14" s="184">
        <v>23</v>
      </c>
      <c r="J14" s="232">
        <f>H14/2.54</f>
        <v>5.1181102362204722</v>
      </c>
      <c r="K14" s="232">
        <f t="shared" ref="K14:K20" si="4">I14/2.54</f>
        <v>9.0551181102362204</v>
      </c>
      <c r="L14" s="19">
        <v>5</v>
      </c>
      <c r="M14" s="19">
        <v>9</v>
      </c>
      <c r="N14" s="184">
        <f>1*354</f>
        <v>354</v>
      </c>
      <c r="O14" s="105">
        <f t="shared" ref="O14:O20" si="5">65/N14</f>
        <v>0.18361581920903955</v>
      </c>
      <c r="P14" s="224">
        <f>0.078*$R$1/354</f>
        <v>0.18508474576271186</v>
      </c>
      <c r="Q14" s="222">
        <f t="shared" ref="Q14:Q20" si="6">O14+P14</f>
        <v>0.36870056497175141</v>
      </c>
      <c r="R14" s="107">
        <f t="shared" ref="R14:R20" si="7">2/Q14</f>
        <v>5.4244560220655842</v>
      </c>
      <c r="S14" s="227">
        <v>5</v>
      </c>
      <c r="T14" s="226" t="s">
        <v>6156</v>
      </c>
      <c r="U14" s="236"/>
      <c r="V14" s="235" t="s">
        <v>6165</v>
      </c>
      <c r="W14" s="226" t="s">
        <v>6158</v>
      </c>
      <c r="X14" s="226" t="s">
        <v>6148</v>
      </c>
      <c r="Y14" s="226" t="s">
        <v>6155</v>
      </c>
      <c r="Z14" s="227">
        <v>14</v>
      </c>
      <c r="AA14" s="19" t="s">
        <v>6175</v>
      </c>
      <c r="AB14" s="227"/>
      <c r="AC14" s="227"/>
      <c r="AD14" s="227"/>
      <c r="AE14" s="227"/>
      <c r="AF14" s="227"/>
      <c r="AG14" s="227"/>
      <c r="AH14" s="227"/>
      <c r="AI14" s="227"/>
      <c r="AJ14" s="211" t="s">
        <v>3318</v>
      </c>
      <c r="AP14" s="4"/>
    </row>
    <row r="15" spans="1:42" s="4" customFormat="1" ht="14.25" customHeight="1">
      <c r="A15" s="110">
        <v>102.02</v>
      </c>
      <c r="B15" s="9">
        <v>12.8</v>
      </c>
      <c r="C15" s="1" t="s">
        <v>3319</v>
      </c>
      <c r="D15" s="184">
        <v>12.5</v>
      </c>
      <c r="E15" s="184">
        <v>24.5</v>
      </c>
      <c r="F15" s="232">
        <f t="shared" ref="F15:F20" si="8">D15/2.54</f>
        <v>4.9212598425196852</v>
      </c>
      <c r="G15" s="232">
        <f t="shared" si="3"/>
        <v>9.6456692913385833</v>
      </c>
      <c r="H15" s="184">
        <v>15</v>
      </c>
      <c r="I15" s="184">
        <v>25</v>
      </c>
      <c r="J15" s="232">
        <f t="shared" ref="J15:J20" si="9">H15/2.54</f>
        <v>5.9055118110236222</v>
      </c>
      <c r="K15" s="232">
        <f t="shared" si="4"/>
        <v>9.8425196850393704</v>
      </c>
      <c r="L15" s="231">
        <v>6</v>
      </c>
      <c r="M15" s="231">
        <v>10</v>
      </c>
      <c r="N15" s="184">
        <f>1*283</f>
        <v>283</v>
      </c>
      <c r="O15" s="105">
        <f t="shared" si="5"/>
        <v>0.22968197879858657</v>
      </c>
      <c r="P15" s="224">
        <f>0.078*$R$1/283</f>
        <v>0.23151943462897526</v>
      </c>
      <c r="Q15" s="222">
        <f t="shared" si="6"/>
        <v>0.46120141342756182</v>
      </c>
      <c r="R15" s="107">
        <f t="shared" si="7"/>
        <v>4.3365001532332208</v>
      </c>
      <c r="S15" s="227">
        <v>4</v>
      </c>
      <c r="T15" s="226" t="s">
        <v>6169</v>
      </c>
      <c r="U15" s="236"/>
      <c r="V15" s="235" t="s">
        <v>6163</v>
      </c>
      <c r="W15" s="226" t="s">
        <v>6168</v>
      </c>
      <c r="X15" s="226" t="s">
        <v>6146</v>
      </c>
      <c r="Y15" s="226" t="s">
        <v>6153</v>
      </c>
      <c r="Z15" s="227">
        <v>10</v>
      </c>
      <c r="AA15" s="126"/>
      <c r="AB15" s="227"/>
      <c r="AC15" s="227"/>
      <c r="AD15" s="227"/>
      <c r="AE15" s="227"/>
      <c r="AF15" s="227"/>
      <c r="AG15" s="227"/>
      <c r="AH15" s="227"/>
      <c r="AI15" s="227"/>
      <c r="AJ15" s="7"/>
      <c r="AK15" s="7"/>
      <c r="AL15" s="7"/>
      <c r="AM15" s="7"/>
      <c r="AN15" s="7"/>
      <c r="AO15" s="7"/>
      <c r="AP15" s="7"/>
    </row>
    <row r="16" spans="1:42" ht="14.25" customHeight="1">
      <c r="A16" s="110">
        <v>102.03</v>
      </c>
      <c r="B16" s="9">
        <v>9.3000000000000007</v>
      </c>
      <c r="C16" s="1" t="s">
        <v>3320</v>
      </c>
      <c r="D16" s="184">
        <v>12.5</v>
      </c>
      <c r="E16" s="184">
        <v>17.5</v>
      </c>
      <c r="F16" s="232">
        <f t="shared" si="8"/>
        <v>4.9212598425196852</v>
      </c>
      <c r="G16" s="232">
        <f t="shared" si="3"/>
        <v>6.8897637795275593</v>
      </c>
      <c r="H16" s="184">
        <v>15</v>
      </c>
      <c r="I16" s="184">
        <v>18</v>
      </c>
      <c r="J16" s="232">
        <f t="shared" si="9"/>
        <v>5.9055118110236222</v>
      </c>
      <c r="K16" s="232">
        <f t="shared" si="4"/>
        <v>7.0866141732283463</v>
      </c>
      <c r="L16" s="230">
        <v>6</v>
      </c>
      <c r="M16" s="230">
        <v>7</v>
      </c>
      <c r="N16" s="184">
        <f>1*383</f>
        <v>383</v>
      </c>
      <c r="O16" s="105">
        <f t="shared" si="5"/>
        <v>0.16971279373368145</v>
      </c>
      <c r="P16" s="224">
        <f>0.078*$R$1/383</f>
        <v>0.1710704960835509</v>
      </c>
      <c r="Q16" s="222">
        <f t="shared" si="6"/>
        <v>0.34078328981723238</v>
      </c>
      <c r="R16" s="107">
        <f t="shared" si="7"/>
        <v>5.8688323628562671</v>
      </c>
      <c r="S16" s="227">
        <v>5</v>
      </c>
      <c r="T16" s="226" t="s">
        <v>6170</v>
      </c>
      <c r="U16" s="236"/>
      <c r="V16" s="235" t="s">
        <v>6160</v>
      </c>
      <c r="W16" s="226" t="s">
        <v>6156</v>
      </c>
      <c r="X16" s="226" t="s">
        <v>6143</v>
      </c>
      <c r="Y16" s="226" t="s">
        <v>6150</v>
      </c>
      <c r="Z16" s="227">
        <v>5</v>
      </c>
      <c r="AB16" s="227"/>
      <c r="AC16" s="227"/>
      <c r="AD16" s="227"/>
      <c r="AE16" s="227"/>
      <c r="AF16" s="227"/>
      <c r="AG16" s="227"/>
      <c r="AH16" s="227"/>
      <c r="AI16" s="227"/>
      <c r="AP16" s="4"/>
    </row>
    <row r="17" spans="1:42" ht="14.25" customHeight="1">
      <c r="A17" s="110">
        <v>102.04</v>
      </c>
      <c r="B17" s="9">
        <v>5.9</v>
      </c>
      <c r="C17" s="1" t="s">
        <v>4136</v>
      </c>
      <c r="D17" s="184">
        <v>9</v>
      </c>
      <c r="E17" s="184">
        <v>15</v>
      </c>
      <c r="F17" s="232">
        <f t="shared" si="8"/>
        <v>3.5433070866141732</v>
      </c>
      <c r="G17" s="232">
        <f t="shared" si="3"/>
        <v>5.9055118110236222</v>
      </c>
      <c r="H17" s="184">
        <v>11</v>
      </c>
      <c r="I17" s="184">
        <v>15</v>
      </c>
      <c r="J17" s="232">
        <f t="shared" si="9"/>
        <v>4.3307086614173231</v>
      </c>
      <c r="K17" s="232">
        <f t="shared" si="4"/>
        <v>5.9055118110236222</v>
      </c>
      <c r="L17" s="230">
        <v>4</v>
      </c>
      <c r="M17" s="230">
        <v>6</v>
      </c>
      <c r="N17" s="184">
        <f>1*650</f>
        <v>650</v>
      </c>
      <c r="O17" s="105">
        <f t="shared" si="5"/>
        <v>0.1</v>
      </c>
      <c r="P17" s="224">
        <f>0.078*$R$1/650</f>
        <v>0.1008</v>
      </c>
      <c r="Q17" s="222">
        <f t="shared" si="6"/>
        <v>0.20080000000000001</v>
      </c>
      <c r="R17" s="107">
        <f t="shared" si="7"/>
        <v>9.9601593625498008</v>
      </c>
      <c r="S17" s="227">
        <v>10</v>
      </c>
      <c r="T17" s="226" t="s">
        <v>6168</v>
      </c>
      <c r="U17" s="236"/>
      <c r="V17" s="235" t="s">
        <v>6162</v>
      </c>
      <c r="W17" s="226" t="s">
        <v>6170</v>
      </c>
      <c r="X17" s="226" t="s">
        <v>6145</v>
      </c>
      <c r="Y17" s="226" t="s">
        <v>6152</v>
      </c>
      <c r="Z17" s="227">
        <v>5</v>
      </c>
      <c r="AB17" s="227"/>
      <c r="AC17" s="107">
        <f>8+3.5+1.4</f>
        <v>12.9</v>
      </c>
      <c r="AD17" s="227"/>
      <c r="AE17" s="227"/>
      <c r="AF17" s="227"/>
      <c r="AG17" s="227"/>
      <c r="AH17" s="227"/>
      <c r="AI17" s="227"/>
    </row>
    <row r="18" spans="1:42" ht="14.25" customHeight="1">
      <c r="A18" s="110">
        <v>102.05</v>
      </c>
      <c r="B18" s="9">
        <v>15.1</v>
      </c>
      <c r="C18" s="1" t="s">
        <v>3321</v>
      </c>
      <c r="D18" s="184">
        <v>17.5</v>
      </c>
      <c r="E18" s="184">
        <v>20.5</v>
      </c>
      <c r="F18" s="232">
        <f t="shared" si="8"/>
        <v>6.8897637795275593</v>
      </c>
      <c r="G18" s="232">
        <f t="shared" si="3"/>
        <v>8.0708661417322833</v>
      </c>
      <c r="H18" s="184">
        <v>20</v>
      </c>
      <c r="I18" s="184">
        <v>21</v>
      </c>
      <c r="J18" s="232">
        <f t="shared" si="9"/>
        <v>7.8740157480314963</v>
      </c>
      <c r="K18" s="232">
        <f t="shared" si="4"/>
        <v>8.2677165354330704</v>
      </c>
      <c r="L18" s="230">
        <v>8</v>
      </c>
      <c r="M18" s="230">
        <v>8</v>
      </c>
      <c r="N18" s="184">
        <f>1*250</f>
        <v>250</v>
      </c>
      <c r="O18" s="105">
        <f t="shared" si="5"/>
        <v>0.26</v>
      </c>
      <c r="P18" s="224">
        <f>0.078*$R$1/250</f>
        <v>0.26207999999999998</v>
      </c>
      <c r="Q18" s="222">
        <f t="shared" si="6"/>
        <v>0.52207999999999999</v>
      </c>
      <c r="R18" s="107">
        <f t="shared" si="7"/>
        <v>3.8308305240576157</v>
      </c>
      <c r="S18" s="227">
        <v>4</v>
      </c>
      <c r="T18" s="226" t="s">
        <v>6157</v>
      </c>
      <c r="U18" s="236"/>
      <c r="V18" s="235" t="s">
        <v>6161</v>
      </c>
      <c r="W18" s="226" t="s">
        <v>6169</v>
      </c>
      <c r="X18" s="226" t="s">
        <v>6144</v>
      </c>
      <c r="Y18" s="226" t="s">
        <v>6151</v>
      </c>
      <c r="Z18" s="227">
        <v>4</v>
      </c>
      <c r="AB18" s="227"/>
      <c r="AC18" s="221">
        <f>AC17/24</f>
        <v>0.53749999999999998</v>
      </c>
      <c r="AD18" s="227"/>
      <c r="AE18" s="227"/>
      <c r="AF18" s="227"/>
      <c r="AG18" s="227"/>
      <c r="AH18" s="227"/>
      <c r="AI18" s="227"/>
      <c r="AP18" s="4"/>
    </row>
    <row r="19" spans="1:42" ht="14.25" customHeight="1">
      <c r="A19" s="110">
        <v>102.06</v>
      </c>
      <c r="B19" s="9">
        <v>4.0999999999999996</v>
      </c>
      <c r="C19" s="174" t="s">
        <v>4137</v>
      </c>
      <c r="D19" s="184">
        <v>7</v>
      </c>
      <c r="E19" s="184">
        <v>13</v>
      </c>
      <c r="F19" s="232">
        <f t="shared" si="8"/>
        <v>2.7559055118110236</v>
      </c>
      <c r="G19" s="232">
        <f t="shared" si="3"/>
        <v>5.1181102362204722</v>
      </c>
      <c r="H19" s="184">
        <v>9</v>
      </c>
      <c r="I19" s="184">
        <v>13</v>
      </c>
      <c r="J19" s="232">
        <f t="shared" si="9"/>
        <v>3.5433070866141732</v>
      </c>
      <c r="K19" s="232">
        <f t="shared" si="4"/>
        <v>5.1181102362204722</v>
      </c>
      <c r="L19" s="230">
        <v>3.5</v>
      </c>
      <c r="M19" s="230">
        <v>5</v>
      </c>
      <c r="N19" s="184">
        <f>1*880</f>
        <v>880</v>
      </c>
      <c r="O19" s="105">
        <f t="shared" si="5"/>
        <v>7.3863636363636367E-2</v>
      </c>
      <c r="P19" s="224">
        <f>0.078*$R$1/880</f>
        <v>7.4454545454545454E-2</v>
      </c>
      <c r="Q19" s="222">
        <f t="shared" si="6"/>
        <v>0.14831818181818182</v>
      </c>
      <c r="R19" s="107">
        <f t="shared" si="7"/>
        <v>13.484523444682807</v>
      </c>
      <c r="S19" s="227">
        <v>14</v>
      </c>
      <c r="T19" s="226" t="s">
        <v>6158</v>
      </c>
      <c r="U19" s="236"/>
      <c r="V19" s="235" t="s">
        <v>6164</v>
      </c>
      <c r="W19" s="226" t="s">
        <v>6157</v>
      </c>
      <c r="X19" s="226" t="s">
        <v>6147</v>
      </c>
      <c r="Y19" s="226" t="s">
        <v>6154</v>
      </c>
      <c r="Z19" s="227">
        <v>4</v>
      </c>
      <c r="AB19" s="227"/>
      <c r="AC19" s="221">
        <f>16.89/25</f>
        <v>0.67559999999999998</v>
      </c>
      <c r="AD19" s="227"/>
      <c r="AE19" s="227"/>
      <c r="AF19" s="227"/>
      <c r="AG19" s="227"/>
      <c r="AH19" s="227"/>
      <c r="AI19" s="227"/>
    </row>
    <row r="20" spans="1:42" ht="14.25" customHeight="1">
      <c r="A20" s="110">
        <v>102.07</v>
      </c>
      <c r="B20" s="9">
        <v>25.8</v>
      </c>
      <c r="C20" s="1" t="s">
        <v>3322</v>
      </c>
      <c r="D20" s="184">
        <v>22.5</v>
      </c>
      <c r="E20" s="184">
        <v>29.5</v>
      </c>
      <c r="F20" s="232">
        <f t="shared" si="8"/>
        <v>8.8582677165354333</v>
      </c>
      <c r="G20" s="232">
        <f t="shared" si="3"/>
        <v>11.614173228346457</v>
      </c>
      <c r="H20" s="184">
        <v>25</v>
      </c>
      <c r="I20" s="184">
        <v>30</v>
      </c>
      <c r="J20" s="232">
        <f t="shared" si="9"/>
        <v>9.8425196850393704</v>
      </c>
      <c r="K20" s="232">
        <f t="shared" si="4"/>
        <v>11.811023622047244</v>
      </c>
      <c r="L20" s="230">
        <v>10</v>
      </c>
      <c r="M20" s="230">
        <v>12</v>
      </c>
      <c r="N20" s="184">
        <f>1*145</f>
        <v>145</v>
      </c>
      <c r="O20" s="105">
        <f t="shared" si="5"/>
        <v>0.44827586206896552</v>
      </c>
      <c r="P20" s="224">
        <f>0.078*$R$1/145</f>
        <v>0.45186206896551723</v>
      </c>
      <c r="Q20" s="222">
        <f t="shared" si="6"/>
        <v>0.90013793103448281</v>
      </c>
      <c r="R20" s="107">
        <f t="shared" si="7"/>
        <v>2.2218817039534171</v>
      </c>
      <c r="S20" s="227">
        <v>2</v>
      </c>
      <c r="T20" s="226" t="s">
        <v>6167</v>
      </c>
      <c r="U20" s="236"/>
      <c r="V20" s="235" t="s">
        <v>6166</v>
      </c>
      <c r="W20" s="226" t="s">
        <v>6167</v>
      </c>
      <c r="X20" s="226" t="s">
        <v>6149</v>
      </c>
      <c r="Y20" s="226" t="s">
        <v>6178</v>
      </c>
      <c r="Z20" s="227">
        <v>2</v>
      </c>
      <c r="AA20" s="227"/>
      <c r="AB20" s="227"/>
      <c r="AC20" s="227"/>
      <c r="AD20" s="227"/>
      <c r="AE20" s="227"/>
      <c r="AF20" s="227"/>
      <c r="AG20" s="227"/>
      <c r="AH20" s="227"/>
      <c r="AI20" s="227"/>
    </row>
    <row r="21" spans="1:42" s="4" customFormat="1" ht="14.25" customHeight="1">
      <c r="A21" s="9"/>
      <c r="B21" s="9"/>
      <c r="C21" s="1"/>
      <c r="D21" s="184"/>
      <c r="E21" s="184"/>
      <c r="F21" s="188"/>
      <c r="G21" s="188"/>
      <c r="H21" s="184"/>
      <c r="I21" s="184"/>
      <c r="J21" s="188"/>
      <c r="K21" s="188"/>
      <c r="L21" s="3"/>
      <c r="M21" s="3"/>
      <c r="N21" s="184"/>
      <c r="O21" s="105"/>
      <c r="P21" s="224"/>
      <c r="Q21" s="222"/>
      <c r="R21" s="107"/>
      <c r="S21" s="227"/>
      <c r="T21" s="19"/>
      <c r="U21" s="231"/>
      <c r="V21" s="103"/>
      <c r="W21" s="9"/>
      <c r="X21" s="9"/>
      <c r="Y21" s="9"/>
      <c r="Z21" s="9"/>
      <c r="AA21" s="227"/>
      <c r="AB21" s="9"/>
      <c r="AC21" s="9"/>
      <c r="AD21" s="9"/>
      <c r="AE21" s="9"/>
      <c r="AF21" s="9"/>
      <c r="AG21" s="9"/>
      <c r="AH21" s="9"/>
      <c r="AI21" s="9"/>
      <c r="AJ21" s="7"/>
      <c r="AK21" s="7"/>
      <c r="AL21" s="7"/>
      <c r="AM21" s="7"/>
      <c r="AN21" s="7"/>
      <c r="AO21" s="7"/>
      <c r="AP21" s="7"/>
    </row>
    <row r="22" spans="1:42" ht="14.25" customHeight="1">
      <c r="A22" s="110">
        <v>103.04</v>
      </c>
      <c r="B22" s="9">
        <v>1</v>
      </c>
      <c r="C22" s="211" t="s">
        <v>6171</v>
      </c>
      <c r="N22" s="183">
        <v>2000</v>
      </c>
      <c r="O22" s="7">
        <v>0.08</v>
      </c>
      <c r="P22" s="224">
        <f>0.065*$R$1/1000</f>
        <v>5.4600000000000003E-2</v>
      </c>
      <c r="Q22" s="222">
        <f t="shared" ref="Q22" si="10">O22+P22</f>
        <v>0.1346</v>
      </c>
      <c r="R22" s="107">
        <f t="shared" ref="R22:R25" si="11">2/Q22</f>
        <v>14.858841010401189</v>
      </c>
      <c r="S22" s="227">
        <v>12</v>
      </c>
      <c r="V22" s="110">
        <v>103.04</v>
      </c>
      <c r="W22" s="226" t="s">
        <v>6180</v>
      </c>
      <c r="X22" s="226" t="s">
        <v>6180</v>
      </c>
      <c r="Y22" s="226" t="s">
        <v>6183</v>
      </c>
      <c r="Z22" s="9">
        <v>12</v>
      </c>
      <c r="AA22" s="56" t="s">
        <v>6200</v>
      </c>
      <c r="AF22" s="121"/>
      <c r="AG22" s="121"/>
      <c r="AH22" s="121"/>
      <c r="AI22" s="121"/>
      <c r="AJ22" s="211" t="s">
        <v>1753</v>
      </c>
    </row>
    <row r="23" spans="1:42" ht="14.25" customHeight="1">
      <c r="A23" s="110">
        <v>103.05</v>
      </c>
      <c r="B23" s="9">
        <v>1.8</v>
      </c>
      <c r="C23" s="7" t="s">
        <v>2887</v>
      </c>
      <c r="N23" s="183">
        <v>2000</v>
      </c>
      <c r="O23" s="7">
        <v>0.08</v>
      </c>
      <c r="P23" s="224">
        <f t="shared" ref="P23:P25" si="12">0.065*$R$1/1000</f>
        <v>5.4600000000000003E-2</v>
      </c>
      <c r="Q23" s="222">
        <f t="shared" ref="Q23:Q25" si="13">O23+P23</f>
        <v>0.1346</v>
      </c>
      <c r="R23" s="107">
        <f t="shared" si="11"/>
        <v>14.858841010401189</v>
      </c>
      <c r="S23" s="227">
        <v>10</v>
      </c>
      <c r="V23" s="103">
        <v>103.07</v>
      </c>
      <c r="W23" s="226" t="s">
        <v>6182</v>
      </c>
      <c r="X23" s="226" t="s">
        <v>6182</v>
      </c>
      <c r="Y23" s="226" t="s">
        <v>6184</v>
      </c>
      <c r="Z23" s="9">
        <v>10</v>
      </c>
      <c r="AA23" s="56"/>
      <c r="AF23" s="121"/>
      <c r="AG23" s="121"/>
      <c r="AH23" s="121"/>
      <c r="AI23" s="121"/>
      <c r="AP23" s="4"/>
    </row>
    <row r="24" spans="1:42" ht="14.25" customHeight="1">
      <c r="A24" s="110" t="s">
        <v>4093</v>
      </c>
      <c r="B24" s="9">
        <v>2.5</v>
      </c>
      <c r="C24" s="7" t="s">
        <v>6173</v>
      </c>
      <c r="N24" s="183">
        <v>2000</v>
      </c>
      <c r="O24" s="7">
        <v>0.08</v>
      </c>
      <c r="P24" s="224">
        <f t="shared" si="12"/>
        <v>5.4600000000000003E-2</v>
      </c>
      <c r="Q24" s="222">
        <f t="shared" si="13"/>
        <v>0.1346</v>
      </c>
      <c r="R24" s="107">
        <f t="shared" si="11"/>
        <v>14.858841010401189</v>
      </c>
      <c r="S24" s="227">
        <v>8</v>
      </c>
      <c r="V24" s="110">
        <v>103.05</v>
      </c>
      <c r="W24" s="226" t="s">
        <v>6181</v>
      </c>
      <c r="X24" s="226" t="s">
        <v>6181</v>
      </c>
      <c r="Y24" s="226" t="s">
        <v>6185</v>
      </c>
      <c r="Z24" s="9">
        <v>10</v>
      </c>
      <c r="AA24" s="56"/>
      <c r="AF24" s="121"/>
      <c r="AG24" s="121"/>
      <c r="AH24" s="121"/>
      <c r="AI24" s="121"/>
    </row>
    <row r="25" spans="1:42" ht="14.25" customHeight="1">
      <c r="A25" s="103">
        <v>103.07</v>
      </c>
      <c r="B25" s="9">
        <v>1.7</v>
      </c>
      <c r="C25" s="55" t="s">
        <v>6179</v>
      </c>
      <c r="N25" s="183">
        <v>2000</v>
      </c>
      <c r="O25" s="7">
        <v>0.08</v>
      </c>
      <c r="P25" s="224">
        <f t="shared" si="12"/>
        <v>5.4600000000000003E-2</v>
      </c>
      <c r="Q25" s="222">
        <f t="shared" si="13"/>
        <v>0.1346</v>
      </c>
      <c r="R25" s="107">
        <f t="shared" si="11"/>
        <v>14.858841010401189</v>
      </c>
      <c r="S25" s="227">
        <v>10</v>
      </c>
      <c r="V25" s="110" t="s">
        <v>4093</v>
      </c>
      <c r="W25" s="226" t="s">
        <v>6158</v>
      </c>
      <c r="X25" s="226" t="s">
        <v>6158</v>
      </c>
      <c r="Y25" s="226" t="s">
        <v>6186</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7"/>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30" si="14">O27+P27</f>
        <v>0.1026</v>
      </c>
      <c r="R27" s="107">
        <f t="shared" ref="R27:R30" si="15">2/Q27</f>
        <v>19.49317738791423</v>
      </c>
      <c r="S27" s="227">
        <v>15</v>
      </c>
      <c r="V27" s="110">
        <v>103.01</v>
      </c>
      <c r="W27" s="9" t="s">
        <v>6189</v>
      </c>
      <c r="X27" s="9" t="s">
        <v>6195</v>
      </c>
      <c r="Y27" s="226" t="s">
        <v>6188</v>
      </c>
      <c r="Z27" s="9">
        <v>15</v>
      </c>
      <c r="AA27" s="126" t="s">
        <v>6201</v>
      </c>
      <c r="AB27" s="226">
        <v>6.5</v>
      </c>
      <c r="AC27" s="9">
        <v>8</v>
      </c>
      <c r="AD27" s="9">
        <v>6.8</v>
      </c>
      <c r="AE27" s="9">
        <v>10</v>
      </c>
      <c r="AF27" s="9">
        <f>AB27/2.54</f>
        <v>2.5590551181102361</v>
      </c>
      <c r="AG27" s="9">
        <f t="shared" ref="AG27:AI27" si="16">AC27/2.54</f>
        <v>3.1496062992125982</v>
      </c>
      <c r="AH27" s="9">
        <f t="shared" si="16"/>
        <v>2.6771653543307083</v>
      </c>
      <c r="AI27" s="9">
        <f t="shared" si="16"/>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4"/>
        <v>0.1076</v>
      </c>
      <c r="R28" s="107">
        <f t="shared" si="15"/>
        <v>18.587360594795538</v>
      </c>
      <c r="S28" s="227">
        <v>13</v>
      </c>
      <c r="T28" s="126"/>
      <c r="U28" s="237"/>
      <c r="V28" s="110">
        <v>103.09</v>
      </c>
      <c r="W28" s="226" t="s">
        <v>6190</v>
      </c>
      <c r="X28" s="9" t="s">
        <v>6196</v>
      </c>
      <c r="Y28" s="9" t="s">
        <v>6197</v>
      </c>
      <c r="Z28" s="9">
        <v>13</v>
      </c>
      <c r="AA28" s="126"/>
      <c r="AB28" s="226">
        <v>8</v>
      </c>
      <c r="AC28" s="9">
        <v>8</v>
      </c>
      <c r="AD28" s="9">
        <v>8.5</v>
      </c>
      <c r="AE28" s="9">
        <v>8.5</v>
      </c>
      <c r="AF28" s="9">
        <f>AB28/2.54</f>
        <v>3.1496062992125982</v>
      </c>
      <c r="AG28" s="9">
        <f t="shared" ref="AG28" si="17">AC28/2.54</f>
        <v>3.1496062992125982</v>
      </c>
      <c r="AH28" s="9">
        <f t="shared" ref="AH28" si="18">AD28/2.54</f>
        <v>3.3464566929133857</v>
      </c>
      <c r="AI28" s="9">
        <f t="shared" ref="AI28" si="19">AE28/2.54</f>
        <v>3.3464566929133857</v>
      </c>
      <c r="AJ28" s="7"/>
      <c r="AK28" s="7"/>
      <c r="AL28" s="7"/>
      <c r="AM28" s="7"/>
      <c r="AN28" s="7"/>
      <c r="AO28" s="7"/>
      <c r="AP28" s="7"/>
    </row>
    <row r="29" spans="1:42" ht="14.25" customHeight="1">
      <c r="A29" s="110">
        <v>103.03</v>
      </c>
      <c r="B29" s="9">
        <v>1.5</v>
      </c>
      <c r="C29" s="7" t="s">
        <v>6172</v>
      </c>
      <c r="N29" s="183">
        <v>2000</v>
      </c>
      <c r="O29" s="7">
        <v>0.06</v>
      </c>
      <c r="P29" s="224">
        <f>0.065*$R$1/1000</f>
        <v>5.4600000000000003E-2</v>
      </c>
      <c r="Q29" s="222">
        <f t="shared" si="14"/>
        <v>0.11460000000000001</v>
      </c>
      <c r="R29" s="107">
        <f t="shared" si="15"/>
        <v>17.452006980802793</v>
      </c>
      <c r="S29" s="227">
        <v>11</v>
      </c>
      <c r="V29" s="110">
        <v>103.02</v>
      </c>
      <c r="W29" s="226" t="s">
        <v>6191</v>
      </c>
      <c r="X29" s="9" t="s">
        <v>6198</v>
      </c>
      <c r="Y29" s="9" t="s">
        <v>6199</v>
      </c>
      <c r="Z29" s="9">
        <v>13</v>
      </c>
      <c r="AB29" s="226">
        <v>8</v>
      </c>
      <c r="AC29" s="9">
        <v>9</v>
      </c>
      <c r="AD29" s="9">
        <v>8.5</v>
      </c>
      <c r="AE29" s="9">
        <v>10</v>
      </c>
      <c r="AF29" s="9">
        <f>AB29/2.54</f>
        <v>3.1496062992125982</v>
      </c>
      <c r="AG29" s="9">
        <f t="shared" ref="AG29" si="20">AC29/2.54</f>
        <v>3.5433070866141732</v>
      </c>
      <c r="AH29" s="9">
        <f t="shared" ref="AH29" si="21">AD29/2.54</f>
        <v>3.3464566929133857</v>
      </c>
      <c r="AI29" s="9">
        <f t="shared" ref="AI29" si="22">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4"/>
        <v>0.1046</v>
      </c>
      <c r="R30" s="107">
        <f t="shared" si="15"/>
        <v>19.120458891013385</v>
      </c>
      <c r="S30" s="227">
        <v>13</v>
      </c>
      <c r="V30" s="110">
        <v>103.03</v>
      </c>
      <c r="W30" s="226" t="s">
        <v>6192</v>
      </c>
      <c r="X30" s="9" t="s">
        <v>6193</v>
      </c>
      <c r="Y30" s="9" t="s">
        <v>6194</v>
      </c>
      <c r="Z30" s="9">
        <v>11</v>
      </c>
      <c r="AB30" s="226">
        <v>8</v>
      </c>
      <c r="AC30" s="9">
        <v>13</v>
      </c>
      <c r="AD30" s="9">
        <v>8.1999999999999993</v>
      </c>
      <c r="AE30" s="9">
        <v>13.5</v>
      </c>
      <c r="AF30" s="9">
        <f>AB30/2.54</f>
        <v>3.1496062992125982</v>
      </c>
      <c r="AG30" s="9">
        <f t="shared" ref="AG30" si="23">AC30/2.54</f>
        <v>5.1181102362204722</v>
      </c>
      <c r="AH30" s="9">
        <f t="shared" ref="AH30" si="24">AD30/2.54</f>
        <v>3.228346456692913</v>
      </c>
      <c r="AI30" s="9">
        <f t="shared" ref="AI30" si="25">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7"/>
      <c r="V31" s="110"/>
      <c r="W31" s="208"/>
      <c r="X31" s="208"/>
      <c r="Y31" s="208"/>
      <c r="Z31" s="3"/>
      <c r="AA31" s="2"/>
      <c r="AB31" s="3"/>
      <c r="AC31" s="3"/>
      <c r="AD31" s="3"/>
      <c r="AE31" s="3"/>
      <c r="AF31" s="230"/>
      <c r="AG31" s="230"/>
      <c r="AH31" s="230"/>
      <c r="AI31" s="230"/>
    </row>
    <row r="32" spans="1:42" s="4" customFormat="1" ht="14.25" customHeight="1">
      <c r="A32" s="113" t="s">
        <v>4087</v>
      </c>
      <c r="B32" s="9">
        <v>1.6</v>
      </c>
      <c r="C32" s="211" t="s">
        <v>6037</v>
      </c>
      <c r="D32" s="184"/>
      <c r="E32" s="184"/>
      <c r="F32" s="188"/>
      <c r="G32" s="188"/>
      <c r="H32" s="184"/>
      <c r="I32" s="184"/>
      <c r="J32" s="188"/>
      <c r="K32" s="188"/>
      <c r="L32" s="3"/>
      <c r="M32" s="3"/>
      <c r="N32" s="184">
        <v>500</v>
      </c>
      <c r="O32" s="6">
        <v>0.05</v>
      </c>
      <c r="P32" s="222"/>
      <c r="Q32" s="222"/>
      <c r="R32" s="7"/>
      <c r="S32" s="126"/>
      <c r="T32" s="126"/>
      <c r="U32" s="237"/>
      <c r="V32" s="103"/>
      <c r="W32" s="9"/>
      <c r="X32" s="9"/>
      <c r="Y32" s="9"/>
      <c r="Z32" s="9"/>
      <c r="AA32" s="126" t="s">
        <v>6202</v>
      </c>
      <c r="AB32" s="9"/>
      <c r="AC32" s="9"/>
      <c r="AD32" s="9"/>
      <c r="AE32" s="9"/>
      <c r="AF32" s="9"/>
      <c r="AG32" s="9"/>
      <c r="AH32" s="9"/>
      <c r="AI32" s="9"/>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c r="Q33" s="222"/>
    </row>
    <row r="34" spans="1:42" ht="14.25" customHeight="1">
      <c r="A34" s="113" t="s">
        <v>2968</v>
      </c>
      <c r="B34" s="9">
        <v>2.1</v>
      </c>
      <c r="C34" s="1" t="s">
        <v>1776</v>
      </c>
      <c r="D34" s="184"/>
      <c r="E34" s="184"/>
      <c r="H34" s="184"/>
      <c r="I34" s="184"/>
      <c r="L34" s="3"/>
      <c r="M34" s="3"/>
      <c r="N34" s="184">
        <v>500</v>
      </c>
      <c r="O34" s="6">
        <v>0.06</v>
      </c>
      <c r="P34" s="222"/>
      <c r="Q34" s="222"/>
    </row>
    <row r="35" spans="1:42" ht="14.25" customHeight="1">
      <c r="A35" s="113" t="s">
        <v>2969</v>
      </c>
      <c r="B35" s="9">
        <f>4.5/2</f>
        <v>2.25</v>
      </c>
      <c r="C35" s="1" t="s">
        <v>1775</v>
      </c>
      <c r="D35" s="184"/>
      <c r="E35" s="184"/>
      <c r="H35" s="184"/>
      <c r="I35" s="184"/>
      <c r="L35" s="3"/>
      <c r="M35" s="3"/>
      <c r="N35" s="184">
        <v>500</v>
      </c>
      <c r="O35" s="6">
        <v>0.06</v>
      </c>
      <c r="P35" s="222"/>
      <c r="Q35" s="222"/>
    </row>
    <row r="36" spans="1:42" ht="14.25" customHeight="1">
      <c r="A36" s="113" t="s">
        <v>2970</v>
      </c>
      <c r="B36" s="9">
        <v>3.1</v>
      </c>
      <c r="C36" s="1" t="s">
        <v>1782</v>
      </c>
      <c r="D36" s="184"/>
      <c r="E36" s="184"/>
      <c r="H36" s="184"/>
      <c r="I36" s="184"/>
      <c r="L36" s="3"/>
      <c r="M36" s="3"/>
      <c r="N36" s="184">
        <v>500</v>
      </c>
      <c r="O36" s="6">
        <v>7.0000000000000007E-2</v>
      </c>
      <c r="P36" s="222"/>
      <c r="Q36" s="222"/>
    </row>
    <row r="37" spans="1:42" ht="14.25" customHeight="1">
      <c r="A37" s="113" t="s">
        <v>2971</v>
      </c>
      <c r="B37" s="9">
        <v>3.9</v>
      </c>
      <c r="C37" s="1" t="s">
        <v>1785</v>
      </c>
      <c r="D37" s="184"/>
      <c r="E37" s="184"/>
      <c r="H37" s="184"/>
      <c r="I37" s="184"/>
      <c r="L37" s="3"/>
      <c r="M37" s="3"/>
      <c r="N37" s="184">
        <v>500</v>
      </c>
      <c r="O37" s="6">
        <v>0.1</v>
      </c>
      <c r="P37" s="222"/>
      <c r="Q37" s="222"/>
    </row>
    <row r="38" spans="1:42" ht="14.25" customHeight="1">
      <c r="A38" s="113" t="s">
        <v>2972</v>
      </c>
      <c r="B38" s="9">
        <v>2.5</v>
      </c>
      <c r="C38" s="1" t="s">
        <v>1789</v>
      </c>
      <c r="D38" s="184"/>
      <c r="E38" s="184"/>
      <c r="H38" s="184"/>
      <c r="I38" s="184"/>
      <c r="L38" s="3"/>
      <c r="M38" s="3"/>
      <c r="N38" s="184">
        <v>500</v>
      </c>
      <c r="O38" s="6">
        <v>7.0000000000000007E-2</v>
      </c>
      <c r="P38" s="222"/>
      <c r="Q38" s="222"/>
      <c r="AP38" s="4"/>
    </row>
    <row r="39" spans="1:42" ht="14.25" customHeight="1">
      <c r="A39" s="113" t="s">
        <v>4101</v>
      </c>
      <c r="B39" s="9">
        <v>3.4</v>
      </c>
      <c r="C39" s="1" t="s">
        <v>1787</v>
      </c>
      <c r="D39" s="184"/>
      <c r="E39" s="184"/>
      <c r="H39" s="184"/>
      <c r="I39" s="184"/>
      <c r="L39" s="3"/>
      <c r="M39" s="3"/>
      <c r="N39" s="184">
        <v>500</v>
      </c>
      <c r="O39" s="6">
        <v>0.08</v>
      </c>
      <c r="P39" s="222"/>
      <c r="Q39" s="222"/>
    </row>
    <row r="40" spans="1:42" ht="14.25" customHeight="1">
      <c r="A40" s="113" t="s">
        <v>2973</v>
      </c>
      <c r="B40" s="9">
        <v>4.7</v>
      </c>
      <c r="C40" s="1" t="s">
        <v>1784</v>
      </c>
      <c r="D40" s="184"/>
      <c r="E40" s="184"/>
      <c r="H40" s="184"/>
      <c r="I40" s="184"/>
      <c r="L40" s="3"/>
      <c r="M40" s="3"/>
      <c r="N40" s="184">
        <v>500</v>
      </c>
      <c r="O40" s="6">
        <v>0.12</v>
      </c>
      <c r="P40" s="222"/>
      <c r="Q40" s="222"/>
    </row>
    <row r="41" spans="1:42" ht="14.25" customHeight="1">
      <c r="A41" s="113" t="s">
        <v>4100</v>
      </c>
      <c r="B41" s="9">
        <v>6.3</v>
      </c>
      <c r="C41" s="1" t="s">
        <v>1778</v>
      </c>
      <c r="D41" s="184"/>
      <c r="E41" s="184"/>
      <c r="H41" s="184"/>
      <c r="I41" s="184"/>
      <c r="L41" s="3"/>
      <c r="M41" s="3"/>
      <c r="N41" s="184">
        <v>50</v>
      </c>
      <c r="O41" s="6">
        <v>0.15</v>
      </c>
      <c r="P41" s="222"/>
      <c r="Q41" s="222"/>
    </row>
    <row r="42" spans="1:42" ht="14.25" customHeight="1">
      <c r="A42" s="113" t="s">
        <v>2974</v>
      </c>
      <c r="B42" s="9">
        <v>6.2</v>
      </c>
      <c r="C42" s="1" t="s">
        <v>1777</v>
      </c>
      <c r="D42" s="184"/>
      <c r="E42" s="184"/>
      <c r="H42" s="184"/>
      <c r="I42" s="184"/>
      <c r="L42" s="3"/>
      <c r="M42" s="3"/>
      <c r="N42" s="184">
        <v>50</v>
      </c>
      <c r="O42" s="6">
        <v>0.18</v>
      </c>
      <c r="P42" s="222"/>
      <c r="Q42" s="222"/>
    </row>
    <row r="43" spans="1:42" ht="14.25" customHeight="1">
      <c r="A43" s="113" t="s">
        <v>4086</v>
      </c>
      <c r="B43" s="9">
        <v>6.6</v>
      </c>
      <c r="C43" s="1" t="s">
        <v>1781</v>
      </c>
      <c r="D43" s="184"/>
      <c r="E43" s="184"/>
      <c r="H43" s="184"/>
      <c r="I43" s="184"/>
      <c r="L43" s="3"/>
      <c r="M43" s="3"/>
      <c r="N43" s="184">
        <v>50</v>
      </c>
      <c r="O43" s="6">
        <v>0.2</v>
      </c>
      <c r="P43" s="222"/>
      <c r="Q43" s="222"/>
    </row>
    <row r="44" spans="1:42" ht="14.25" customHeight="1">
      <c r="A44" s="113" t="s">
        <v>2975</v>
      </c>
      <c r="B44" s="9">
        <v>8.4</v>
      </c>
      <c r="C44" s="1" t="s">
        <v>1779</v>
      </c>
      <c r="D44" s="184"/>
      <c r="E44" s="184"/>
      <c r="H44" s="184"/>
      <c r="I44" s="184"/>
      <c r="L44" s="3"/>
      <c r="M44" s="3"/>
      <c r="N44" s="184">
        <v>50</v>
      </c>
      <c r="O44" s="6">
        <v>0.24</v>
      </c>
      <c r="P44" s="222"/>
      <c r="Q44" s="222"/>
    </row>
    <row r="45" spans="1:42" ht="14.25" customHeight="1">
      <c r="A45" s="113" t="s">
        <v>2976</v>
      </c>
      <c r="B45" s="9">
        <v>11</v>
      </c>
      <c r="C45" s="1" t="s">
        <v>1774</v>
      </c>
      <c r="D45" s="184"/>
      <c r="E45" s="184"/>
      <c r="H45" s="184"/>
      <c r="I45" s="184"/>
      <c r="L45" s="3"/>
      <c r="M45" s="3"/>
      <c r="N45" s="184">
        <v>50</v>
      </c>
      <c r="O45" s="6">
        <v>0.26</v>
      </c>
      <c r="P45" s="222"/>
      <c r="Q45" s="222"/>
      <c r="AP45" s="4"/>
    </row>
    <row r="46" spans="1:42" ht="14.25" customHeight="1">
      <c r="A46" s="113" t="s">
        <v>4092</v>
      </c>
      <c r="B46" s="9">
        <v>12</v>
      </c>
      <c r="C46" s="1" t="s">
        <v>1780</v>
      </c>
      <c r="D46" s="184"/>
      <c r="E46" s="184"/>
      <c r="H46" s="184"/>
      <c r="I46" s="184"/>
      <c r="L46" s="3"/>
      <c r="M46" s="3"/>
      <c r="N46" s="184">
        <v>50</v>
      </c>
      <c r="O46" s="6">
        <v>0.32</v>
      </c>
      <c r="P46" s="222"/>
      <c r="Q46" s="222"/>
    </row>
    <row r="47" spans="1:42" ht="14.25" customHeight="1">
      <c r="A47" s="113"/>
      <c r="C47" s="1"/>
      <c r="D47" s="184"/>
      <c r="E47" s="184"/>
      <c r="H47" s="184"/>
      <c r="I47" s="184"/>
      <c r="L47" s="3"/>
      <c r="M47" s="3"/>
      <c r="N47" s="184"/>
      <c r="O47" s="6"/>
      <c r="P47" s="222"/>
      <c r="Q47" s="222"/>
    </row>
    <row r="48" spans="1:42" ht="14.25" customHeight="1">
      <c r="A48" s="112">
        <v>104.01</v>
      </c>
      <c r="B48" s="9">
        <v>2.5</v>
      </c>
      <c r="C48" s="211" t="s">
        <v>2981</v>
      </c>
      <c r="D48" s="184"/>
      <c r="E48" s="184"/>
      <c r="H48" s="184"/>
      <c r="I48" s="184"/>
      <c r="L48" s="3"/>
      <c r="M48" s="3"/>
      <c r="N48" s="184">
        <v>100</v>
      </c>
      <c r="O48" s="6">
        <v>0.08</v>
      </c>
      <c r="P48" s="222"/>
      <c r="Q48" s="222"/>
      <c r="AJ48" s="211" t="s">
        <v>2981</v>
      </c>
    </row>
    <row r="49" spans="1:42" ht="14.25" customHeight="1">
      <c r="A49" s="112">
        <v>104.02</v>
      </c>
      <c r="B49" s="9">
        <v>3.1</v>
      </c>
      <c r="C49" s="1" t="s">
        <v>2982</v>
      </c>
      <c r="D49" s="184"/>
      <c r="E49" s="184"/>
      <c r="H49" s="184"/>
      <c r="I49" s="184"/>
      <c r="L49" s="3"/>
      <c r="M49" s="3"/>
      <c r="N49" s="184">
        <v>100</v>
      </c>
      <c r="O49" s="6">
        <v>0.13</v>
      </c>
      <c r="P49" s="222"/>
      <c r="Q49" s="222"/>
    </row>
    <row r="50" spans="1:42" ht="14.25" customHeight="1">
      <c r="A50" s="112">
        <v>104.03</v>
      </c>
      <c r="B50" s="9">
        <v>5.8</v>
      </c>
      <c r="C50" s="1" t="s">
        <v>2983</v>
      </c>
      <c r="D50" s="184"/>
      <c r="E50" s="184"/>
      <c r="H50" s="184"/>
      <c r="I50" s="184"/>
      <c r="L50" s="3"/>
      <c r="M50" s="3"/>
      <c r="N50" s="184">
        <v>100</v>
      </c>
      <c r="O50" s="6">
        <v>0.12</v>
      </c>
      <c r="P50" s="222"/>
      <c r="Q50" s="222"/>
    </row>
    <row r="51" spans="1:42" ht="14.25" customHeight="1">
      <c r="A51" s="112">
        <v>104.04</v>
      </c>
      <c r="B51" s="9">
        <v>7.5</v>
      </c>
      <c r="C51" s="1" t="s">
        <v>2984</v>
      </c>
      <c r="D51" s="184"/>
      <c r="E51" s="184"/>
      <c r="H51" s="184"/>
      <c r="I51" s="184"/>
      <c r="L51" s="3"/>
      <c r="M51" s="3"/>
      <c r="N51" s="184">
        <v>100</v>
      </c>
      <c r="O51" s="6">
        <v>0.14000000000000001</v>
      </c>
      <c r="P51" s="222"/>
      <c r="Q51" s="222"/>
    </row>
    <row r="52" spans="1:42" ht="14.25" customHeight="1">
      <c r="A52" s="112">
        <v>104.05</v>
      </c>
      <c r="B52" s="9">
        <f>49.7-41</f>
        <v>8.7000000000000028</v>
      </c>
      <c r="C52" s="1" t="s">
        <v>2985</v>
      </c>
      <c r="D52" s="184"/>
      <c r="E52" s="184"/>
      <c r="H52" s="184"/>
      <c r="I52" s="184"/>
      <c r="L52" s="3"/>
      <c r="M52" s="3"/>
      <c r="N52" s="184">
        <v>100</v>
      </c>
      <c r="O52" s="6">
        <v>0.19</v>
      </c>
      <c r="P52" s="222"/>
      <c r="Q52" s="222"/>
      <c r="AP52" s="4"/>
    </row>
    <row r="53" spans="1:42" ht="14.25" customHeight="1">
      <c r="A53" s="112">
        <v>104.06</v>
      </c>
      <c r="B53" s="9">
        <v>9.6</v>
      </c>
      <c r="C53" s="1" t="s">
        <v>2986</v>
      </c>
      <c r="D53" s="184"/>
      <c r="E53" s="184"/>
      <c r="H53" s="184"/>
      <c r="I53" s="184"/>
      <c r="L53" s="3"/>
      <c r="M53" s="3"/>
      <c r="N53" s="184">
        <v>100</v>
      </c>
      <c r="O53" s="6">
        <v>0.22</v>
      </c>
      <c r="P53" s="222"/>
      <c r="Q53" s="222"/>
    </row>
    <row r="54" spans="1:42" ht="14.25" customHeight="1">
      <c r="A54" s="112">
        <v>104.07</v>
      </c>
      <c r="B54" s="9">
        <v>11.3</v>
      </c>
      <c r="C54" s="1" t="s">
        <v>2987</v>
      </c>
      <c r="D54" s="184"/>
      <c r="E54" s="184"/>
      <c r="H54" s="184"/>
      <c r="I54" s="184"/>
      <c r="L54" s="3"/>
      <c r="M54" s="3"/>
      <c r="N54" s="184">
        <v>100</v>
      </c>
      <c r="O54" s="6">
        <v>0.33</v>
      </c>
      <c r="P54" s="222"/>
      <c r="Q54" s="222"/>
    </row>
    <row r="55" spans="1:42" ht="14.25" customHeight="1">
      <c r="A55" s="112">
        <v>104.08</v>
      </c>
      <c r="B55" s="9">
        <v>20.7</v>
      </c>
      <c r="C55" s="1" t="s">
        <v>2988</v>
      </c>
      <c r="D55" s="184"/>
      <c r="E55" s="184"/>
      <c r="H55" s="184"/>
      <c r="I55" s="184"/>
      <c r="L55" s="3"/>
      <c r="M55" s="3"/>
      <c r="N55" s="184">
        <v>100</v>
      </c>
      <c r="O55" s="6">
        <v>0.47</v>
      </c>
      <c r="P55" s="222"/>
      <c r="Q55" s="222"/>
    </row>
    <row r="56" spans="1:42" ht="14.25" customHeight="1">
      <c r="A56" s="112">
        <v>104.09</v>
      </c>
      <c r="B56" s="9">
        <v>37</v>
      </c>
      <c r="C56" s="1" t="s">
        <v>2989</v>
      </c>
      <c r="D56" s="184"/>
      <c r="E56" s="184"/>
      <c r="H56" s="184"/>
      <c r="I56" s="184"/>
      <c r="L56" s="3"/>
      <c r="M56" s="3"/>
      <c r="N56" s="184">
        <v>50</v>
      </c>
      <c r="O56" s="6">
        <v>0.75</v>
      </c>
      <c r="P56" s="222"/>
      <c r="Q56" s="222"/>
    </row>
    <row r="57" spans="1:42" ht="14.25" customHeight="1">
      <c r="A57" s="114" t="s">
        <v>2990</v>
      </c>
      <c r="B57" s="9">
        <v>46.6</v>
      </c>
      <c r="C57" s="1" t="s">
        <v>2991</v>
      </c>
      <c r="D57" s="184"/>
      <c r="E57" s="184"/>
      <c r="H57" s="184"/>
      <c r="I57" s="184"/>
      <c r="L57" s="3"/>
      <c r="M57" s="3"/>
      <c r="N57" s="184">
        <v>50</v>
      </c>
      <c r="O57" s="6">
        <v>0.96</v>
      </c>
      <c r="P57" s="222"/>
      <c r="Q57" s="222"/>
    </row>
    <row r="58" spans="1:42" ht="14.25" customHeight="1">
      <c r="A58" s="112" t="s">
        <v>5977</v>
      </c>
      <c r="B58" s="9">
        <f>70/1000</f>
        <v>7.0000000000000007E-2</v>
      </c>
      <c r="C58" s="211" t="s">
        <v>1702</v>
      </c>
      <c r="N58" s="183">
        <f>10*1000</f>
        <v>10000</v>
      </c>
      <c r="O58" s="104">
        <f>6/1000</f>
        <v>6.0000000000000001E-3</v>
      </c>
      <c r="P58" s="220"/>
      <c r="Q58" s="220"/>
      <c r="AJ58" s="211" t="s">
        <v>1702</v>
      </c>
    </row>
    <row r="59" spans="1:42" ht="14.25" customHeight="1">
      <c r="A59" s="112">
        <v>105.02</v>
      </c>
      <c r="B59" s="107">
        <f>118/1000</f>
        <v>0.11799999999999999</v>
      </c>
      <c r="C59" s="7" t="s">
        <v>1701</v>
      </c>
      <c r="N59" s="183">
        <f>10*1000</f>
        <v>10000</v>
      </c>
      <c r="O59" s="104">
        <f>7/1000</f>
        <v>7.0000000000000001E-3</v>
      </c>
      <c r="P59" s="220"/>
      <c r="Q59" s="220"/>
    </row>
    <row r="60" spans="1:42" ht="14.25" customHeight="1">
      <c r="A60" s="112">
        <v>105.03</v>
      </c>
      <c r="B60" s="107">
        <f>282/2000</f>
        <v>0.14099999999999999</v>
      </c>
      <c r="C60" s="7" t="s">
        <v>1706</v>
      </c>
      <c r="N60" s="183">
        <f>2*1000</f>
        <v>2000</v>
      </c>
      <c r="O60" s="104">
        <f>9/1000</f>
        <v>8.9999999999999993E-3</v>
      </c>
      <c r="P60" s="220"/>
      <c r="Q60" s="220"/>
    </row>
    <row r="61" spans="1:42" ht="14.25" customHeight="1">
      <c r="A61" s="112">
        <v>105.04</v>
      </c>
      <c r="B61" s="107">
        <f>466/1000</f>
        <v>0.46600000000000003</v>
      </c>
      <c r="C61" s="7" t="s">
        <v>1705</v>
      </c>
      <c r="N61" s="183">
        <f>15*100</f>
        <v>1500</v>
      </c>
      <c r="O61" s="104">
        <f>2/100</f>
        <v>0.02</v>
      </c>
      <c r="P61" s="220"/>
      <c r="Q61" s="220"/>
    </row>
    <row r="62" spans="1:42" ht="14.25" customHeight="1">
      <c r="A62" s="112">
        <v>105.05</v>
      </c>
      <c r="B62" s="107">
        <f>290/1000</f>
        <v>0.28999999999999998</v>
      </c>
      <c r="C62" s="7" t="s">
        <v>1703</v>
      </c>
      <c r="N62" s="183">
        <f>15*100</f>
        <v>1500</v>
      </c>
      <c r="O62" s="104">
        <f>2.5/100</f>
        <v>2.5000000000000001E-2</v>
      </c>
      <c r="P62" s="220"/>
      <c r="Q62" s="220"/>
    </row>
    <row r="63" spans="1:42" ht="14.25" customHeight="1">
      <c r="A63" s="112">
        <v>105.06</v>
      </c>
      <c r="B63" s="107">
        <f>360/1000</f>
        <v>0.36</v>
      </c>
      <c r="C63" s="7" t="s">
        <v>1704</v>
      </c>
      <c r="N63" s="183">
        <f>10*100</f>
        <v>1000</v>
      </c>
      <c r="O63" s="104">
        <f>1.5/100</f>
        <v>1.4999999999999999E-2</v>
      </c>
      <c r="P63" s="220"/>
      <c r="Q63" s="220"/>
    </row>
    <row r="64" spans="1:42" ht="14.25" customHeight="1">
      <c r="A64" s="112">
        <v>105.07</v>
      </c>
      <c r="B64" s="107">
        <f>169.4-41.1</f>
        <v>128.30000000000001</v>
      </c>
      <c r="C64" s="7" t="s">
        <v>1724</v>
      </c>
      <c r="N64" s="183">
        <f>10*200</f>
        <v>2000</v>
      </c>
      <c r="O64" s="106">
        <f>3.95/200</f>
        <v>1.975E-2</v>
      </c>
      <c r="P64" s="219"/>
      <c r="Q64" s="219"/>
    </row>
    <row r="65" spans="1:36" ht="14.25" customHeight="1">
      <c r="A65" s="116" t="s">
        <v>2755</v>
      </c>
      <c r="B65" s="107">
        <v>0.24</v>
      </c>
      <c r="C65" s="7" t="s">
        <v>1684</v>
      </c>
      <c r="N65" s="183">
        <f>50*100</f>
        <v>5000</v>
      </c>
      <c r="O65" s="104">
        <f>0.77/100</f>
        <v>7.7000000000000002E-3</v>
      </c>
      <c r="P65" s="220"/>
      <c r="Q65" s="220"/>
    </row>
    <row r="66" spans="1:36" ht="14.25" customHeight="1">
      <c r="A66" s="116">
        <v>105.09</v>
      </c>
      <c r="B66" s="107">
        <v>0.432</v>
      </c>
      <c r="C66" s="7" t="s">
        <v>1691</v>
      </c>
      <c r="N66" s="183">
        <f>50*100</f>
        <v>5000</v>
      </c>
      <c r="O66" s="104">
        <f>1.05/100</f>
        <v>1.0500000000000001E-2</v>
      </c>
      <c r="P66" s="220"/>
      <c r="Q66" s="220"/>
    </row>
    <row r="67" spans="1:36" ht="14.25" customHeight="1">
      <c r="A67" s="117" t="s">
        <v>2943</v>
      </c>
      <c r="B67" s="107">
        <v>0.624</v>
      </c>
      <c r="C67" s="7" t="s">
        <v>1686</v>
      </c>
      <c r="N67" s="183">
        <f>30*100</f>
        <v>3000</v>
      </c>
      <c r="O67" s="104">
        <f>1.41/100</f>
        <v>1.41E-2</v>
      </c>
      <c r="P67" s="220"/>
      <c r="Q67" s="220"/>
    </row>
    <row r="68" spans="1:36" ht="14.25" customHeight="1">
      <c r="A68" s="117" t="s">
        <v>2944</v>
      </c>
      <c r="B68" s="122">
        <f>313/500</f>
        <v>0.626</v>
      </c>
      <c r="C68" s="7" t="s">
        <v>1689</v>
      </c>
      <c r="N68" s="183">
        <f>50*100</f>
        <v>5000</v>
      </c>
      <c r="O68" s="104">
        <f>1.45/100</f>
        <v>1.4499999999999999E-2</v>
      </c>
      <c r="P68" s="220"/>
      <c r="Q68" s="220"/>
    </row>
    <row r="69" spans="1:36" ht="14.25" customHeight="1">
      <c r="A69" s="117" t="s">
        <v>2945</v>
      </c>
      <c r="B69" s="122">
        <f>5.7/5</f>
        <v>1.1400000000000001</v>
      </c>
      <c r="C69" s="7" t="s">
        <v>1695</v>
      </c>
      <c r="N69" s="183">
        <f>30*100</f>
        <v>3000</v>
      </c>
      <c r="O69" s="104">
        <f>2.09/100</f>
        <v>2.0899999999999998E-2</v>
      </c>
      <c r="P69" s="220"/>
      <c r="Q69" s="220"/>
    </row>
    <row r="70" spans="1:36" ht="14.25" customHeight="1">
      <c r="A70" s="117" t="s">
        <v>2946</v>
      </c>
      <c r="B70" s="122">
        <f>6/5</f>
        <v>1.2</v>
      </c>
      <c r="C70" s="1" t="s">
        <v>1699</v>
      </c>
      <c r="N70" s="183">
        <f>10*100-22</f>
        <v>978</v>
      </c>
      <c r="O70" s="104">
        <f>2.44/100</f>
        <v>2.4399999999999998E-2</v>
      </c>
      <c r="P70" s="220"/>
      <c r="Q70" s="220"/>
    </row>
    <row r="71" spans="1:36" ht="14.25" customHeight="1">
      <c r="A71" s="117" t="s">
        <v>2947</v>
      </c>
      <c r="B71" s="107">
        <v>1.51</v>
      </c>
      <c r="C71" s="211" t="s">
        <v>1692</v>
      </c>
      <c r="N71" s="183">
        <f>7*100</f>
        <v>700</v>
      </c>
      <c r="O71" s="104">
        <f>2.94/100</f>
        <v>2.9399999999999999E-2</v>
      </c>
      <c r="P71" s="220"/>
      <c r="Q71" s="220"/>
      <c r="AJ71" s="211" t="s">
        <v>1692</v>
      </c>
    </row>
    <row r="72" spans="1:36" ht="14.25" customHeight="1">
      <c r="A72" s="117" t="s">
        <v>2948</v>
      </c>
      <c r="B72" s="122">
        <f>18.1/10</f>
        <v>1.81</v>
      </c>
      <c r="C72" s="7" t="s">
        <v>1685</v>
      </c>
      <c r="D72" s="184"/>
      <c r="E72" s="184"/>
      <c r="H72" s="184"/>
      <c r="I72" s="184"/>
      <c r="L72" s="3"/>
      <c r="M72" s="3"/>
      <c r="N72" s="184">
        <f>20*100-30</f>
        <v>1970</v>
      </c>
      <c r="O72" s="105">
        <f>3.39/100/1970*2000</f>
        <v>3.4416243654822334E-2</v>
      </c>
      <c r="P72" s="223"/>
      <c r="Q72" s="223"/>
    </row>
    <row r="73" spans="1:36" ht="14.25" customHeight="1">
      <c r="A73" s="117" t="s">
        <v>2949</v>
      </c>
      <c r="B73" s="107">
        <v>2.3519999999999999</v>
      </c>
      <c r="C73" s="7" t="s">
        <v>1693</v>
      </c>
      <c r="N73" s="183">
        <f>5*100</f>
        <v>500</v>
      </c>
      <c r="O73" s="104">
        <f>4.25/100</f>
        <v>4.2500000000000003E-2</v>
      </c>
      <c r="P73" s="220"/>
      <c r="Q73" s="220"/>
    </row>
    <row r="74" spans="1:36" ht="14.25" customHeight="1">
      <c r="A74" s="117" t="s">
        <v>3124</v>
      </c>
      <c r="B74" s="107">
        <v>2.16</v>
      </c>
      <c r="C74" s="7" t="s">
        <v>1698</v>
      </c>
      <c r="N74" s="183">
        <f>10*100</f>
        <v>1000</v>
      </c>
      <c r="O74" s="104">
        <f>3.97/100</f>
        <v>3.9699999999999999E-2</v>
      </c>
      <c r="P74" s="220"/>
      <c r="Q74" s="220"/>
    </row>
    <row r="75" spans="1:36" ht="14.25" customHeight="1">
      <c r="A75" s="117" t="s">
        <v>2950</v>
      </c>
      <c r="B75" s="107">
        <v>3.5640000000000001</v>
      </c>
      <c r="C75" s="7" t="s">
        <v>1697</v>
      </c>
      <c r="N75" s="183">
        <f>4*100</f>
        <v>400</v>
      </c>
      <c r="O75" s="104">
        <f>6.16/100</f>
        <v>6.1600000000000002E-2</v>
      </c>
      <c r="P75" s="220"/>
      <c r="Q75" s="220"/>
    </row>
    <row r="76" spans="1:36" ht="14.25" customHeight="1">
      <c r="A76" s="117" t="s">
        <v>2951</v>
      </c>
      <c r="B76" s="107">
        <v>3.6</v>
      </c>
      <c r="C76" s="7" t="s">
        <v>1690</v>
      </c>
      <c r="N76" s="183">
        <f>4*100</f>
        <v>400</v>
      </c>
      <c r="O76" s="104">
        <f>6.02/100</f>
        <v>6.0199999999999997E-2</v>
      </c>
      <c r="P76" s="220"/>
      <c r="Q76" s="220"/>
    </row>
    <row r="77" spans="1:36" ht="14.25" customHeight="1">
      <c r="A77" s="117" t="s">
        <v>2952</v>
      </c>
      <c r="B77" s="107">
        <v>4.08</v>
      </c>
      <c r="C77" s="7" t="s">
        <v>1696</v>
      </c>
      <c r="N77" s="183">
        <f>3*100</f>
        <v>300</v>
      </c>
      <c r="O77" s="104">
        <f>6.77/100</f>
        <v>6.7699999999999996E-2</v>
      </c>
      <c r="P77" s="220"/>
      <c r="Q77" s="220"/>
    </row>
    <row r="78" spans="1:36" ht="14.25" customHeight="1">
      <c r="A78" s="117" t="s">
        <v>2953</v>
      </c>
      <c r="B78" s="107">
        <v>4.968</v>
      </c>
      <c r="C78" s="7" t="s">
        <v>1683</v>
      </c>
      <c r="N78" s="183">
        <f>3*100</f>
        <v>300</v>
      </c>
      <c r="O78" s="104">
        <f>8.4/100</f>
        <v>8.4000000000000005E-2</v>
      </c>
      <c r="P78" s="220"/>
      <c r="Q78" s="220"/>
    </row>
    <row r="79" spans="1:36" ht="14.25" customHeight="1">
      <c r="A79" s="117" t="s">
        <v>2954</v>
      </c>
      <c r="B79" s="122">
        <f>25.8/5</f>
        <v>5.16</v>
      </c>
      <c r="C79" s="7" t="s">
        <v>1694</v>
      </c>
      <c r="N79" s="183">
        <f>3*100</f>
        <v>300</v>
      </c>
      <c r="O79" s="104">
        <f>8.9/100</f>
        <v>8.900000000000001E-2</v>
      </c>
      <c r="P79" s="220"/>
      <c r="Q79" s="220"/>
    </row>
    <row r="80" spans="1:36" ht="14.25" customHeight="1">
      <c r="A80" s="117" t="s">
        <v>2955</v>
      </c>
      <c r="B80" s="107">
        <v>7.56</v>
      </c>
      <c r="C80" s="7" t="s">
        <v>1687</v>
      </c>
      <c r="N80" s="183">
        <f>2*100</f>
        <v>200</v>
      </c>
      <c r="O80" s="104">
        <f>12.39/100</f>
        <v>0.12390000000000001</v>
      </c>
      <c r="P80" s="220"/>
      <c r="Q80" s="220"/>
    </row>
    <row r="81" spans="1:42" ht="14.25" customHeight="1">
      <c r="A81" s="117" t="s">
        <v>2956</v>
      </c>
      <c r="B81" s="107">
        <v>15.36</v>
      </c>
      <c r="C81" s="7" t="s">
        <v>1688</v>
      </c>
      <c r="N81" s="183">
        <f>1*100</f>
        <v>100</v>
      </c>
      <c r="O81" s="104">
        <f>24.61/100</f>
        <v>0.24609999999999999</v>
      </c>
      <c r="P81" s="220"/>
      <c r="Q81" s="220"/>
    </row>
    <row r="82" spans="1:42" ht="14.25" customHeight="1">
      <c r="A82" s="112">
        <v>106.01</v>
      </c>
      <c r="B82" s="107">
        <f>294.7/1000</f>
        <v>0.29469999999999996</v>
      </c>
      <c r="C82" s="211" t="s">
        <v>1717</v>
      </c>
      <c r="N82" s="183">
        <f>20*100</f>
        <v>2000</v>
      </c>
      <c r="O82" s="104">
        <f>0.98/100</f>
        <v>9.7999999999999997E-3</v>
      </c>
      <c r="P82" s="220"/>
      <c r="Q82" s="220"/>
      <c r="AJ82" s="211" t="s">
        <v>1717</v>
      </c>
    </row>
    <row r="83" spans="1:42" ht="14.25" customHeight="1">
      <c r="A83" s="112">
        <v>106.02</v>
      </c>
      <c r="B83" s="107">
        <f>388.3/1000</f>
        <v>0.38830000000000003</v>
      </c>
      <c r="C83" s="7" t="s">
        <v>1713</v>
      </c>
      <c r="N83" s="183">
        <f>20*100</f>
        <v>2000</v>
      </c>
      <c r="O83" s="104">
        <f>0.98/100</f>
        <v>9.7999999999999997E-3</v>
      </c>
      <c r="P83" s="220"/>
      <c r="Q83" s="220"/>
    </row>
    <row r="84" spans="1:42" ht="14.25" customHeight="1">
      <c r="A84" s="112">
        <v>106.03</v>
      </c>
      <c r="B84" s="107">
        <f>416.8/1000</f>
        <v>0.4168</v>
      </c>
      <c r="C84" s="7" t="s">
        <v>1709</v>
      </c>
      <c r="N84" s="183">
        <f>8*100</f>
        <v>800</v>
      </c>
      <c r="O84" s="104">
        <f>1.38/100</f>
        <v>1.38E-2</v>
      </c>
      <c r="P84" s="220"/>
      <c r="Q84" s="220"/>
    </row>
    <row r="85" spans="1:42" s="4" customFormat="1" ht="14.25" customHeight="1">
      <c r="A85" s="112">
        <v>106.04</v>
      </c>
      <c r="B85" s="107">
        <f>129/200</f>
        <v>0.64500000000000002</v>
      </c>
      <c r="C85" s="7" t="s">
        <v>1718</v>
      </c>
      <c r="D85" s="183"/>
      <c r="E85" s="183"/>
      <c r="F85" s="188"/>
      <c r="G85" s="188"/>
      <c r="H85" s="183"/>
      <c r="I85" s="183"/>
      <c r="J85" s="188"/>
      <c r="K85" s="188"/>
      <c r="L85" s="9"/>
      <c r="M85" s="9"/>
      <c r="N85" s="183">
        <f>20*100</f>
        <v>2000</v>
      </c>
      <c r="O85" s="104">
        <f>1.58/100</f>
        <v>1.5800000000000002E-2</v>
      </c>
      <c r="P85" s="220"/>
      <c r="Q85" s="220"/>
      <c r="R85" s="7"/>
      <c r="S85" s="126"/>
      <c r="T85" s="126"/>
      <c r="U85" s="237"/>
      <c r="V85" s="103"/>
      <c r="W85" s="9"/>
      <c r="X85" s="9"/>
      <c r="Y85" s="9"/>
      <c r="Z85" s="9"/>
      <c r="AA85" s="126"/>
      <c r="AB85" s="9"/>
      <c r="AC85" s="9"/>
      <c r="AD85" s="9"/>
      <c r="AE85" s="9"/>
      <c r="AF85" s="9"/>
      <c r="AG85" s="9"/>
      <c r="AH85" s="9"/>
      <c r="AI85" s="9"/>
      <c r="AJ85" s="7"/>
      <c r="AK85" s="7"/>
      <c r="AL85" s="7"/>
      <c r="AM85" s="7"/>
      <c r="AN85" s="7"/>
      <c r="AO85" s="7"/>
      <c r="AP85" s="7"/>
    </row>
    <row r="86" spans="1:42" ht="14.25" customHeight="1">
      <c r="A86" s="112">
        <v>106.05</v>
      </c>
      <c r="B86" s="107">
        <f>85.3/100</f>
        <v>0.85299999999999998</v>
      </c>
      <c r="C86" s="211" t="s">
        <v>1708</v>
      </c>
      <c r="N86" s="183">
        <f>10*100</f>
        <v>1000</v>
      </c>
      <c r="O86" s="104">
        <f>1.88/100</f>
        <v>1.8799999999999997E-2</v>
      </c>
      <c r="P86" s="220"/>
      <c r="Q86" s="220"/>
      <c r="AJ86" s="211" t="s">
        <v>1708</v>
      </c>
    </row>
    <row r="87" spans="1:42" ht="14.25" customHeight="1">
      <c r="A87" s="112">
        <v>106.06</v>
      </c>
      <c r="B87" s="107">
        <f>239/200</f>
        <v>1.1950000000000001</v>
      </c>
      <c r="C87" s="7" t="s">
        <v>1714</v>
      </c>
      <c r="N87" s="183">
        <f>10*100</f>
        <v>1000</v>
      </c>
      <c r="O87" s="104">
        <f>2.78/100</f>
        <v>2.7799999999999998E-2</v>
      </c>
      <c r="P87" s="220"/>
      <c r="Q87" s="220"/>
    </row>
    <row r="88" spans="1:42" ht="14.25" customHeight="1">
      <c r="A88" s="112">
        <v>106.07</v>
      </c>
      <c r="B88" s="9">
        <f>15.3/10</f>
        <v>1.53</v>
      </c>
      <c r="C88" s="7" t="s">
        <v>1715</v>
      </c>
      <c r="N88" s="183">
        <f>5*100</f>
        <v>500</v>
      </c>
      <c r="O88" s="104">
        <f>3.18/100</f>
        <v>3.1800000000000002E-2</v>
      </c>
      <c r="P88" s="220"/>
      <c r="Q88" s="220"/>
    </row>
    <row r="89" spans="1:42" ht="14.25" customHeight="1">
      <c r="A89" s="112">
        <v>106.08</v>
      </c>
      <c r="B89" s="9">
        <f>16.5/10</f>
        <v>1.65</v>
      </c>
      <c r="C89" s="7" t="s">
        <v>1719</v>
      </c>
      <c r="N89" s="183">
        <f>8*100</f>
        <v>800</v>
      </c>
      <c r="O89" s="104">
        <f>3.38/100</f>
        <v>3.3799999999999997E-2</v>
      </c>
      <c r="P89" s="220"/>
      <c r="Q89" s="220"/>
    </row>
    <row r="90" spans="1:42" ht="14.25" customHeight="1">
      <c r="A90" s="201" t="s">
        <v>5932</v>
      </c>
      <c r="B90" s="3">
        <f>18.4/10</f>
        <v>1.8399999999999999</v>
      </c>
      <c r="C90" s="7" t="s">
        <v>1720</v>
      </c>
      <c r="N90" s="183">
        <f>3*100</f>
        <v>300</v>
      </c>
      <c r="O90" s="104">
        <f>3.88/100</f>
        <v>3.8800000000000001E-2</v>
      </c>
      <c r="P90" s="220"/>
      <c r="Q90" s="220"/>
    </row>
    <row r="91" spans="1:42" ht="14.25" customHeight="1">
      <c r="A91" s="114" t="s">
        <v>2960</v>
      </c>
      <c r="B91" s="107">
        <f>197.6/400</f>
        <v>0.49399999999999999</v>
      </c>
      <c r="C91" s="7" t="s">
        <v>1709</v>
      </c>
      <c r="N91" s="183">
        <f>2*200</f>
        <v>400</v>
      </c>
      <c r="O91" s="104">
        <f>3.6/200</f>
        <v>1.8000000000000002E-2</v>
      </c>
      <c r="P91" s="220"/>
      <c r="Q91" s="220"/>
    </row>
    <row r="92" spans="1:42" ht="14.25" customHeight="1">
      <c r="A92" s="112">
        <v>106.11</v>
      </c>
      <c r="B92" s="107">
        <f>208.5/400</f>
        <v>0.52124999999999999</v>
      </c>
      <c r="C92" s="1" t="s">
        <v>1727</v>
      </c>
      <c r="N92" s="183">
        <f>2*200</f>
        <v>400</v>
      </c>
      <c r="O92" s="104">
        <f>3.2/200</f>
        <v>1.6E-2</v>
      </c>
      <c r="P92" s="220"/>
      <c r="Q92" s="220"/>
    </row>
    <row r="93" spans="1:42" ht="14.25" customHeight="1">
      <c r="A93" s="112">
        <v>106.12</v>
      </c>
      <c r="B93" s="107">
        <f>257.9/800</f>
        <v>0.32237499999999997</v>
      </c>
      <c r="C93" s="7" t="s">
        <v>1726</v>
      </c>
      <c r="N93" s="183">
        <f>4*200</f>
        <v>800</v>
      </c>
      <c r="O93" s="104">
        <f>2.4/200</f>
        <v>1.2E-2</v>
      </c>
      <c r="P93" s="220"/>
      <c r="Q93" s="220"/>
    </row>
    <row r="94" spans="1:42" ht="14.25" customHeight="1">
      <c r="A94" s="112">
        <v>106.13</v>
      </c>
      <c r="B94" s="107">
        <f>311.5/400</f>
        <v>0.77875000000000005</v>
      </c>
      <c r="C94" s="7" t="s">
        <v>1725</v>
      </c>
      <c r="N94" s="183">
        <f>2*200</f>
        <v>400</v>
      </c>
      <c r="O94" s="104">
        <f>4/200</f>
        <v>0.02</v>
      </c>
      <c r="P94" s="220"/>
      <c r="Q94" s="220"/>
    </row>
    <row r="95" spans="1:42" ht="14.25" customHeight="1">
      <c r="A95" s="112">
        <v>106.14</v>
      </c>
      <c r="B95" s="107">
        <f>396.2/400</f>
        <v>0.99049999999999994</v>
      </c>
      <c r="C95" s="7" t="s">
        <v>2343</v>
      </c>
      <c r="N95" s="183">
        <f>2*200</f>
        <v>400</v>
      </c>
      <c r="O95" s="104">
        <f>5/200</f>
        <v>2.5000000000000001E-2</v>
      </c>
      <c r="P95" s="220"/>
      <c r="Q95" s="220"/>
    </row>
    <row r="96" spans="1:42" ht="14.25" customHeight="1">
      <c r="A96" s="112">
        <v>106.15</v>
      </c>
      <c r="B96" s="107">
        <f>358.5/400</f>
        <v>0.89624999999999999</v>
      </c>
      <c r="C96" s="1" t="s">
        <v>1728</v>
      </c>
      <c r="N96" s="183">
        <f>2*200</f>
        <v>400</v>
      </c>
      <c r="O96" s="104">
        <f>4.5/200</f>
        <v>2.2499999999999999E-2</v>
      </c>
      <c r="P96" s="220"/>
      <c r="Q96" s="220"/>
    </row>
    <row r="97" spans="1:42" ht="14.25" customHeight="1">
      <c r="A97" s="112">
        <v>106.16</v>
      </c>
      <c r="B97" s="107">
        <f>260/2000</f>
        <v>0.13</v>
      </c>
      <c r="C97" s="1" t="s">
        <v>1731</v>
      </c>
      <c r="D97" s="184"/>
      <c r="E97" s="184"/>
      <c r="H97" s="184"/>
      <c r="I97" s="184"/>
      <c r="L97" s="3"/>
      <c r="M97" s="3"/>
      <c r="N97" s="184">
        <f>20*100</f>
        <v>2000</v>
      </c>
      <c r="O97" s="25">
        <f>0.7/100</f>
        <v>6.9999999999999993E-3</v>
      </c>
      <c r="P97" s="224"/>
      <c r="Q97" s="224"/>
    </row>
    <row r="98" spans="1:42" ht="14.25" customHeight="1">
      <c r="A98" s="112">
        <v>106.17</v>
      </c>
      <c r="B98" s="107">
        <f>170.5/2000</f>
        <v>8.5250000000000006E-2</v>
      </c>
      <c r="C98" s="1" t="s">
        <v>2344</v>
      </c>
      <c r="D98" s="184"/>
      <c r="E98" s="184"/>
      <c r="H98" s="184"/>
      <c r="I98" s="184"/>
      <c r="L98" s="3"/>
      <c r="M98" s="3"/>
      <c r="N98" s="184">
        <f>10*100</f>
        <v>1000</v>
      </c>
      <c r="O98" s="25">
        <f>0.8/100</f>
        <v>8.0000000000000002E-3</v>
      </c>
      <c r="P98" s="224"/>
      <c r="Q98" s="224"/>
    </row>
    <row r="99" spans="1:42" ht="14.25" customHeight="1">
      <c r="A99" s="112">
        <v>106.18</v>
      </c>
      <c r="B99" s="107">
        <f>445/1000</f>
        <v>0.44500000000000001</v>
      </c>
      <c r="C99" s="1" t="s">
        <v>1732</v>
      </c>
      <c r="D99" s="184"/>
      <c r="E99" s="184"/>
      <c r="H99" s="184"/>
      <c r="I99" s="184"/>
      <c r="L99" s="3"/>
      <c r="M99" s="3"/>
      <c r="N99" s="184">
        <f>10*100</f>
        <v>1000</v>
      </c>
      <c r="O99" s="25">
        <f>1.1/100</f>
        <v>1.1000000000000001E-2</v>
      </c>
      <c r="P99" s="224"/>
      <c r="Q99" s="224"/>
    </row>
    <row r="100" spans="1:42" s="4" customFormat="1" ht="14.25" customHeight="1">
      <c r="A100" s="112">
        <v>106.19</v>
      </c>
      <c r="B100" s="9">
        <f>3.4/5</f>
        <v>0.67999999999999994</v>
      </c>
      <c r="C100" s="1" t="s">
        <v>1733</v>
      </c>
      <c r="D100" s="184"/>
      <c r="E100" s="184"/>
      <c r="F100" s="188"/>
      <c r="G100" s="188"/>
      <c r="H100" s="184"/>
      <c r="I100" s="184"/>
      <c r="J100" s="188"/>
      <c r="K100" s="188"/>
      <c r="L100" s="3"/>
      <c r="M100" s="3"/>
      <c r="N100" s="184">
        <f>10*100</f>
        <v>1000</v>
      </c>
      <c r="O100" s="25">
        <f>1.5/100</f>
        <v>1.4999999999999999E-2</v>
      </c>
      <c r="P100" s="224"/>
      <c r="Q100" s="224"/>
      <c r="R100" s="7"/>
      <c r="S100" s="126"/>
      <c r="T100" s="126"/>
      <c r="U100" s="237"/>
      <c r="V100" s="103"/>
      <c r="W100" s="9"/>
      <c r="X100" s="9"/>
      <c r="Y100" s="9"/>
      <c r="Z100" s="9"/>
      <c r="AA100" s="126"/>
      <c r="AB100" s="9"/>
      <c r="AC100" s="9"/>
      <c r="AD100" s="9"/>
      <c r="AE100" s="9"/>
      <c r="AF100" s="9"/>
      <c r="AG100" s="9"/>
      <c r="AH100" s="9"/>
      <c r="AI100" s="9"/>
      <c r="AJ100" s="7"/>
      <c r="AK100" s="7"/>
      <c r="AL100" s="7"/>
      <c r="AM100" s="7"/>
      <c r="AN100" s="7"/>
      <c r="AO100" s="7"/>
      <c r="AP100" s="7"/>
    </row>
    <row r="101" spans="1:42" ht="14.25" customHeight="1">
      <c r="A101" s="114" t="s">
        <v>2962</v>
      </c>
      <c r="B101" s="9">
        <f>43.4-41.1</f>
        <v>2.2999999999999972</v>
      </c>
      <c r="C101" s="1" t="s">
        <v>1734</v>
      </c>
      <c r="D101" s="184"/>
      <c r="E101" s="184"/>
      <c r="H101" s="184"/>
      <c r="I101" s="184"/>
      <c r="L101" s="3"/>
      <c r="M101" s="3"/>
      <c r="N101" s="184">
        <f>2*100</f>
        <v>200</v>
      </c>
      <c r="O101" s="25">
        <f>4.7/100</f>
        <v>4.7E-2</v>
      </c>
      <c r="P101" s="224"/>
      <c r="Q101" s="224"/>
    </row>
    <row r="102" spans="1:42" s="4" customFormat="1" ht="14.25" customHeight="1">
      <c r="A102" s="112">
        <v>106.21</v>
      </c>
      <c r="B102" s="9">
        <f>44.2-41.1</f>
        <v>3.1000000000000014</v>
      </c>
      <c r="C102" s="1" t="s">
        <v>1735</v>
      </c>
      <c r="D102" s="184"/>
      <c r="E102" s="184"/>
      <c r="F102" s="188"/>
      <c r="G102" s="188"/>
      <c r="H102" s="184"/>
      <c r="I102" s="184"/>
      <c r="J102" s="188"/>
      <c r="K102" s="188"/>
      <c r="L102" s="3"/>
      <c r="M102" s="3"/>
      <c r="N102" s="184">
        <f>2*100</f>
        <v>200</v>
      </c>
      <c r="O102" s="25">
        <f>6/100</f>
        <v>0.06</v>
      </c>
      <c r="P102" s="224"/>
      <c r="Q102" s="224"/>
      <c r="R102" s="7"/>
      <c r="S102" s="126"/>
      <c r="T102" s="126"/>
      <c r="U102" s="237"/>
      <c r="V102" s="103"/>
      <c r="W102" s="9"/>
      <c r="X102" s="9"/>
      <c r="Y102" s="9"/>
      <c r="Z102" s="9"/>
      <c r="AA102" s="126"/>
      <c r="AB102" s="9"/>
      <c r="AC102" s="9"/>
      <c r="AD102" s="9"/>
      <c r="AE102" s="9"/>
      <c r="AF102" s="9"/>
      <c r="AG102" s="9"/>
      <c r="AH102" s="9"/>
      <c r="AI102" s="9"/>
      <c r="AJ102" s="7"/>
      <c r="AK102" s="7"/>
      <c r="AL102" s="7"/>
      <c r="AM102" s="7"/>
      <c r="AN102" s="7"/>
      <c r="AO102" s="7"/>
      <c r="AP102" s="7"/>
    </row>
    <row r="103" spans="1:42" ht="14.25" customHeight="1">
      <c r="A103" s="112">
        <v>106.22</v>
      </c>
      <c r="B103" s="9">
        <f>44.9-41.1</f>
        <v>3.7999999999999972</v>
      </c>
      <c r="C103" s="1" t="s">
        <v>1736</v>
      </c>
      <c r="D103" s="184"/>
      <c r="E103" s="184"/>
      <c r="H103" s="184"/>
      <c r="I103" s="184"/>
      <c r="L103" s="3"/>
      <c r="M103" s="3"/>
      <c r="N103" s="184">
        <f>2*100</f>
        <v>200</v>
      </c>
      <c r="O103" s="25">
        <f>7.7/100</f>
        <v>7.6999999999999999E-2</v>
      </c>
      <c r="P103" s="224"/>
      <c r="Q103" s="224"/>
    </row>
    <row r="104" spans="1:42" ht="14.25" customHeight="1">
      <c r="A104" s="112">
        <v>107.01</v>
      </c>
      <c r="B104" s="107">
        <f>3.4/100</f>
        <v>3.4000000000000002E-2</v>
      </c>
      <c r="C104" s="211" t="s">
        <v>1772</v>
      </c>
      <c r="D104" s="184"/>
      <c r="E104" s="184"/>
      <c r="H104" s="184"/>
      <c r="I104" s="184"/>
      <c r="L104" s="3"/>
      <c r="M104" s="3"/>
      <c r="N104" s="184">
        <v>5000</v>
      </c>
      <c r="O104" s="105">
        <f>0.78/100</f>
        <v>7.8000000000000005E-3</v>
      </c>
      <c r="P104" s="223"/>
      <c r="Q104" s="223"/>
      <c r="AJ104" s="211" t="s">
        <v>1772</v>
      </c>
    </row>
    <row r="105" spans="1:42" ht="14.25" customHeight="1">
      <c r="A105" s="110" t="s">
        <v>2756</v>
      </c>
      <c r="B105" s="9">
        <f>51/100</f>
        <v>0.51</v>
      </c>
      <c r="C105" s="1" t="s">
        <v>3995</v>
      </c>
      <c r="D105" s="184"/>
      <c r="E105" s="184"/>
      <c r="H105" s="184"/>
      <c r="I105" s="184"/>
      <c r="L105" s="3"/>
      <c r="M105" s="3"/>
      <c r="N105" s="184">
        <v>50000</v>
      </c>
      <c r="O105" s="25">
        <f>0.014</f>
        <v>1.4E-2</v>
      </c>
      <c r="P105" s="224"/>
      <c r="Q105" s="224"/>
    </row>
    <row r="106" spans="1:42" ht="14.25" customHeight="1">
      <c r="A106" s="110" t="s">
        <v>3286</v>
      </c>
      <c r="B106" s="107">
        <f>132.6/100</f>
        <v>1.3259999999999998</v>
      </c>
      <c r="C106" s="1" t="s">
        <v>3996</v>
      </c>
      <c r="D106" s="184"/>
      <c r="E106" s="184"/>
      <c r="H106" s="184"/>
      <c r="I106" s="184"/>
      <c r="L106" s="3"/>
      <c r="M106" s="3"/>
      <c r="N106" s="184">
        <v>30000</v>
      </c>
      <c r="O106" s="25">
        <f>0.027</f>
        <v>2.7E-2</v>
      </c>
      <c r="P106" s="224"/>
      <c r="Q106" s="224"/>
    </row>
    <row r="107" spans="1:42" s="4" customFormat="1" ht="14.25" customHeight="1">
      <c r="A107" s="116" t="s">
        <v>2801</v>
      </c>
      <c r="B107" s="107">
        <f>27.8/100</f>
        <v>0.27800000000000002</v>
      </c>
      <c r="C107" s="1" t="s">
        <v>1765</v>
      </c>
      <c r="D107" s="184"/>
      <c r="E107" s="184"/>
      <c r="F107" s="188"/>
      <c r="G107" s="188"/>
      <c r="H107" s="184"/>
      <c r="I107" s="184"/>
      <c r="J107" s="188"/>
      <c r="K107" s="188"/>
      <c r="L107" s="3"/>
      <c r="M107" s="3"/>
      <c r="N107" s="184">
        <f>50*100+100</f>
        <v>5100</v>
      </c>
      <c r="O107" s="25">
        <f>0.65/100</f>
        <v>6.5000000000000006E-3</v>
      </c>
      <c r="P107" s="224"/>
      <c r="Q107" s="224"/>
      <c r="R107" s="7"/>
      <c r="S107" s="126"/>
      <c r="T107" s="126"/>
      <c r="U107" s="237"/>
      <c r="V107" s="103"/>
      <c r="W107" s="9"/>
      <c r="X107" s="9"/>
      <c r="Y107" s="9"/>
      <c r="Z107" s="9"/>
      <c r="AA107" s="126"/>
      <c r="AB107" s="9"/>
      <c r="AC107" s="9"/>
      <c r="AD107" s="9"/>
      <c r="AE107" s="9"/>
      <c r="AF107" s="9"/>
      <c r="AG107" s="9"/>
      <c r="AH107" s="9"/>
      <c r="AI107" s="9"/>
      <c r="AJ107" s="7"/>
      <c r="AK107" s="7"/>
      <c r="AL107" s="7"/>
      <c r="AM107" s="7"/>
      <c r="AN107" s="7"/>
      <c r="AO107" s="7"/>
      <c r="AP107" s="7"/>
    </row>
    <row r="108" spans="1:42" ht="14.25" customHeight="1">
      <c r="A108" s="116" t="s">
        <v>2802</v>
      </c>
      <c r="B108" s="107">
        <f>36.5/100</f>
        <v>0.36499999999999999</v>
      </c>
      <c r="C108" s="1" t="s">
        <v>1764</v>
      </c>
      <c r="D108" s="184"/>
      <c r="E108" s="184"/>
      <c r="H108" s="184"/>
      <c r="I108" s="184"/>
      <c r="L108" s="3"/>
      <c r="M108" s="3"/>
      <c r="N108" s="184">
        <f>100*100+100</f>
        <v>10100</v>
      </c>
      <c r="O108" s="25">
        <f>1/100</f>
        <v>0.01</v>
      </c>
      <c r="P108" s="224"/>
      <c r="Q108" s="224"/>
    </row>
    <row r="109" spans="1:42" ht="14.25" customHeight="1">
      <c r="A109" s="116" t="s">
        <v>2803</v>
      </c>
      <c r="B109" s="107">
        <f>98.6/100</f>
        <v>0.98599999999999999</v>
      </c>
      <c r="C109" s="1" t="s">
        <v>1763</v>
      </c>
      <c r="D109" s="184"/>
      <c r="E109" s="184"/>
      <c r="H109" s="184"/>
      <c r="I109" s="184"/>
      <c r="L109" s="3"/>
      <c r="M109" s="3"/>
      <c r="N109" s="184">
        <f>100*100+100</f>
        <v>10100</v>
      </c>
      <c r="O109" s="25">
        <f>2.2/100</f>
        <v>2.2000000000000002E-2</v>
      </c>
      <c r="P109" s="224"/>
      <c r="Q109" s="224"/>
      <c r="V109" s="233"/>
      <c r="W109" s="168"/>
      <c r="X109" s="168"/>
      <c r="Y109" s="168"/>
      <c r="Z109" s="168"/>
      <c r="AB109" s="168"/>
      <c r="AC109" s="168"/>
      <c r="AD109" s="168"/>
      <c r="AE109" s="168"/>
      <c r="AF109" s="168"/>
      <c r="AG109" s="168"/>
      <c r="AH109" s="168"/>
      <c r="AI109" s="168"/>
    </row>
    <row r="110" spans="1:42" ht="14.25" customHeight="1">
      <c r="A110" s="116" t="s">
        <v>2804</v>
      </c>
      <c r="B110" s="107">
        <f>172.7/100</f>
        <v>1.7269999999999999</v>
      </c>
      <c r="C110" s="1" t="s">
        <v>1758</v>
      </c>
      <c r="D110" s="184"/>
      <c r="E110" s="184"/>
      <c r="H110" s="184"/>
      <c r="I110" s="184"/>
      <c r="L110" s="3"/>
      <c r="M110" s="3"/>
      <c r="N110" s="184">
        <f>5*100+100</f>
        <v>600</v>
      </c>
      <c r="O110" s="25">
        <f>4.62/100</f>
        <v>4.6199999999999998E-2</v>
      </c>
      <c r="P110" s="224"/>
      <c r="Q110" s="224"/>
      <c r="V110" s="233"/>
      <c r="W110" s="168"/>
      <c r="X110" s="168"/>
      <c r="Y110" s="168"/>
      <c r="Z110" s="168"/>
      <c r="AB110" s="168"/>
      <c r="AC110" s="168"/>
      <c r="AD110" s="168"/>
      <c r="AE110" s="168"/>
      <c r="AF110" s="168"/>
      <c r="AG110" s="168"/>
      <c r="AH110" s="168"/>
      <c r="AI110" s="168"/>
    </row>
    <row r="111" spans="1:42" ht="14.25" customHeight="1">
      <c r="A111" s="125" t="s">
        <v>2805</v>
      </c>
      <c r="B111" s="107">
        <v>2.1</v>
      </c>
      <c r="C111" s="211" t="s">
        <v>1762</v>
      </c>
      <c r="D111" s="184"/>
      <c r="E111" s="184"/>
      <c r="H111" s="184"/>
      <c r="I111" s="184"/>
      <c r="L111" s="3"/>
      <c r="M111" s="3"/>
      <c r="N111" s="184">
        <f>50*100+400+200</f>
        <v>5600</v>
      </c>
      <c r="O111" s="25">
        <f>3/100</f>
        <v>0.03</v>
      </c>
      <c r="P111" s="224"/>
      <c r="Q111" s="224"/>
      <c r="AJ111" s="211" t="s">
        <v>1762</v>
      </c>
    </row>
    <row r="112" spans="1:42" ht="14.25" customHeight="1">
      <c r="A112" s="116" t="s">
        <v>2806</v>
      </c>
      <c r="B112" s="107">
        <f>227/100</f>
        <v>2.27</v>
      </c>
      <c r="C112" s="1" t="s">
        <v>1760</v>
      </c>
      <c r="D112" s="184"/>
      <c r="E112" s="184"/>
      <c r="H112" s="184"/>
      <c r="I112" s="184"/>
      <c r="L112" s="3"/>
      <c r="M112" s="3"/>
      <c r="N112" s="184">
        <f>50*100+100</f>
        <v>5100</v>
      </c>
      <c r="O112" s="25">
        <f>4/100</f>
        <v>0.04</v>
      </c>
      <c r="P112" s="224"/>
      <c r="Q112" s="224"/>
    </row>
    <row r="113" spans="1:42" ht="14.25" customHeight="1">
      <c r="A113" s="114" t="s">
        <v>2994</v>
      </c>
      <c r="B113" s="9">
        <f>37.1/10</f>
        <v>3.71</v>
      </c>
      <c r="C113" s="1" t="s">
        <v>1766</v>
      </c>
      <c r="D113" s="184"/>
      <c r="E113" s="184"/>
      <c r="H113" s="184"/>
      <c r="I113" s="184"/>
      <c r="L113" s="3"/>
      <c r="M113" s="3"/>
      <c r="N113" s="184">
        <v>300</v>
      </c>
      <c r="O113" s="105">
        <f>6.6/100</f>
        <v>6.6000000000000003E-2</v>
      </c>
      <c r="P113" s="223"/>
      <c r="Q113" s="223"/>
    </row>
    <row r="114" spans="1:42" ht="14.25" customHeight="1">
      <c r="A114" s="116" t="s">
        <v>2808</v>
      </c>
      <c r="B114" s="107">
        <f>329.4/100</f>
        <v>3.2939999999999996</v>
      </c>
      <c r="C114" s="1" t="s">
        <v>1759</v>
      </c>
      <c r="D114" s="184"/>
      <c r="E114" s="184"/>
      <c r="H114" s="184"/>
      <c r="I114" s="184"/>
      <c r="L114" s="3"/>
      <c r="M114" s="3"/>
      <c r="N114" s="184">
        <f>5*100+300</f>
        <v>800</v>
      </c>
      <c r="O114" s="25">
        <f>6.1/100</f>
        <v>6.0999999999999999E-2</v>
      </c>
      <c r="P114" s="224"/>
      <c r="Q114" s="224"/>
    </row>
    <row r="115" spans="1:42" ht="14.25" customHeight="1">
      <c r="A115" s="116" t="s">
        <v>2809</v>
      </c>
      <c r="B115" s="107">
        <f>43.9/100</f>
        <v>0.439</v>
      </c>
      <c r="C115" s="1" t="s">
        <v>5939</v>
      </c>
      <c r="D115" s="184"/>
      <c r="E115" s="184"/>
      <c r="H115" s="184"/>
      <c r="I115" s="184"/>
      <c r="L115" s="3"/>
      <c r="M115" s="3"/>
      <c r="N115" s="184">
        <f t="shared" ref="N115:N120" si="26">5*100</f>
        <v>500</v>
      </c>
      <c r="O115" s="25">
        <f>1.9/100</f>
        <v>1.9E-2</v>
      </c>
      <c r="P115" s="224"/>
      <c r="Q115" s="224"/>
    </row>
    <row r="116" spans="1:42" ht="14.25" customHeight="1">
      <c r="A116" s="116" t="s">
        <v>2810</v>
      </c>
      <c r="B116" s="107">
        <f>22.7/100</f>
        <v>0.22699999999999998</v>
      </c>
      <c r="C116" s="1" t="s">
        <v>5937</v>
      </c>
      <c r="D116" s="184"/>
      <c r="E116" s="184"/>
      <c r="H116" s="184"/>
      <c r="I116" s="184"/>
      <c r="L116" s="3"/>
      <c r="M116" s="3"/>
      <c r="N116" s="184">
        <f t="shared" si="26"/>
        <v>500</v>
      </c>
      <c r="O116" s="25">
        <f>1.7/100</f>
        <v>1.7000000000000001E-2</v>
      </c>
      <c r="P116" s="224"/>
      <c r="Q116" s="224"/>
    </row>
    <row r="117" spans="1:42" ht="14.25" customHeight="1">
      <c r="A117" s="116" t="s">
        <v>2811</v>
      </c>
      <c r="B117" s="107">
        <f>11.7/100</f>
        <v>0.11699999999999999</v>
      </c>
      <c r="C117" s="1" t="s">
        <v>5934</v>
      </c>
      <c r="D117" s="184"/>
      <c r="E117" s="184"/>
      <c r="H117" s="184"/>
      <c r="I117" s="184"/>
      <c r="L117" s="3"/>
      <c r="M117" s="3"/>
      <c r="N117" s="184">
        <f t="shared" si="26"/>
        <v>500</v>
      </c>
      <c r="O117" s="25">
        <f>1.4/100</f>
        <v>1.3999999999999999E-2</v>
      </c>
      <c r="P117" s="224"/>
      <c r="Q117" s="224"/>
    </row>
    <row r="118" spans="1:42" ht="14.25" customHeight="1">
      <c r="A118" s="116" t="s">
        <v>2812</v>
      </c>
      <c r="B118" s="107">
        <f>32.1/100</f>
        <v>0.32100000000000001</v>
      </c>
      <c r="C118" s="1" t="s">
        <v>5938</v>
      </c>
      <c r="D118" s="184"/>
      <c r="E118" s="184"/>
      <c r="H118" s="184"/>
      <c r="I118" s="184"/>
      <c r="L118" s="3"/>
      <c r="M118" s="3"/>
      <c r="N118" s="184">
        <f t="shared" si="26"/>
        <v>500</v>
      </c>
      <c r="O118" s="25">
        <f>1.8/100</f>
        <v>1.8000000000000002E-2</v>
      </c>
      <c r="P118" s="224"/>
      <c r="Q118" s="224"/>
    </row>
    <row r="119" spans="1:42" ht="14.25" customHeight="1">
      <c r="A119" s="116" t="s">
        <v>2813</v>
      </c>
      <c r="B119" s="107">
        <f>15.1/100</f>
        <v>0.151</v>
      </c>
      <c r="C119" s="1" t="s">
        <v>5935</v>
      </c>
      <c r="D119" s="184"/>
      <c r="E119" s="184"/>
      <c r="H119" s="184"/>
      <c r="I119" s="184"/>
      <c r="L119" s="3"/>
      <c r="M119" s="3"/>
      <c r="N119" s="184">
        <f t="shared" si="26"/>
        <v>500</v>
      </c>
      <c r="O119" s="25">
        <f>1.5/100</f>
        <v>1.4999999999999999E-2</v>
      </c>
      <c r="P119" s="224"/>
      <c r="Q119" s="224"/>
    </row>
    <row r="120" spans="1:42" ht="14.25" customHeight="1">
      <c r="A120" s="116" t="s">
        <v>2814</v>
      </c>
      <c r="B120" s="107">
        <f>22.4/100</f>
        <v>0.22399999999999998</v>
      </c>
      <c r="C120" s="1" t="s">
        <v>5936</v>
      </c>
      <c r="D120" s="184"/>
      <c r="E120" s="184"/>
      <c r="H120" s="184"/>
      <c r="I120" s="184"/>
      <c r="L120" s="3"/>
      <c r="M120" s="3"/>
      <c r="N120" s="184">
        <f t="shared" si="26"/>
        <v>500</v>
      </c>
      <c r="O120" s="25">
        <f>1.6/100</f>
        <v>1.6E-2</v>
      </c>
      <c r="P120" s="224"/>
      <c r="Q120" s="224"/>
    </row>
    <row r="121" spans="1:42" s="120" customFormat="1" ht="14.25" customHeight="1">
      <c r="A121" s="201" t="s">
        <v>5944</v>
      </c>
      <c r="B121" s="202">
        <f>276.7/100</f>
        <v>2.7669999999999999</v>
      </c>
      <c r="C121" s="120" t="s">
        <v>5999</v>
      </c>
      <c r="D121" s="186"/>
      <c r="E121" s="186"/>
      <c r="F121" s="188"/>
      <c r="G121" s="188"/>
      <c r="H121" s="186"/>
      <c r="I121" s="186"/>
      <c r="J121" s="188"/>
      <c r="K121" s="188"/>
      <c r="L121" s="168"/>
      <c r="M121" s="168"/>
      <c r="N121" s="186">
        <f>5*100+200</f>
        <v>700</v>
      </c>
      <c r="O121" s="203">
        <f>5/100</f>
        <v>0.05</v>
      </c>
      <c r="P121" s="225"/>
      <c r="Q121" s="225"/>
      <c r="S121" s="228"/>
      <c r="T121" s="228"/>
      <c r="U121" s="237"/>
      <c r="V121" s="103"/>
      <c r="W121" s="9"/>
      <c r="X121" s="9"/>
      <c r="Y121" s="9"/>
      <c r="Z121" s="9"/>
      <c r="AA121" s="228"/>
      <c r="AB121" s="9"/>
      <c r="AC121" s="9"/>
      <c r="AD121" s="9"/>
      <c r="AE121" s="9"/>
      <c r="AF121" s="9"/>
      <c r="AG121" s="9"/>
      <c r="AH121" s="9"/>
      <c r="AI121" s="9"/>
    </row>
    <row r="122" spans="1:42" s="120" customFormat="1" ht="14.25" customHeight="1">
      <c r="A122" s="201" t="s">
        <v>5941</v>
      </c>
      <c r="B122" s="168">
        <f>2.4/10</f>
        <v>0.24</v>
      </c>
      <c r="C122" s="204" t="s">
        <v>5998</v>
      </c>
      <c r="D122" s="186"/>
      <c r="E122" s="186"/>
      <c r="F122" s="188"/>
      <c r="G122" s="188"/>
      <c r="H122" s="186"/>
      <c r="I122" s="186"/>
      <c r="J122" s="188"/>
      <c r="K122" s="188"/>
      <c r="L122" s="168"/>
      <c r="M122" s="168"/>
      <c r="N122" s="186">
        <v>10000</v>
      </c>
      <c r="O122" s="203">
        <v>1.2999999999999999E-2</v>
      </c>
      <c r="P122" s="225"/>
      <c r="Q122" s="225"/>
      <c r="S122" s="228"/>
      <c r="T122" s="228"/>
      <c r="U122" s="237"/>
      <c r="V122" s="103"/>
      <c r="W122" s="9"/>
      <c r="X122" s="9"/>
      <c r="Y122" s="9"/>
      <c r="Z122" s="9"/>
      <c r="AA122" s="228"/>
      <c r="AB122" s="9"/>
      <c r="AC122" s="9"/>
      <c r="AD122" s="9"/>
      <c r="AE122" s="9"/>
      <c r="AF122" s="9"/>
      <c r="AG122" s="9"/>
      <c r="AH122" s="9"/>
      <c r="AI122" s="9"/>
    </row>
    <row r="123" spans="1:42" s="4" customFormat="1" ht="14.25" customHeight="1">
      <c r="A123" s="148" t="s">
        <v>3235</v>
      </c>
      <c r="B123" s="9">
        <f t="shared" ref="B123:B128" si="27">52/50</f>
        <v>1.04</v>
      </c>
      <c r="C123" s="211" t="s">
        <v>1796</v>
      </c>
      <c r="D123" s="184"/>
      <c r="E123" s="184"/>
      <c r="F123" s="188"/>
      <c r="G123" s="188"/>
      <c r="H123" s="184"/>
      <c r="I123" s="184"/>
      <c r="J123" s="188"/>
      <c r="K123" s="188"/>
      <c r="L123" s="3"/>
      <c r="M123" s="3"/>
      <c r="N123" s="184">
        <v>100</v>
      </c>
      <c r="O123" s="6">
        <f t="shared" ref="O123:O128" si="28">6/100</f>
        <v>0.06</v>
      </c>
      <c r="P123" s="222"/>
      <c r="Q123" s="222"/>
      <c r="R123" s="7"/>
      <c r="S123" s="126"/>
      <c r="T123" s="126"/>
      <c r="U123" s="237"/>
      <c r="V123" s="103"/>
      <c r="W123" s="9"/>
      <c r="X123" s="9"/>
      <c r="Y123" s="9"/>
      <c r="Z123" s="9"/>
      <c r="AA123" s="126"/>
      <c r="AB123" s="9"/>
      <c r="AC123" s="9"/>
      <c r="AD123" s="9"/>
      <c r="AE123" s="9"/>
      <c r="AF123" s="9"/>
      <c r="AG123" s="9"/>
      <c r="AH123" s="9"/>
      <c r="AI123" s="9"/>
      <c r="AJ123" s="211" t="s">
        <v>1796</v>
      </c>
      <c r="AK123" s="7"/>
      <c r="AL123" s="7"/>
      <c r="AM123" s="7"/>
      <c r="AN123" s="7"/>
      <c r="AO123" s="7"/>
      <c r="AP123" s="7"/>
    </row>
    <row r="124" spans="1:42" ht="14.25" customHeight="1">
      <c r="A124" s="148" t="s">
        <v>3236</v>
      </c>
      <c r="B124" s="9">
        <f t="shared" si="27"/>
        <v>1.04</v>
      </c>
      <c r="C124" s="1" t="s">
        <v>1797</v>
      </c>
      <c r="D124" s="184"/>
      <c r="E124" s="184"/>
      <c r="H124" s="184"/>
      <c r="I124" s="184"/>
      <c r="L124" s="3"/>
      <c r="M124" s="3"/>
      <c r="N124" s="184">
        <v>100</v>
      </c>
      <c r="O124" s="6">
        <f t="shared" si="28"/>
        <v>0.06</v>
      </c>
      <c r="P124" s="222"/>
      <c r="Q124" s="222"/>
    </row>
    <row r="125" spans="1:42" ht="14.25" customHeight="1">
      <c r="A125" s="148" t="s">
        <v>3237</v>
      </c>
      <c r="B125" s="9">
        <f t="shared" si="27"/>
        <v>1.04</v>
      </c>
      <c r="C125" s="1" t="s">
        <v>1798</v>
      </c>
      <c r="D125" s="184"/>
      <c r="E125" s="184"/>
      <c r="H125" s="184"/>
      <c r="I125" s="184"/>
      <c r="L125" s="3"/>
      <c r="M125" s="3"/>
      <c r="N125" s="184">
        <v>100</v>
      </c>
      <c r="O125" s="6">
        <f t="shared" si="28"/>
        <v>0.06</v>
      </c>
      <c r="P125" s="222"/>
      <c r="Q125" s="222"/>
    </row>
    <row r="126" spans="1:42" ht="14.25" customHeight="1">
      <c r="A126" s="148" t="s">
        <v>3238</v>
      </c>
      <c r="B126" s="9">
        <f t="shared" si="27"/>
        <v>1.04</v>
      </c>
      <c r="C126" s="1" t="s">
        <v>1799</v>
      </c>
      <c r="D126" s="184"/>
      <c r="E126" s="184"/>
      <c r="H126" s="184"/>
      <c r="I126" s="184"/>
      <c r="L126" s="3"/>
      <c r="M126" s="3"/>
      <c r="N126" s="184">
        <v>100</v>
      </c>
      <c r="O126" s="6">
        <f t="shared" si="28"/>
        <v>0.06</v>
      </c>
      <c r="P126" s="222"/>
      <c r="Q126" s="222"/>
    </row>
    <row r="127" spans="1:42" ht="14.25" customHeight="1">
      <c r="A127" s="148" t="s">
        <v>3239</v>
      </c>
      <c r="B127" s="9">
        <f t="shared" si="27"/>
        <v>1.04</v>
      </c>
      <c r="C127" s="1" t="s">
        <v>1800</v>
      </c>
      <c r="D127" s="184"/>
      <c r="E127" s="184"/>
      <c r="H127" s="184"/>
      <c r="I127" s="184"/>
      <c r="L127" s="3"/>
      <c r="M127" s="3"/>
      <c r="N127" s="184">
        <v>100</v>
      </c>
      <c r="O127" s="6">
        <f t="shared" si="28"/>
        <v>0.06</v>
      </c>
      <c r="P127" s="222"/>
      <c r="Q127" s="222"/>
    </row>
    <row r="128" spans="1:42" ht="14.25" customHeight="1">
      <c r="A128" s="148" t="s">
        <v>3240</v>
      </c>
      <c r="B128" s="9">
        <f t="shared" si="27"/>
        <v>1.04</v>
      </c>
      <c r="C128" s="1" t="s">
        <v>1801</v>
      </c>
      <c r="D128" s="184"/>
      <c r="E128" s="184"/>
      <c r="H128" s="184"/>
      <c r="I128" s="184"/>
      <c r="L128" s="3"/>
      <c r="M128" s="3"/>
      <c r="N128" s="184">
        <v>100</v>
      </c>
      <c r="O128" s="6">
        <f t="shared" si="28"/>
        <v>0.06</v>
      </c>
      <c r="P128" s="222"/>
      <c r="Q128" s="222"/>
    </row>
    <row r="129" spans="1:42" s="4" customFormat="1" ht="14.25" customHeight="1">
      <c r="A129" s="148" t="s">
        <v>3241</v>
      </c>
      <c r="B129" s="9">
        <v>2</v>
      </c>
      <c r="C129" s="211" t="s">
        <v>3231</v>
      </c>
      <c r="D129" s="184"/>
      <c r="E129" s="184"/>
      <c r="F129" s="188"/>
      <c r="G129" s="188"/>
      <c r="H129" s="184"/>
      <c r="I129" s="184"/>
      <c r="J129" s="188"/>
      <c r="K129" s="188"/>
      <c r="L129" s="3"/>
      <c r="M129" s="3"/>
      <c r="N129" s="184">
        <v>100</v>
      </c>
      <c r="O129" s="6">
        <f t="shared" ref="O129:O134" si="29">9/100</f>
        <v>0.09</v>
      </c>
      <c r="P129" s="222"/>
      <c r="Q129" s="222"/>
      <c r="R129" s="7"/>
      <c r="S129" s="126"/>
      <c r="T129" s="126"/>
      <c r="U129" s="237"/>
      <c r="V129" s="103"/>
      <c r="W129" s="9"/>
      <c r="X129" s="9"/>
      <c r="Y129" s="9"/>
      <c r="Z129" s="9"/>
      <c r="AA129" s="126"/>
      <c r="AB129" s="9"/>
      <c r="AC129" s="9"/>
      <c r="AD129" s="9"/>
      <c r="AE129" s="9"/>
      <c r="AF129" s="9"/>
      <c r="AG129" s="9"/>
      <c r="AH129" s="9"/>
      <c r="AI129" s="9"/>
      <c r="AJ129" s="211" t="s">
        <v>3231</v>
      </c>
      <c r="AK129" s="7"/>
      <c r="AL129" s="7"/>
      <c r="AM129" s="7"/>
      <c r="AN129" s="7"/>
      <c r="AO129" s="7"/>
      <c r="AP129" s="7"/>
    </row>
    <row r="130" spans="1:42" ht="14.25" customHeight="1">
      <c r="A130" s="148" t="s">
        <v>3242</v>
      </c>
      <c r="B130" s="9">
        <v>2</v>
      </c>
      <c r="C130" s="1" t="s">
        <v>1791</v>
      </c>
      <c r="D130" s="184"/>
      <c r="E130" s="184"/>
      <c r="H130" s="184"/>
      <c r="I130" s="184"/>
      <c r="L130" s="3"/>
      <c r="M130" s="3"/>
      <c r="N130" s="184">
        <v>100</v>
      </c>
      <c r="O130" s="6">
        <f t="shared" si="29"/>
        <v>0.09</v>
      </c>
      <c r="P130" s="222"/>
      <c r="Q130" s="222"/>
    </row>
    <row r="131" spans="1:42" ht="14.25" customHeight="1">
      <c r="A131" s="148" t="s">
        <v>3243</v>
      </c>
      <c r="B131" s="9">
        <v>2</v>
      </c>
      <c r="C131" s="1" t="s">
        <v>1792</v>
      </c>
      <c r="D131" s="184"/>
      <c r="E131" s="184"/>
      <c r="H131" s="184"/>
      <c r="I131" s="184"/>
      <c r="L131" s="3"/>
      <c r="M131" s="3"/>
      <c r="N131" s="184">
        <v>100</v>
      </c>
      <c r="O131" s="6">
        <f t="shared" si="29"/>
        <v>0.09</v>
      </c>
      <c r="P131" s="222"/>
      <c r="Q131" s="222"/>
    </row>
    <row r="132" spans="1:42" ht="14.25" customHeight="1">
      <c r="A132" s="148" t="s">
        <v>3244</v>
      </c>
      <c r="B132" s="9">
        <v>2</v>
      </c>
      <c r="C132" s="1" t="s">
        <v>1793</v>
      </c>
      <c r="D132" s="184"/>
      <c r="E132" s="184"/>
      <c r="H132" s="184"/>
      <c r="I132" s="184"/>
      <c r="L132" s="3"/>
      <c r="M132" s="3"/>
      <c r="N132" s="184">
        <v>100</v>
      </c>
      <c r="O132" s="6">
        <f t="shared" si="29"/>
        <v>0.09</v>
      </c>
      <c r="P132" s="222"/>
      <c r="Q132" s="222"/>
    </row>
    <row r="133" spans="1:42" ht="14.25" customHeight="1">
      <c r="A133" s="148" t="s">
        <v>3245</v>
      </c>
      <c r="B133" s="9">
        <v>2</v>
      </c>
      <c r="C133" s="1" t="s">
        <v>1794</v>
      </c>
      <c r="D133" s="184"/>
      <c r="E133" s="184"/>
      <c r="H133" s="184"/>
      <c r="I133" s="184"/>
      <c r="L133" s="3"/>
      <c r="M133" s="3"/>
      <c r="N133" s="184">
        <v>100</v>
      </c>
      <c r="O133" s="6">
        <f t="shared" si="29"/>
        <v>0.09</v>
      </c>
      <c r="P133" s="222"/>
      <c r="Q133" s="222"/>
    </row>
    <row r="134" spans="1:42" ht="14.25" customHeight="1">
      <c r="A134" s="148" t="s">
        <v>3246</v>
      </c>
      <c r="B134" s="9">
        <v>2</v>
      </c>
      <c r="C134" s="1" t="s">
        <v>1795</v>
      </c>
      <c r="D134" s="184"/>
      <c r="E134" s="184"/>
      <c r="H134" s="184"/>
      <c r="I134" s="184"/>
      <c r="L134" s="3"/>
      <c r="M134" s="3"/>
      <c r="N134" s="184">
        <v>100</v>
      </c>
      <c r="O134" s="6">
        <f t="shared" si="29"/>
        <v>0.09</v>
      </c>
      <c r="P134" s="222"/>
      <c r="Q134" s="222"/>
    </row>
    <row r="135" spans="1:42" ht="14.25" customHeight="1">
      <c r="A135" s="148" t="s">
        <v>3247</v>
      </c>
      <c r="B135" s="9">
        <v>4.9000000000000004</v>
      </c>
      <c r="C135" s="212" t="s">
        <v>6040</v>
      </c>
      <c r="D135" s="184"/>
      <c r="E135" s="184"/>
      <c r="H135" s="184"/>
      <c r="I135" s="184"/>
      <c r="L135" s="3"/>
      <c r="M135" s="3"/>
      <c r="N135" s="184">
        <v>100</v>
      </c>
      <c r="O135" s="6">
        <f>18/100</f>
        <v>0.18</v>
      </c>
      <c r="P135" s="222"/>
      <c r="Q135" s="222"/>
      <c r="AJ135" s="212" t="s">
        <v>6040</v>
      </c>
    </row>
    <row r="136" spans="1:42" s="4" customFormat="1" ht="14.25" customHeight="1">
      <c r="A136" s="148" t="s">
        <v>3248</v>
      </c>
      <c r="B136" s="9">
        <v>5</v>
      </c>
      <c r="C136" s="1" t="s">
        <v>3233</v>
      </c>
      <c r="D136" s="184"/>
      <c r="E136" s="184"/>
      <c r="F136" s="188"/>
      <c r="G136" s="188"/>
      <c r="H136" s="184"/>
      <c r="I136" s="184"/>
      <c r="J136" s="188"/>
      <c r="K136" s="188"/>
      <c r="L136" s="3"/>
      <c r="M136" s="3"/>
      <c r="N136" s="184">
        <v>100</v>
      </c>
      <c r="O136" s="6">
        <f>18/100</f>
        <v>0.18</v>
      </c>
      <c r="P136" s="222"/>
      <c r="Q136" s="222"/>
      <c r="R136" s="7"/>
      <c r="S136" s="126"/>
      <c r="T136" s="126"/>
      <c r="U136" s="237"/>
      <c r="V136" s="103"/>
      <c r="W136" s="9"/>
      <c r="X136" s="9"/>
      <c r="Y136" s="9"/>
      <c r="Z136" s="9"/>
      <c r="AA136" s="126"/>
      <c r="AB136" s="9"/>
      <c r="AC136" s="9"/>
      <c r="AD136" s="9"/>
      <c r="AE136" s="9"/>
      <c r="AF136" s="9"/>
      <c r="AG136" s="9"/>
      <c r="AH136" s="9"/>
      <c r="AI136" s="9"/>
      <c r="AJ136" s="7"/>
      <c r="AK136" s="7"/>
      <c r="AL136" s="7"/>
      <c r="AM136" s="7"/>
      <c r="AN136" s="7"/>
      <c r="AO136" s="7"/>
      <c r="AP136" s="7"/>
    </row>
    <row r="137" spans="1:42" ht="14.25" customHeight="1">
      <c r="A137" s="148" t="s">
        <v>3249</v>
      </c>
      <c r="B137" s="107">
        <f>27.2/100</f>
        <v>0.27200000000000002</v>
      </c>
      <c r="C137" s="211" t="s">
        <v>3256</v>
      </c>
      <c r="D137" s="184"/>
      <c r="E137" s="184"/>
      <c r="H137" s="184"/>
      <c r="I137" s="184"/>
      <c r="L137" s="3"/>
      <c r="M137" s="3"/>
      <c r="N137" s="184">
        <f>100+100</f>
        <v>200</v>
      </c>
      <c r="O137" s="6">
        <v>0.05</v>
      </c>
      <c r="P137" s="222"/>
      <c r="Q137" s="222"/>
      <c r="AJ137" s="211" t="s">
        <v>3256</v>
      </c>
    </row>
    <row r="138" spans="1:42" ht="14.25" customHeight="1">
      <c r="A138" s="148" t="s">
        <v>3250</v>
      </c>
      <c r="B138" s="107">
        <f>28.3/100</f>
        <v>0.28300000000000003</v>
      </c>
      <c r="C138" s="211" t="s">
        <v>3261</v>
      </c>
      <c r="D138" s="184"/>
      <c r="E138" s="184"/>
      <c r="H138" s="184"/>
      <c r="I138" s="184"/>
      <c r="L138" s="3"/>
      <c r="M138" s="3"/>
      <c r="N138" s="184">
        <v>200</v>
      </c>
      <c r="O138" s="6">
        <v>0.05</v>
      </c>
      <c r="P138" s="222"/>
      <c r="Q138" s="222"/>
      <c r="AJ138" s="211" t="s">
        <v>3261</v>
      </c>
    </row>
    <row r="139" spans="1:42" ht="14.25" customHeight="1">
      <c r="A139" s="148" t="s">
        <v>3251</v>
      </c>
      <c r="B139" s="107">
        <f>29.2/100</f>
        <v>0.29199999999999998</v>
      </c>
      <c r="C139" s="211" t="s">
        <v>3262</v>
      </c>
      <c r="D139" s="184"/>
      <c r="E139" s="184"/>
      <c r="H139" s="184"/>
      <c r="I139" s="184"/>
      <c r="L139" s="3"/>
      <c r="M139" s="3"/>
      <c r="N139" s="184">
        <v>200</v>
      </c>
      <c r="O139" s="6">
        <v>0.05</v>
      </c>
      <c r="P139" s="222"/>
      <c r="Q139" s="222"/>
      <c r="AJ139" s="211" t="s">
        <v>3262</v>
      </c>
    </row>
    <row r="140" spans="1:42" ht="14.25" customHeight="1">
      <c r="A140" s="125" t="s">
        <v>3254</v>
      </c>
      <c r="B140" s="107">
        <f>23.7/100</f>
        <v>0.23699999999999999</v>
      </c>
      <c r="C140" s="211" t="s">
        <v>3257</v>
      </c>
      <c r="D140" s="184"/>
      <c r="E140" s="184"/>
      <c r="H140" s="184"/>
      <c r="I140" s="184"/>
      <c r="L140" s="3"/>
      <c r="M140" s="3"/>
      <c r="N140" s="184">
        <v>100</v>
      </c>
      <c r="O140" s="6">
        <v>0.05</v>
      </c>
      <c r="P140" s="222"/>
      <c r="Q140" s="222"/>
      <c r="AJ140" s="211" t="s">
        <v>3257</v>
      </c>
    </row>
    <row r="141" spans="1:42" ht="14.25" customHeight="1">
      <c r="A141" s="125" t="s">
        <v>3252</v>
      </c>
      <c r="B141" s="107">
        <f>18/100</f>
        <v>0.18</v>
      </c>
      <c r="C141" s="211" t="s">
        <v>3258</v>
      </c>
      <c r="D141" s="184"/>
      <c r="E141" s="184"/>
      <c r="H141" s="184"/>
      <c r="I141" s="184"/>
      <c r="L141" s="3"/>
      <c r="M141" s="3"/>
      <c r="N141" s="184">
        <v>100</v>
      </c>
      <c r="O141" s="6">
        <v>0.05</v>
      </c>
      <c r="P141" s="222"/>
      <c r="Q141" s="222"/>
      <c r="AJ141" s="211" t="s">
        <v>3258</v>
      </c>
    </row>
    <row r="142" spans="1:42" ht="14.25" customHeight="1">
      <c r="A142" s="125" t="s">
        <v>3253</v>
      </c>
      <c r="B142" s="107">
        <f>21.2/100</f>
        <v>0.21199999999999999</v>
      </c>
      <c r="C142" s="211" t="s">
        <v>3259</v>
      </c>
      <c r="D142" s="184"/>
      <c r="E142" s="184"/>
      <c r="H142" s="184"/>
      <c r="I142" s="184"/>
      <c r="L142" s="3"/>
      <c r="M142" s="3"/>
      <c r="N142" s="184">
        <v>200</v>
      </c>
      <c r="O142" s="6">
        <f>0.05*100/200</f>
        <v>2.5000000000000001E-2</v>
      </c>
      <c r="P142" s="222"/>
      <c r="Q142" s="222"/>
      <c r="AJ142" s="211" t="s">
        <v>3259</v>
      </c>
    </row>
    <row r="143" spans="1:42" ht="14.25" customHeight="1">
      <c r="A143" s="125" t="s">
        <v>3255</v>
      </c>
      <c r="B143" s="107">
        <f>37.5/100</f>
        <v>0.375</v>
      </c>
      <c r="C143" s="211" t="s">
        <v>3260</v>
      </c>
      <c r="D143" s="184"/>
      <c r="E143" s="184"/>
      <c r="H143" s="184"/>
      <c r="I143" s="184"/>
      <c r="L143" s="3"/>
      <c r="M143" s="3"/>
      <c r="N143" s="184">
        <v>100</v>
      </c>
      <c r="O143" s="6">
        <v>0.05</v>
      </c>
      <c r="P143" s="222"/>
      <c r="Q143" s="222"/>
      <c r="AJ143" s="211" t="s">
        <v>3260</v>
      </c>
    </row>
    <row r="144" spans="1:42" ht="14.25" customHeight="1">
      <c r="A144" s="125">
        <v>201.01</v>
      </c>
      <c r="B144" s="9">
        <v>118</v>
      </c>
      <c r="C144" s="211" t="s">
        <v>1564</v>
      </c>
      <c r="N144" s="183">
        <f>60*3+60*2</f>
        <v>300</v>
      </c>
      <c r="O144" s="56">
        <v>1.42</v>
      </c>
      <c r="P144" s="107"/>
      <c r="Q144" s="107"/>
      <c r="AJ144" s="211" t="s">
        <v>1564</v>
      </c>
    </row>
    <row r="145" spans="1:42" ht="14.25" customHeight="1">
      <c r="A145" s="125" t="s">
        <v>4075</v>
      </c>
      <c r="B145" s="9">
        <v>101</v>
      </c>
      <c r="C145" s="211" t="s">
        <v>1403</v>
      </c>
      <c r="N145" s="183">
        <f>72*2</f>
        <v>144</v>
      </c>
      <c r="O145" s="7">
        <v>1.2250000000000001</v>
      </c>
      <c r="AJ145" s="211" t="s">
        <v>1403</v>
      </c>
    </row>
    <row r="146" spans="1:42" ht="14.25" customHeight="1">
      <c r="A146" s="125">
        <v>201.11</v>
      </c>
      <c r="B146" s="9">
        <v>62</v>
      </c>
      <c r="C146" s="211" t="s">
        <v>2907</v>
      </c>
      <c r="N146" s="183">
        <v>30</v>
      </c>
      <c r="O146" s="7">
        <v>1.35</v>
      </c>
      <c r="AJ146" s="211" t="s">
        <v>2907</v>
      </c>
    </row>
    <row r="147" spans="1:42" ht="14.25" customHeight="1">
      <c r="A147" s="133" t="s">
        <v>2430</v>
      </c>
      <c r="B147" s="9">
        <v>39.4</v>
      </c>
      <c r="C147" s="212" t="s">
        <v>6041</v>
      </c>
      <c r="N147" s="183">
        <v>12</v>
      </c>
      <c r="O147" s="7">
        <v>0.88</v>
      </c>
      <c r="AJ147" s="212" t="s">
        <v>6041</v>
      </c>
    </row>
    <row r="148" spans="1:42" ht="14.25" customHeight="1">
      <c r="A148" s="133" t="s">
        <v>2431</v>
      </c>
      <c r="B148" s="9">
        <f>201.5/5</f>
        <v>40.299999999999997</v>
      </c>
      <c r="C148" s="7" t="s">
        <v>1475</v>
      </c>
      <c r="N148" s="183">
        <v>5</v>
      </c>
      <c r="O148" s="7">
        <v>0.88</v>
      </c>
    </row>
    <row r="149" spans="1:42" ht="14.25" customHeight="1">
      <c r="A149" s="133" t="s">
        <v>2432</v>
      </c>
      <c r="B149" s="9">
        <f>201.5/5</f>
        <v>40.299999999999997</v>
      </c>
      <c r="C149" s="7" t="s">
        <v>1476</v>
      </c>
      <c r="N149" s="183">
        <v>5</v>
      </c>
      <c r="O149" s="7">
        <v>0.88</v>
      </c>
    </row>
    <row r="150" spans="1:42" ht="14.25" customHeight="1">
      <c r="A150" s="133" t="s">
        <v>2433</v>
      </c>
      <c r="B150" s="9">
        <f>201.5/5</f>
        <v>40.299999999999997</v>
      </c>
      <c r="C150" s="7" t="s">
        <v>1477</v>
      </c>
      <c r="N150" s="183">
        <v>5</v>
      </c>
      <c r="O150" s="7">
        <v>0.88</v>
      </c>
    </row>
    <row r="151" spans="1:42" ht="14.25" customHeight="1">
      <c r="A151" s="133" t="s">
        <v>2434</v>
      </c>
      <c r="B151" s="9">
        <f>201.5/5</f>
        <v>40.299999999999997</v>
      </c>
      <c r="C151" s="7" t="s">
        <v>1478</v>
      </c>
      <c r="N151" s="183">
        <v>5</v>
      </c>
      <c r="O151" s="7">
        <v>0.88</v>
      </c>
    </row>
    <row r="152" spans="1:42" ht="14.25" customHeight="1">
      <c r="A152" s="133" t="s">
        <v>2435</v>
      </c>
      <c r="B152" s="9">
        <f>201.5/5</f>
        <v>40.299999999999997</v>
      </c>
      <c r="C152" s="7" t="s">
        <v>1479</v>
      </c>
      <c r="N152" s="183">
        <v>5</v>
      </c>
      <c r="O152" s="7">
        <v>0.88</v>
      </c>
      <c r="AP152" s="4"/>
    </row>
    <row r="153" spans="1:42" ht="14.25" customHeight="1">
      <c r="A153" s="133" t="s">
        <v>2436</v>
      </c>
      <c r="B153" s="9">
        <f>161/5</f>
        <v>32.200000000000003</v>
      </c>
      <c r="C153" s="211" t="s">
        <v>1480</v>
      </c>
      <c r="N153" s="183">
        <v>5</v>
      </c>
      <c r="O153" s="7">
        <v>0.9</v>
      </c>
      <c r="AJ153" s="211" t="s">
        <v>1480</v>
      </c>
    </row>
    <row r="154" spans="1:42" ht="14.25" customHeight="1">
      <c r="A154" s="133" t="s">
        <v>2437</v>
      </c>
      <c r="B154" s="9">
        <f>189.4/5</f>
        <v>37.880000000000003</v>
      </c>
      <c r="C154" s="1" t="s">
        <v>1481</v>
      </c>
      <c r="N154" s="183">
        <v>5</v>
      </c>
      <c r="O154" s="7">
        <v>1.05</v>
      </c>
      <c r="AJ154" s="1" t="s">
        <v>1481</v>
      </c>
      <c r="AP154" s="4"/>
    </row>
    <row r="155" spans="1:42" ht="14.25" customHeight="1">
      <c r="A155" s="133" t="s">
        <v>2438</v>
      </c>
      <c r="B155" s="9">
        <f t="shared" ref="B155:B161" si="30">232.2/3</f>
        <v>77.399999999999991</v>
      </c>
      <c r="C155" s="211" t="s">
        <v>1482</v>
      </c>
      <c r="N155" s="183">
        <v>10</v>
      </c>
      <c r="O155" s="7">
        <v>1.65</v>
      </c>
      <c r="AJ155" s="211" t="s">
        <v>1482</v>
      </c>
    </row>
    <row r="156" spans="1:42" ht="14.25" customHeight="1">
      <c r="A156" s="133" t="s">
        <v>2439</v>
      </c>
      <c r="B156" s="9">
        <f t="shared" si="30"/>
        <v>77.399999999999991</v>
      </c>
      <c r="C156" s="7" t="s">
        <v>1483</v>
      </c>
      <c r="N156" s="183">
        <v>3</v>
      </c>
      <c r="O156" s="7">
        <v>1.65</v>
      </c>
    </row>
    <row r="157" spans="1:42" ht="14.25" customHeight="1">
      <c r="A157" s="133" t="s">
        <v>2440</v>
      </c>
      <c r="B157" s="9">
        <f t="shared" si="30"/>
        <v>77.399999999999991</v>
      </c>
      <c r="C157" s="7" t="s">
        <v>1484</v>
      </c>
      <c r="N157" s="183">
        <v>3</v>
      </c>
      <c r="O157" s="7">
        <v>1.65</v>
      </c>
    </row>
    <row r="158" spans="1:42" ht="14.25" customHeight="1">
      <c r="A158" s="133" t="s">
        <v>2441</v>
      </c>
      <c r="B158" s="9">
        <f t="shared" si="30"/>
        <v>77.399999999999991</v>
      </c>
      <c r="C158" s="7" t="s">
        <v>1485</v>
      </c>
      <c r="N158" s="183">
        <v>3</v>
      </c>
      <c r="O158" s="7">
        <v>1.65</v>
      </c>
    </row>
    <row r="159" spans="1:42" ht="14.25" customHeight="1">
      <c r="A159" s="133" t="s">
        <v>2442</v>
      </c>
      <c r="B159" s="9">
        <f t="shared" si="30"/>
        <v>77.399999999999991</v>
      </c>
      <c r="C159" s="7" t="s">
        <v>1486</v>
      </c>
      <c r="N159" s="183">
        <v>3</v>
      </c>
      <c r="O159" s="7">
        <v>1.65</v>
      </c>
    </row>
    <row r="160" spans="1:42" ht="14.25" customHeight="1">
      <c r="A160" s="133" t="s">
        <v>2443</v>
      </c>
      <c r="B160" s="9">
        <f t="shared" si="30"/>
        <v>77.399999999999991</v>
      </c>
      <c r="C160" s="7" t="s">
        <v>1487</v>
      </c>
      <c r="N160" s="183">
        <v>3</v>
      </c>
      <c r="O160" s="7">
        <v>1.65</v>
      </c>
    </row>
    <row r="161" spans="1:36" ht="14.25" customHeight="1">
      <c r="A161" s="133" t="s">
        <v>2444</v>
      </c>
      <c r="B161" s="9">
        <f t="shared" si="30"/>
        <v>77.399999999999991</v>
      </c>
      <c r="C161" s="7" t="s">
        <v>1488</v>
      </c>
      <c r="N161" s="183">
        <v>4</v>
      </c>
      <c r="O161" s="7">
        <v>1.7</v>
      </c>
    </row>
    <row r="162" spans="1:36" ht="14.25" customHeight="1">
      <c r="A162" s="125">
        <v>203.01</v>
      </c>
      <c r="B162" s="9">
        <v>25</v>
      </c>
      <c r="C162" s="211" t="s">
        <v>1489</v>
      </c>
      <c r="N162" s="183">
        <v>10</v>
      </c>
      <c r="O162" s="7">
        <v>1.3</v>
      </c>
      <c r="AJ162" s="211" t="s">
        <v>1489</v>
      </c>
    </row>
    <row r="163" spans="1:36" ht="14.25" customHeight="1">
      <c r="A163" s="125">
        <v>203.02</v>
      </c>
      <c r="B163" s="9">
        <v>53</v>
      </c>
      <c r="C163" s="7" t="s">
        <v>1490</v>
      </c>
      <c r="N163" s="183">
        <v>10</v>
      </c>
      <c r="O163" s="7">
        <v>2.5</v>
      </c>
    </row>
    <row r="164" spans="1:36" ht="14.25" customHeight="1">
      <c r="A164" s="112">
        <v>204.01</v>
      </c>
      <c r="B164" s="121">
        <f>25.3/3</f>
        <v>8.4333333333333336</v>
      </c>
      <c r="C164" s="211" t="s">
        <v>1504</v>
      </c>
      <c r="N164" s="183">
        <v>3</v>
      </c>
      <c r="O164" s="7">
        <v>0.65</v>
      </c>
      <c r="AJ164" s="211" t="s">
        <v>1504</v>
      </c>
    </row>
    <row r="165" spans="1:36" ht="14.25" customHeight="1">
      <c r="A165" s="112">
        <v>204.02</v>
      </c>
      <c r="B165" s="121">
        <f>49.5/3</f>
        <v>16.5</v>
      </c>
      <c r="C165" s="7" t="s">
        <v>1505</v>
      </c>
      <c r="N165" s="183">
        <v>3</v>
      </c>
      <c r="O165" s="7">
        <v>1.3</v>
      </c>
    </row>
    <row r="166" spans="1:36" ht="14.25" customHeight="1">
      <c r="A166" s="112">
        <v>204.03</v>
      </c>
      <c r="B166" s="121">
        <f>80.2/3</f>
        <v>26.733333333333334</v>
      </c>
      <c r="C166" s="7" t="s">
        <v>1506</v>
      </c>
      <c r="N166" s="183">
        <v>3</v>
      </c>
      <c r="O166" s="7">
        <v>2.2000000000000002</v>
      </c>
    </row>
    <row r="167" spans="1:36" ht="14.25" customHeight="1">
      <c r="A167" s="112">
        <v>204.04</v>
      </c>
      <c r="B167" s="121">
        <f>96.5/3</f>
        <v>32.166666666666664</v>
      </c>
      <c r="C167" s="7" t="s">
        <v>1507</v>
      </c>
      <c r="N167" s="183">
        <v>3</v>
      </c>
      <c r="O167" s="7">
        <v>2.6</v>
      </c>
    </row>
    <row r="168" spans="1:36" ht="14.25" customHeight="1">
      <c r="A168" s="125" t="s">
        <v>2512</v>
      </c>
      <c r="B168" s="121">
        <f>165/3</f>
        <v>55</v>
      </c>
      <c r="C168" s="211" t="s">
        <v>1508</v>
      </c>
      <c r="N168" s="183">
        <v>3</v>
      </c>
      <c r="O168" s="7">
        <v>3.3</v>
      </c>
      <c r="AJ168" s="211" t="s">
        <v>1508</v>
      </c>
    </row>
    <row r="169" spans="1:36" ht="14.25" customHeight="1">
      <c r="A169" s="125" t="s">
        <v>2513</v>
      </c>
      <c r="B169" s="121">
        <f>134/3</f>
        <v>44.666666666666664</v>
      </c>
      <c r="C169" s="7" t="s">
        <v>1509</v>
      </c>
      <c r="N169" s="183">
        <v>3</v>
      </c>
      <c r="O169" s="7">
        <v>2.64</v>
      </c>
    </row>
    <row r="170" spans="1:36" ht="14.25" customHeight="1">
      <c r="A170" s="125" t="s">
        <v>2514</v>
      </c>
      <c r="B170" s="121">
        <f>126.7/3</f>
        <v>42.233333333333334</v>
      </c>
      <c r="C170" s="7" t="s">
        <v>1510</v>
      </c>
      <c r="N170" s="183">
        <v>3</v>
      </c>
      <c r="O170" s="7">
        <v>2.8</v>
      </c>
    </row>
    <row r="171" spans="1:36" ht="14.25" customHeight="1">
      <c r="A171" s="125" t="s">
        <v>2515</v>
      </c>
      <c r="B171" s="121">
        <f>202/3</f>
        <v>67.333333333333329</v>
      </c>
      <c r="C171" s="7" t="s">
        <v>1511</v>
      </c>
      <c r="N171" s="183">
        <v>3</v>
      </c>
      <c r="O171" s="7">
        <v>3.3</v>
      </c>
    </row>
    <row r="172" spans="1:36" ht="14.25" customHeight="1">
      <c r="A172" s="125" t="s">
        <v>2516</v>
      </c>
      <c r="B172" s="121">
        <f>74/3</f>
        <v>24.666666666666668</v>
      </c>
      <c r="C172" s="211" t="s">
        <v>1512</v>
      </c>
      <c r="N172" s="183">
        <v>3</v>
      </c>
      <c r="O172" s="7">
        <v>2</v>
      </c>
      <c r="AJ172" s="211" t="s">
        <v>1512</v>
      </c>
    </row>
    <row r="173" spans="1:36" ht="14.25" customHeight="1">
      <c r="A173" s="125" t="s">
        <v>2517</v>
      </c>
      <c r="B173" s="121">
        <f>131/3</f>
        <v>43.666666666666664</v>
      </c>
      <c r="C173" s="7" t="s">
        <v>1513</v>
      </c>
      <c r="N173" s="183">
        <v>3</v>
      </c>
      <c r="O173" s="7">
        <v>3</v>
      </c>
    </row>
    <row r="174" spans="1:36" ht="14.25" customHeight="1">
      <c r="A174" s="125">
        <v>206.01</v>
      </c>
      <c r="B174" s="9">
        <v>120</v>
      </c>
      <c r="C174" s="211" t="s">
        <v>1491</v>
      </c>
      <c r="N174" s="183">
        <v>8</v>
      </c>
      <c r="O174" s="7">
        <v>1.9</v>
      </c>
      <c r="AJ174" s="211" t="s">
        <v>1491</v>
      </c>
    </row>
    <row r="175" spans="1:36" ht="14.25" customHeight="1">
      <c r="A175" s="125">
        <v>206.02</v>
      </c>
      <c r="B175" s="9">
        <v>168</v>
      </c>
      <c r="C175" s="7" t="s">
        <v>1492</v>
      </c>
      <c r="N175" s="183">
        <v>3</v>
      </c>
      <c r="O175" s="7">
        <v>2.8</v>
      </c>
    </row>
    <row r="176" spans="1:36" ht="14.25" customHeight="1">
      <c r="A176" s="125" t="s">
        <v>2518</v>
      </c>
      <c r="B176" s="9">
        <v>18</v>
      </c>
      <c r="C176" s="211" t="s">
        <v>1514</v>
      </c>
      <c r="N176" s="183">
        <v>3</v>
      </c>
      <c r="O176" s="7">
        <v>1</v>
      </c>
      <c r="AJ176" s="211" t="s">
        <v>1514</v>
      </c>
    </row>
    <row r="177" spans="1:42" ht="14.25" customHeight="1">
      <c r="A177" s="125" t="s">
        <v>2519</v>
      </c>
      <c r="B177" s="9">
        <v>18</v>
      </c>
      <c r="C177" s="7" t="s">
        <v>1515</v>
      </c>
      <c r="N177" s="183">
        <v>3</v>
      </c>
      <c r="O177" s="7">
        <v>1</v>
      </c>
    </row>
    <row r="178" spans="1:42" ht="14.25" customHeight="1">
      <c r="A178" s="125" t="s">
        <v>2520</v>
      </c>
      <c r="B178" s="9">
        <v>18</v>
      </c>
      <c r="C178" s="7" t="s">
        <v>1516</v>
      </c>
      <c r="N178" s="183">
        <v>3</v>
      </c>
      <c r="O178" s="7">
        <v>1</v>
      </c>
    </row>
    <row r="179" spans="1:42" ht="14.25" customHeight="1">
      <c r="A179" s="125" t="s">
        <v>2521</v>
      </c>
      <c r="B179" s="9">
        <v>18</v>
      </c>
      <c r="C179" s="7" t="s">
        <v>1517</v>
      </c>
      <c r="N179" s="183">
        <v>3</v>
      </c>
      <c r="O179" s="7">
        <v>1</v>
      </c>
    </row>
    <row r="180" spans="1:42" ht="14.25" customHeight="1">
      <c r="A180" s="125" t="s">
        <v>2522</v>
      </c>
      <c r="B180" s="9">
        <v>18</v>
      </c>
      <c r="C180" s="7" t="s">
        <v>1518</v>
      </c>
      <c r="N180" s="183">
        <v>3</v>
      </c>
      <c r="O180" s="7">
        <v>1</v>
      </c>
    </row>
    <row r="181" spans="1:42" ht="14.25" customHeight="1">
      <c r="A181" s="125" t="s">
        <v>2523</v>
      </c>
      <c r="B181" s="9">
        <v>18</v>
      </c>
      <c r="C181" s="211" t="s">
        <v>1519</v>
      </c>
      <c r="N181" s="183">
        <v>3</v>
      </c>
      <c r="O181" s="7">
        <v>1</v>
      </c>
      <c r="AJ181" s="211" t="s">
        <v>1519</v>
      </c>
    </row>
    <row r="182" spans="1:42" ht="14.25" customHeight="1">
      <c r="A182" s="125" t="s">
        <v>2524</v>
      </c>
      <c r="B182" s="9">
        <v>18</v>
      </c>
      <c r="C182" s="7" t="s">
        <v>1521</v>
      </c>
      <c r="N182" s="183">
        <v>3</v>
      </c>
      <c r="O182" s="7">
        <v>1</v>
      </c>
    </row>
    <row r="183" spans="1:42" ht="14.25" customHeight="1">
      <c r="A183" s="125" t="s">
        <v>2525</v>
      </c>
      <c r="B183" s="9">
        <v>18</v>
      </c>
      <c r="C183" s="7" t="s">
        <v>1520</v>
      </c>
      <c r="N183" s="183">
        <v>3</v>
      </c>
      <c r="O183" s="7">
        <v>1</v>
      </c>
      <c r="AP183" s="4"/>
    </row>
    <row r="184" spans="1:42" ht="14.25" customHeight="1">
      <c r="A184" s="125" t="s">
        <v>2526</v>
      </c>
      <c r="B184" s="9">
        <v>18</v>
      </c>
      <c r="C184" s="7" t="s">
        <v>1522</v>
      </c>
      <c r="N184" s="183">
        <v>3</v>
      </c>
      <c r="O184" s="7">
        <v>1</v>
      </c>
    </row>
    <row r="185" spans="1:42" ht="14.25" customHeight="1">
      <c r="A185" s="125" t="s">
        <v>2527</v>
      </c>
      <c r="B185" s="9">
        <v>18</v>
      </c>
      <c r="C185" s="7" t="s">
        <v>1523</v>
      </c>
      <c r="N185" s="183">
        <v>3</v>
      </c>
      <c r="O185" s="7">
        <v>1</v>
      </c>
    </row>
    <row r="186" spans="1:42" ht="14.25" customHeight="1">
      <c r="A186" s="125" t="s">
        <v>2528</v>
      </c>
      <c r="B186" s="9">
        <v>52</v>
      </c>
      <c r="C186" s="211" t="s">
        <v>1328</v>
      </c>
      <c r="N186" s="183">
        <v>3</v>
      </c>
      <c r="O186" s="7">
        <v>2.5</v>
      </c>
      <c r="AJ186" s="211" t="s">
        <v>1328</v>
      </c>
      <c r="AP186" s="4"/>
    </row>
    <row r="187" spans="1:42" ht="14.25" customHeight="1">
      <c r="A187" s="125" t="s">
        <v>2529</v>
      </c>
      <c r="B187" s="9">
        <v>52</v>
      </c>
      <c r="C187" s="7" t="s">
        <v>1329</v>
      </c>
      <c r="N187" s="183">
        <v>3</v>
      </c>
      <c r="O187" s="7">
        <v>2.5</v>
      </c>
    </row>
    <row r="188" spans="1:42" ht="14.25" customHeight="1">
      <c r="A188" s="125" t="s">
        <v>2530</v>
      </c>
      <c r="B188" s="9">
        <v>52</v>
      </c>
      <c r="C188" s="7" t="s">
        <v>1330</v>
      </c>
      <c r="N188" s="183">
        <v>3</v>
      </c>
      <c r="O188" s="7">
        <v>2.5</v>
      </c>
    </row>
    <row r="189" spans="1:42" ht="14.25" customHeight="1">
      <c r="A189" s="125" t="s">
        <v>2531</v>
      </c>
      <c r="B189" s="9">
        <v>52</v>
      </c>
      <c r="C189" s="7" t="s">
        <v>1331</v>
      </c>
      <c r="N189" s="183">
        <v>3</v>
      </c>
      <c r="O189" s="7">
        <v>2.5</v>
      </c>
    </row>
    <row r="190" spans="1:42" ht="14.25" customHeight="1">
      <c r="A190" s="125" t="s">
        <v>2532</v>
      </c>
      <c r="B190" s="9">
        <v>52</v>
      </c>
      <c r="C190" s="7" t="s">
        <v>1332</v>
      </c>
      <c r="N190" s="183">
        <v>3</v>
      </c>
      <c r="O190" s="7">
        <v>2.5</v>
      </c>
    </row>
    <row r="191" spans="1:42" ht="14.25" customHeight="1">
      <c r="A191" s="125" t="s">
        <v>2533</v>
      </c>
      <c r="B191" s="9">
        <v>52</v>
      </c>
      <c r="C191" s="211" t="s">
        <v>1333</v>
      </c>
      <c r="N191" s="183">
        <v>3</v>
      </c>
      <c r="O191" s="7">
        <v>2.5</v>
      </c>
      <c r="AJ191" s="211" t="s">
        <v>1333</v>
      </c>
      <c r="AP191" s="4"/>
    </row>
    <row r="192" spans="1:42" ht="14.25" customHeight="1">
      <c r="A192" s="125" t="s">
        <v>2534</v>
      </c>
      <c r="B192" s="9">
        <v>52</v>
      </c>
      <c r="C192" s="7" t="s">
        <v>1334</v>
      </c>
      <c r="N192" s="183">
        <v>3</v>
      </c>
      <c r="O192" s="7">
        <v>2.5</v>
      </c>
    </row>
    <row r="193" spans="1:42" ht="14.25" customHeight="1">
      <c r="A193" s="125" t="s">
        <v>2535</v>
      </c>
      <c r="B193" s="9">
        <v>52</v>
      </c>
      <c r="C193" s="7" t="s">
        <v>1335</v>
      </c>
      <c r="N193" s="183">
        <v>3</v>
      </c>
      <c r="O193" s="7">
        <v>2.5</v>
      </c>
    </row>
    <row r="194" spans="1:42" ht="14.25" customHeight="1">
      <c r="A194" s="125" t="s">
        <v>2536</v>
      </c>
      <c r="B194" s="9">
        <v>52</v>
      </c>
      <c r="C194" s="7" t="s">
        <v>1336</v>
      </c>
      <c r="N194" s="183">
        <v>3</v>
      </c>
      <c r="O194" s="7">
        <v>2.5</v>
      </c>
    </row>
    <row r="195" spans="1:42" ht="14.25" customHeight="1">
      <c r="A195" s="125" t="s">
        <v>2537</v>
      </c>
      <c r="B195" s="9">
        <v>52</v>
      </c>
      <c r="C195" s="7" t="s">
        <v>1337</v>
      </c>
      <c r="N195" s="183">
        <v>3</v>
      </c>
      <c r="O195" s="7">
        <v>2.5</v>
      </c>
    </row>
    <row r="196" spans="1:42" ht="14.25" customHeight="1">
      <c r="A196" s="116" t="s">
        <v>2538</v>
      </c>
      <c r="B196" s="9">
        <v>173</v>
      </c>
      <c r="C196" s="211" t="s">
        <v>1524</v>
      </c>
      <c r="N196" s="183">
        <v>6</v>
      </c>
      <c r="O196" s="7">
        <v>2.8</v>
      </c>
      <c r="AJ196" s="211" t="s">
        <v>1524</v>
      </c>
    </row>
    <row r="197" spans="1:42" ht="14.25" customHeight="1">
      <c r="A197" s="116" t="s">
        <v>2539</v>
      </c>
      <c r="B197" s="9">
        <v>187.2</v>
      </c>
      <c r="C197" s="7" t="s">
        <v>1525</v>
      </c>
      <c r="N197" s="183">
        <v>3</v>
      </c>
      <c r="O197" s="7">
        <v>2.8</v>
      </c>
    </row>
    <row r="198" spans="1:42" ht="14.25" customHeight="1">
      <c r="A198" s="116" t="s">
        <v>2540</v>
      </c>
      <c r="B198" s="9">
        <v>170</v>
      </c>
      <c r="C198" s="7" t="s">
        <v>1526</v>
      </c>
      <c r="N198" s="183">
        <v>3</v>
      </c>
      <c r="O198" s="7">
        <v>2.8</v>
      </c>
    </row>
    <row r="199" spans="1:42" ht="14.25" customHeight="1">
      <c r="A199" s="116" t="s">
        <v>2541</v>
      </c>
      <c r="B199" s="9">
        <v>174</v>
      </c>
      <c r="C199" s="7" t="s">
        <v>1527</v>
      </c>
      <c r="N199" s="183">
        <v>3</v>
      </c>
      <c r="O199" s="7">
        <v>2.8</v>
      </c>
    </row>
    <row r="200" spans="1:42" ht="14.25" customHeight="1">
      <c r="A200" s="116" t="s">
        <v>2542</v>
      </c>
      <c r="B200" s="9">
        <v>175</v>
      </c>
      <c r="C200" s="7" t="s">
        <v>1528</v>
      </c>
      <c r="N200" s="183">
        <v>3</v>
      </c>
      <c r="O200" s="7">
        <v>2.8</v>
      </c>
    </row>
    <row r="201" spans="1:42" ht="14.25" customHeight="1">
      <c r="A201" s="116" t="s">
        <v>2543</v>
      </c>
      <c r="B201" s="9">
        <v>189</v>
      </c>
      <c r="C201" s="7" t="s">
        <v>1529</v>
      </c>
      <c r="N201" s="183">
        <v>3</v>
      </c>
      <c r="O201" s="7">
        <v>2.8</v>
      </c>
    </row>
    <row r="202" spans="1:42" s="4" customFormat="1" ht="14.25" customHeight="1">
      <c r="A202" s="116" t="s">
        <v>2544</v>
      </c>
      <c r="B202" s="9">
        <v>184</v>
      </c>
      <c r="C202" s="7" t="s">
        <v>1530</v>
      </c>
      <c r="D202" s="183"/>
      <c r="E202" s="183"/>
      <c r="F202" s="188"/>
      <c r="G202" s="188"/>
      <c r="H202" s="183"/>
      <c r="I202" s="183"/>
      <c r="J202" s="188"/>
      <c r="K202" s="188"/>
      <c r="L202" s="9"/>
      <c r="M202" s="9"/>
      <c r="N202" s="183">
        <v>3</v>
      </c>
      <c r="O202" s="7">
        <v>2.8</v>
      </c>
      <c r="P202" s="9"/>
      <c r="Q202" s="9"/>
      <c r="R202" s="7"/>
      <c r="S202" s="126"/>
      <c r="T202" s="126"/>
      <c r="U202" s="237"/>
      <c r="V202" s="103"/>
      <c r="W202" s="9"/>
      <c r="X202" s="9"/>
      <c r="Y202" s="9"/>
      <c r="Z202" s="9"/>
      <c r="AA202" s="126"/>
      <c r="AB202" s="9"/>
      <c r="AC202" s="9"/>
      <c r="AD202" s="9"/>
      <c r="AE202" s="9"/>
      <c r="AF202" s="9"/>
      <c r="AG202" s="9"/>
      <c r="AH202" s="9"/>
      <c r="AI202" s="9"/>
      <c r="AJ202" s="7"/>
      <c r="AK202" s="7"/>
      <c r="AL202" s="7"/>
      <c r="AM202" s="7"/>
      <c r="AN202" s="7"/>
      <c r="AO202" s="7"/>
      <c r="AP202" s="7"/>
    </row>
    <row r="203" spans="1:42" ht="14.25" customHeight="1">
      <c r="A203" s="116" t="s">
        <v>2545</v>
      </c>
      <c r="B203" s="9">
        <v>190.3</v>
      </c>
      <c r="C203" s="7" t="s">
        <v>1531</v>
      </c>
      <c r="N203" s="183">
        <v>3</v>
      </c>
      <c r="O203" s="7">
        <v>2.8</v>
      </c>
    </row>
    <row r="204" spans="1:42" s="4" customFormat="1" ht="14.25" customHeight="1">
      <c r="A204" s="116" t="s">
        <v>2546</v>
      </c>
      <c r="B204" s="9">
        <v>173</v>
      </c>
      <c r="C204" s="7" t="s">
        <v>1532</v>
      </c>
      <c r="D204" s="183"/>
      <c r="E204" s="183"/>
      <c r="F204" s="188"/>
      <c r="G204" s="188"/>
      <c r="H204" s="183"/>
      <c r="I204" s="183"/>
      <c r="J204" s="188"/>
      <c r="K204" s="188"/>
      <c r="L204" s="9"/>
      <c r="M204" s="9"/>
      <c r="N204" s="183">
        <v>3</v>
      </c>
      <c r="O204" s="7">
        <v>2.8</v>
      </c>
      <c r="P204" s="9"/>
      <c r="Q204" s="9"/>
      <c r="R204" s="7"/>
      <c r="S204" s="126"/>
      <c r="T204" s="126"/>
      <c r="U204" s="237"/>
      <c r="V204" s="103"/>
      <c r="W204" s="9"/>
      <c r="X204" s="9"/>
      <c r="Y204" s="9"/>
      <c r="Z204" s="9"/>
      <c r="AA204" s="126"/>
      <c r="AB204" s="9"/>
      <c r="AC204" s="9"/>
      <c r="AD204" s="9"/>
      <c r="AE204" s="9"/>
      <c r="AF204" s="9"/>
      <c r="AG204" s="9"/>
      <c r="AH204" s="9"/>
      <c r="AI204" s="9"/>
      <c r="AJ204" s="7"/>
      <c r="AK204" s="7"/>
      <c r="AL204" s="7"/>
      <c r="AM204" s="7"/>
      <c r="AN204" s="7"/>
      <c r="AO204" s="7"/>
      <c r="AP204" s="7"/>
    </row>
    <row r="205" spans="1:42" ht="14.25" customHeight="1">
      <c r="A205" s="112">
        <v>209.01</v>
      </c>
      <c r="B205" s="168"/>
      <c r="C205" s="212" t="s">
        <v>1882</v>
      </c>
      <c r="D205" s="184"/>
      <c r="E205" s="184"/>
      <c r="H205" s="184"/>
      <c r="I205" s="184"/>
      <c r="L205" s="3"/>
      <c r="M205" s="3"/>
      <c r="N205" s="184">
        <v>3</v>
      </c>
      <c r="O205" s="6">
        <v>3.4</v>
      </c>
      <c r="P205" s="222"/>
      <c r="Q205" s="222"/>
      <c r="AJ205" s="212" t="s">
        <v>1882</v>
      </c>
    </row>
    <row r="206" spans="1:42" ht="14.25" customHeight="1">
      <c r="A206" s="112">
        <v>209.02</v>
      </c>
      <c r="B206" s="168"/>
      <c r="C206" s="1" t="s">
        <v>1883</v>
      </c>
      <c r="D206" s="184"/>
      <c r="E206" s="184"/>
      <c r="H206" s="184"/>
      <c r="I206" s="184"/>
      <c r="L206" s="3"/>
      <c r="M206" s="3"/>
      <c r="N206" s="184">
        <v>3</v>
      </c>
      <c r="O206" s="6">
        <v>3.4</v>
      </c>
      <c r="P206" s="222"/>
      <c r="Q206" s="222"/>
    </row>
    <row r="207" spans="1:42" ht="14.25" customHeight="1">
      <c r="A207" s="112">
        <v>209.03</v>
      </c>
      <c r="B207" s="168"/>
      <c r="C207" s="1" t="s">
        <v>1884</v>
      </c>
      <c r="D207" s="184"/>
      <c r="E207" s="184"/>
      <c r="H207" s="184"/>
      <c r="I207" s="184"/>
      <c r="L207" s="3"/>
      <c r="M207" s="3"/>
      <c r="N207" s="184">
        <v>3</v>
      </c>
      <c r="O207" s="6">
        <v>3.4</v>
      </c>
      <c r="P207" s="222"/>
      <c r="Q207" s="222"/>
    </row>
    <row r="208" spans="1:42" ht="14.25" customHeight="1">
      <c r="A208" s="112">
        <v>209.04</v>
      </c>
      <c r="B208" s="168"/>
      <c r="C208" s="1" t="s">
        <v>1885</v>
      </c>
      <c r="D208" s="184"/>
      <c r="E208" s="184"/>
      <c r="H208" s="184"/>
      <c r="I208" s="184"/>
      <c r="L208" s="3"/>
      <c r="M208" s="3"/>
      <c r="N208" s="184">
        <v>3</v>
      </c>
      <c r="O208" s="6">
        <v>3.4</v>
      </c>
      <c r="P208" s="222"/>
      <c r="Q208" s="222"/>
    </row>
    <row r="209" spans="1:42" ht="14.25" customHeight="1">
      <c r="A209" s="112">
        <v>209.05</v>
      </c>
      <c r="B209" s="168"/>
      <c r="C209" s="1" t="s">
        <v>1886</v>
      </c>
      <c r="D209" s="184"/>
      <c r="E209" s="184"/>
      <c r="H209" s="184"/>
      <c r="I209" s="184"/>
      <c r="L209" s="3"/>
      <c r="M209" s="3"/>
      <c r="N209" s="184">
        <v>3</v>
      </c>
      <c r="O209" s="6">
        <v>3.4</v>
      </c>
      <c r="P209" s="222"/>
      <c r="Q209" s="222"/>
    </row>
    <row r="210" spans="1:42" ht="14.25" customHeight="1">
      <c r="A210" s="112">
        <v>209.06</v>
      </c>
      <c r="B210" s="168"/>
      <c r="C210" s="1" t="s">
        <v>1870</v>
      </c>
      <c r="D210" s="184"/>
      <c r="E210" s="184"/>
      <c r="H210" s="184"/>
      <c r="I210" s="184"/>
      <c r="L210" s="3"/>
      <c r="M210" s="3"/>
      <c r="N210" s="184">
        <v>3</v>
      </c>
      <c r="O210" s="6">
        <v>3.4</v>
      </c>
      <c r="P210" s="222"/>
      <c r="Q210" s="222"/>
    </row>
    <row r="211" spans="1:42" ht="14.25" customHeight="1">
      <c r="A211" s="112">
        <v>209.07</v>
      </c>
      <c r="B211" s="168"/>
      <c r="C211" s="1" t="s">
        <v>1887</v>
      </c>
      <c r="D211" s="184"/>
      <c r="E211" s="184"/>
      <c r="H211" s="184"/>
      <c r="I211" s="184"/>
      <c r="L211" s="3"/>
      <c r="M211" s="3"/>
      <c r="N211" s="184">
        <v>3</v>
      </c>
      <c r="O211" s="6">
        <v>3.4</v>
      </c>
      <c r="P211" s="222"/>
      <c r="Q211" s="222"/>
    </row>
    <row r="212" spans="1:42" ht="14.25" customHeight="1">
      <c r="A212" s="112">
        <v>209.08</v>
      </c>
      <c r="B212" s="168"/>
      <c r="C212" s="1" t="s">
        <v>1888</v>
      </c>
      <c r="D212" s="184"/>
      <c r="E212" s="184"/>
      <c r="H212" s="184"/>
      <c r="I212" s="184"/>
      <c r="L212" s="3"/>
      <c r="M212" s="3"/>
      <c r="N212" s="184">
        <v>3</v>
      </c>
      <c r="O212" s="6">
        <v>3.4</v>
      </c>
      <c r="P212" s="222"/>
      <c r="Q212" s="222"/>
      <c r="AP212" s="4"/>
    </row>
    <row r="213" spans="1:42" ht="14.25" customHeight="1">
      <c r="A213" s="112">
        <v>209.09</v>
      </c>
      <c r="B213" s="168"/>
      <c r="C213" s="1" t="s">
        <v>1889</v>
      </c>
      <c r="D213" s="184"/>
      <c r="E213" s="184"/>
      <c r="H213" s="184"/>
      <c r="I213" s="184"/>
      <c r="L213" s="3"/>
      <c r="M213" s="3"/>
      <c r="N213" s="184">
        <v>3</v>
      </c>
      <c r="O213" s="6">
        <v>3.4</v>
      </c>
      <c r="P213" s="222"/>
      <c r="Q213" s="222"/>
    </row>
    <row r="214" spans="1:42" ht="14.25" customHeight="1">
      <c r="A214" s="114" t="s">
        <v>2999</v>
      </c>
      <c r="B214" s="168"/>
      <c r="C214" s="1" t="s">
        <v>1890</v>
      </c>
      <c r="D214" s="184"/>
      <c r="E214" s="184"/>
      <c r="H214" s="184"/>
      <c r="I214" s="184"/>
      <c r="L214" s="3"/>
      <c r="M214" s="3"/>
      <c r="N214" s="184">
        <v>3</v>
      </c>
      <c r="O214" s="6">
        <v>3.4</v>
      </c>
      <c r="P214" s="222"/>
      <c r="Q214" s="222"/>
    </row>
    <row r="215" spans="1:42" ht="14.25" customHeight="1">
      <c r="A215" s="112">
        <v>211.01</v>
      </c>
      <c r="B215" s="9">
        <f>118.2</f>
        <v>118.2</v>
      </c>
      <c r="C215" s="212" t="s">
        <v>6042</v>
      </c>
      <c r="D215" s="184"/>
      <c r="E215" s="184"/>
      <c r="H215" s="184"/>
      <c r="I215" s="184"/>
      <c r="L215" s="3"/>
      <c r="M215" s="3"/>
      <c r="N215" s="184">
        <v>5</v>
      </c>
      <c r="O215" s="6">
        <v>3</v>
      </c>
      <c r="P215" s="222"/>
      <c r="Q215" s="222"/>
      <c r="AJ215" s="212" t="s">
        <v>6042</v>
      </c>
    </row>
    <row r="216" spans="1:42" ht="14.25" customHeight="1">
      <c r="A216" s="112">
        <v>211.02</v>
      </c>
      <c r="B216" s="9">
        <f>118.2</f>
        <v>118.2</v>
      </c>
      <c r="C216" s="1" t="s">
        <v>1898</v>
      </c>
      <c r="D216" s="184"/>
      <c r="E216" s="184"/>
      <c r="H216" s="184"/>
      <c r="I216" s="184"/>
      <c r="L216" s="3"/>
      <c r="M216" s="3"/>
      <c r="N216" s="184">
        <v>5</v>
      </c>
      <c r="O216" s="6">
        <v>3</v>
      </c>
      <c r="P216" s="222"/>
      <c r="Q216" s="222"/>
    </row>
    <row r="217" spans="1:42" ht="14.25" customHeight="1">
      <c r="A217" s="112">
        <v>211.03</v>
      </c>
      <c r="B217" s="9">
        <f>118.2</f>
        <v>118.2</v>
      </c>
      <c r="C217" s="1" t="s">
        <v>1899</v>
      </c>
      <c r="D217" s="184"/>
      <c r="E217" s="184"/>
      <c r="H217" s="184"/>
      <c r="I217" s="184"/>
      <c r="L217" s="3"/>
      <c r="M217" s="3"/>
      <c r="N217" s="184">
        <v>5</v>
      </c>
      <c r="O217" s="6">
        <v>3</v>
      </c>
      <c r="P217" s="222"/>
      <c r="Q217" s="222"/>
    </row>
    <row r="218" spans="1:42" ht="14.25" customHeight="1">
      <c r="A218" s="112">
        <v>211.04</v>
      </c>
      <c r="B218" s="9">
        <f>118.2</f>
        <v>118.2</v>
      </c>
      <c r="C218" s="1" t="s">
        <v>1900</v>
      </c>
      <c r="D218" s="184"/>
      <c r="E218" s="184"/>
      <c r="H218" s="184"/>
      <c r="I218" s="184"/>
      <c r="L218" s="3"/>
      <c r="M218" s="3"/>
      <c r="N218" s="184">
        <v>5</v>
      </c>
      <c r="O218" s="6">
        <v>3</v>
      </c>
      <c r="P218" s="222"/>
      <c r="Q218" s="222"/>
    </row>
    <row r="219" spans="1:42" ht="14.25" customHeight="1">
      <c r="A219" s="125">
        <v>212.01</v>
      </c>
      <c r="B219" s="121">
        <f t="shared" ref="B219:B229" si="31">262/30</f>
        <v>8.7333333333333325</v>
      </c>
      <c r="C219" s="211" t="s">
        <v>1963</v>
      </c>
      <c r="N219" s="183">
        <f>10</f>
        <v>10</v>
      </c>
      <c r="O219" s="7">
        <v>0.31</v>
      </c>
      <c r="AJ219" s="211" t="s">
        <v>1963</v>
      </c>
    </row>
    <row r="220" spans="1:42" ht="14.25" customHeight="1">
      <c r="A220" s="125">
        <v>212.02</v>
      </c>
      <c r="B220" s="121">
        <f t="shared" si="31"/>
        <v>8.7333333333333325</v>
      </c>
      <c r="C220" s="7" t="s">
        <v>1964</v>
      </c>
      <c r="N220" s="183">
        <f>10</f>
        <v>10</v>
      </c>
      <c r="O220" s="7">
        <v>0.31</v>
      </c>
    </row>
    <row r="221" spans="1:42" ht="14.25" customHeight="1">
      <c r="A221" s="125">
        <v>212.03</v>
      </c>
      <c r="B221" s="121">
        <f t="shared" si="31"/>
        <v>8.7333333333333325</v>
      </c>
      <c r="C221" s="7" t="s">
        <v>5737</v>
      </c>
      <c r="N221" s="183">
        <f>10</f>
        <v>10</v>
      </c>
      <c r="O221" s="7">
        <v>0.31</v>
      </c>
    </row>
    <row r="222" spans="1:42" ht="14.25" customHeight="1">
      <c r="A222" s="125">
        <v>212.04</v>
      </c>
      <c r="B222" s="121">
        <f t="shared" si="31"/>
        <v>8.7333333333333325</v>
      </c>
      <c r="C222" s="7" t="s">
        <v>1966</v>
      </c>
      <c r="N222" s="183">
        <f>10</f>
        <v>10</v>
      </c>
      <c r="O222" s="7">
        <v>0.31</v>
      </c>
    </row>
    <row r="223" spans="1:42" ht="14.25" customHeight="1">
      <c r="A223" s="133" t="s">
        <v>2345</v>
      </c>
      <c r="B223" s="121">
        <f t="shared" si="31"/>
        <v>8.7333333333333325</v>
      </c>
      <c r="C223" s="131" t="s">
        <v>3303</v>
      </c>
      <c r="N223" s="183">
        <f>10</f>
        <v>10</v>
      </c>
      <c r="O223" s="7">
        <v>0.31</v>
      </c>
    </row>
    <row r="224" spans="1:42" ht="14.25" customHeight="1">
      <c r="A224" s="133" t="s">
        <v>2346</v>
      </c>
      <c r="B224" s="121">
        <f t="shared" si="31"/>
        <v>8.7333333333333325</v>
      </c>
      <c r="C224" s="7" t="s">
        <v>5738</v>
      </c>
      <c r="N224" s="183">
        <f>10</f>
        <v>10</v>
      </c>
      <c r="O224" s="7">
        <v>0.31</v>
      </c>
      <c r="AP224" s="4"/>
    </row>
    <row r="225" spans="1:42" s="4" customFormat="1" ht="14.25" customHeight="1">
      <c r="A225" s="133" t="s">
        <v>2347</v>
      </c>
      <c r="B225" s="121">
        <f t="shared" si="31"/>
        <v>8.7333333333333325</v>
      </c>
      <c r="C225" s="7" t="s">
        <v>5739</v>
      </c>
      <c r="D225" s="183"/>
      <c r="E225" s="183"/>
      <c r="F225" s="188"/>
      <c r="G225" s="188"/>
      <c r="H225" s="183"/>
      <c r="I225" s="183"/>
      <c r="J225" s="188"/>
      <c r="K225" s="188"/>
      <c r="L225" s="9"/>
      <c r="M225" s="9"/>
      <c r="N225" s="183">
        <f>10</f>
        <v>10</v>
      </c>
      <c r="O225" s="7">
        <v>0.31</v>
      </c>
      <c r="P225" s="9"/>
      <c r="Q225" s="9"/>
      <c r="R225" s="7"/>
      <c r="S225" s="126"/>
      <c r="T225" s="126"/>
      <c r="U225" s="237"/>
      <c r="V225" s="103"/>
      <c r="W225" s="9"/>
      <c r="X225" s="9"/>
      <c r="Y225" s="9"/>
      <c r="Z225" s="9"/>
      <c r="AA225" s="126"/>
      <c r="AB225" s="9"/>
      <c r="AC225" s="9"/>
      <c r="AD225" s="9"/>
      <c r="AE225" s="9"/>
      <c r="AF225" s="9"/>
      <c r="AG225" s="9"/>
      <c r="AH225" s="9"/>
      <c r="AI225" s="9"/>
      <c r="AJ225" s="7"/>
      <c r="AK225" s="7"/>
      <c r="AL225" s="7"/>
      <c r="AM225" s="7"/>
      <c r="AN225" s="7"/>
      <c r="AO225" s="7"/>
      <c r="AP225" s="7"/>
    </row>
    <row r="226" spans="1:42" ht="14.25" customHeight="1">
      <c r="A226" s="133" t="s">
        <v>2348</v>
      </c>
      <c r="B226" s="121">
        <f t="shared" si="31"/>
        <v>8.7333333333333325</v>
      </c>
      <c r="C226" s="7" t="s">
        <v>5740</v>
      </c>
      <c r="N226" s="183">
        <f>10</f>
        <v>10</v>
      </c>
      <c r="O226" s="7">
        <v>0.31</v>
      </c>
    </row>
    <row r="227" spans="1:42" ht="14.25" customHeight="1">
      <c r="A227" s="133" t="s">
        <v>2349</v>
      </c>
      <c r="B227" s="121">
        <f t="shared" si="31"/>
        <v>8.7333333333333325</v>
      </c>
      <c r="C227" s="7" t="s">
        <v>5741</v>
      </c>
      <c r="N227" s="183">
        <f>10</f>
        <v>10</v>
      </c>
      <c r="O227" s="7">
        <v>0.31</v>
      </c>
      <c r="AP227" s="4"/>
    </row>
    <row r="228" spans="1:42" s="4" customFormat="1" ht="14.25" customHeight="1">
      <c r="A228" s="133" t="s">
        <v>2350</v>
      </c>
      <c r="B228" s="121">
        <f t="shared" si="31"/>
        <v>8.7333333333333325</v>
      </c>
      <c r="C228" s="7" t="s">
        <v>1971</v>
      </c>
      <c r="D228" s="183"/>
      <c r="E228" s="183"/>
      <c r="F228" s="188"/>
      <c r="G228" s="188"/>
      <c r="H228" s="183"/>
      <c r="I228" s="183"/>
      <c r="J228" s="188"/>
      <c r="K228" s="188"/>
      <c r="L228" s="9"/>
      <c r="M228" s="9"/>
      <c r="N228" s="183">
        <f>10</f>
        <v>10</v>
      </c>
      <c r="O228" s="7">
        <v>0.31</v>
      </c>
      <c r="P228" s="9"/>
      <c r="Q228" s="9"/>
      <c r="R228" s="7"/>
      <c r="S228" s="126"/>
      <c r="T228" s="126"/>
      <c r="U228" s="237"/>
      <c r="V228" s="103"/>
      <c r="W228" s="9"/>
      <c r="X228" s="9"/>
      <c r="Y228" s="9"/>
      <c r="Z228" s="9"/>
      <c r="AA228" s="126"/>
      <c r="AB228" s="9"/>
      <c r="AC228" s="9"/>
      <c r="AD228" s="9"/>
      <c r="AE228" s="9"/>
      <c r="AF228" s="9"/>
      <c r="AG228" s="9"/>
      <c r="AH228" s="9"/>
      <c r="AI228" s="9"/>
      <c r="AJ228" s="7"/>
      <c r="AK228" s="7"/>
      <c r="AL228" s="7"/>
      <c r="AM228" s="7"/>
      <c r="AN228" s="7"/>
      <c r="AO228" s="7"/>
      <c r="AP228" s="7"/>
    </row>
    <row r="229" spans="1:42" ht="14.25" customHeight="1">
      <c r="A229" s="133" t="s">
        <v>2351</v>
      </c>
      <c r="B229" s="121">
        <f t="shared" si="31"/>
        <v>8.7333333333333325</v>
      </c>
      <c r="C229" s="131" t="s">
        <v>3309</v>
      </c>
      <c r="N229" s="183">
        <f>10</f>
        <v>10</v>
      </c>
      <c r="O229" s="7">
        <v>0.31</v>
      </c>
    </row>
    <row r="230" spans="1:42" ht="14.25" customHeight="1">
      <c r="A230" s="133" t="s">
        <v>2352</v>
      </c>
      <c r="B230" s="9">
        <f t="shared" ref="B230:B240" si="32">189/10</f>
        <v>18.899999999999999</v>
      </c>
      <c r="C230" s="211" t="s">
        <v>1972</v>
      </c>
      <c r="N230" s="183">
        <f>10</f>
        <v>10</v>
      </c>
      <c r="O230" s="7">
        <v>0.49</v>
      </c>
      <c r="AJ230" s="211" t="s">
        <v>1972</v>
      </c>
      <c r="AP230" s="4"/>
    </row>
    <row r="231" spans="1:42" ht="14.25" customHeight="1">
      <c r="A231" s="133" t="s">
        <v>2353</v>
      </c>
      <c r="B231" s="9">
        <f t="shared" si="32"/>
        <v>18.899999999999999</v>
      </c>
      <c r="C231" s="7" t="s">
        <v>1973</v>
      </c>
      <c r="N231" s="183">
        <f>10</f>
        <v>10</v>
      </c>
      <c r="O231" s="7">
        <v>0.49</v>
      </c>
    </row>
    <row r="232" spans="1:42" ht="14.25" customHeight="1">
      <c r="A232" s="133" t="s">
        <v>2354</v>
      </c>
      <c r="B232" s="9">
        <f t="shared" si="32"/>
        <v>18.899999999999999</v>
      </c>
      <c r="C232" s="7" t="s">
        <v>5742</v>
      </c>
      <c r="N232" s="183">
        <f>10</f>
        <v>10</v>
      </c>
      <c r="O232" s="7">
        <v>0.49</v>
      </c>
    </row>
    <row r="233" spans="1:42" s="4" customFormat="1" ht="14.25" customHeight="1">
      <c r="A233" s="133" t="s">
        <v>2355</v>
      </c>
      <c r="B233" s="9">
        <f t="shared" si="32"/>
        <v>18.899999999999999</v>
      </c>
      <c r="C233" s="7" t="s">
        <v>1975</v>
      </c>
      <c r="D233" s="183"/>
      <c r="E233" s="183"/>
      <c r="F233" s="188"/>
      <c r="G233" s="188"/>
      <c r="H233" s="183"/>
      <c r="I233" s="183"/>
      <c r="J233" s="188"/>
      <c r="K233" s="188"/>
      <c r="L233" s="9"/>
      <c r="M233" s="9"/>
      <c r="N233" s="183">
        <f>10</f>
        <v>10</v>
      </c>
      <c r="O233" s="7">
        <v>0.49</v>
      </c>
      <c r="P233" s="9"/>
      <c r="Q233" s="9"/>
      <c r="R233" s="7"/>
      <c r="S233" s="126"/>
      <c r="T233" s="126"/>
      <c r="U233" s="237"/>
      <c r="V233" s="103"/>
      <c r="W233" s="9"/>
      <c r="X233" s="9"/>
      <c r="Y233" s="9"/>
      <c r="Z233" s="9"/>
      <c r="AA233" s="126"/>
      <c r="AB233" s="9"/>
      <c r="AC233" s="9"/>
      <c r="AD233" s="9"/>
      <c r="AE233" s="9"/>
      <c r="AF233" s="9"/>
      <c r="AG233" s="9"/>
      <c r="AH233" s="9"/>
      <c r="AI233" s="9"/>
      <c r="AJ233" s="7"/>
      <c r="AK233" s="7"/>
      <c r="AL233" s="7"/>
      <c r="AM233" s="7"/>
      <c r="AN233" s="7"/>
      <c r="AO233" s="7"/>
      <c r="AP233" s="7"/>
    </row>
    <row r="234" spans="1:42" ht="14.25" customHeight="1">
      <c r="A234" s="133" t="s">
        <v>2356</v>
      </c>
      <c r="B234" s="9">
        <f t="shared" si="32"/>
        <v>18.899999999999999</v>
      </c>
      <c r="C234" s="131" t="s">
        <v>3304</v>
      </c>
      <c r="N234" s="183">
        <f>10</f>
        <v>10</v>
      </c>
      <c r="O234" s="7">
        <v>0.49</v>
      </c>
    </row>
    <row r="235" spans="1:42" ht="14.25" customHeight="1">
      <c r="A235" s="133" t="s">
        <v>2357</v>
      </c>
      <c r="B235" s="9">
        <f t="shared" si="32"/>
        <v>18.899999999999999</v>
      </c>
      <c r="C235" s="7" t="s">
        <v>5743</v>
      </c>
      <c r="N235" s="183">
        <f>10</f>
        <v>10</v>
      </c>
      <c r="O235" s="7">
        <v>0.49</v>
      </c>
    </row>
    <row r="236" spans="1:42" ht="14.25" customHeight="1">
      <c r="A236" s="133" t="s">
        <v>2358</v>
      </c>
      <c r="B236" s="9">
        <f t="shared" si="32"/>
        <v>18.899999999999999</v>
      </c>
      <c r="C236" s="7" t="s">
        <v>5744</v>
      </c>
      <c r="N236" s="183">
        <f>10</f>
        <v>10</v>
      </c>
      <c r="O236" s="7">
        <v>0.49</v>
      </c>
    </row>
    <row r="237" spans="1:42" ht="14.25" customHeight="1">
      <c r="A237" s="133" t="s">
        <v>2359</v>
      </c>
      <c r="B237" s="9">
        <f t="shared" si="32"/>
        <v>18.899999999999999</v>
      </c>
      <c r="C237" s="7" t="s">
        <v>5745</v>
      </c>
      <c r="N237" s="183">
        <f>10</f>
        <v>10</v>
      </c>
      <c r="O237" s="7">
        <v>0.49</v>
      </c>
    </row>
    <row r="238" spans="1:42" ht="14.25" customHeight="1">
      <c r="A238" s="133" t="s">
        <v>2360</v>
      </c>
      <c r="B238" s="9">
        <f t="shared" si="32"/>
        <v>18.899999999999999</v>
      </c>
      <c r="C238" s="7" t="s">
        <v>5746</v>
      </c>
      <c r="N238" s="183">
        <f>10</f>
        <v>10</v>
      </c>
      <c r="O238" s="7">
        <v>0.49</v>
      </c>
    </row>
    <row r="239" spans="1:42" ht="14.25" customHeight="1">
      <c r="A239" s="133" t="s">
        <v>2361</v>
      </c>
      <c r="B239" s="9">
        <f t="shared" si="32"/>
        <v>18.899999999999999</v>
      </c>
      <c r="C239" s="7" t="s">
        <v>1980</v>
      </c>
      <c r="N239" s="183">
        <f>10</f>
        <v>10</v>
      </c>
      <c r="O239" s="7">
        <v>0.49</v>
      </c>
    </row>
    <row r="240" spans="1:42" ht="14.25" customHeight="1">
      <c r="A240" s="133" t="s">
        <v>2362</v>
      </c>
      <c r="B240" s="9">
        <f t="shared" si="32"/>
        <v>18.899999999999999</v>
      </c>
      <c r="C240" s="131" t="s">
        <v>3310</v>
      </c>
      <c r="N240" s="183">
        <f>10</f>
        <v>10</v>
      </c>
      <c r="O240" s="7">
        <v>0.49</v>
      </c>
    </row>
    <row r="241" spans="1:42" ht="14.25" customHeight="1">
      <c r="A241" s="133" t="s">
        <v>2363</v>
      </c>
      <c r="B241" s="121">
        <f t="shared" ref="B241:B251" si="33">343.2/20</f>
        <v>17.16</v>
      </c>
      <c r="C241" s="211" t="s">
        <v>1981</v>
      </c>
      <c r="N241" s="183">
        <f>10</f>
        <v>10</v>
      </c>
      <c r="O241" s="7">
        <v>0.57999999999999996</v>
      </c>
      <c r="AJ241" s="211" t="s">
        <v>1981</v>
      </c>
    </row>
    <row r="242" spans="1:42" ht="14.25" customHeight="1">
      <c r="A242" s="133" t="s">
        <v>2364</v>
      </c>
      <c r="B242" s="121">
        <f t="shared" si="33"/>
        <v>17.16</v>
      </c>
      <c r="C242" s="7" t="s">
        <v>1982</v>
      </c>
      <c r="N242" s="183">
        <f>10</f>
        <v>10</v>
      </c>
      <c r="O242" s="7">
        <v>0.57999999999999996</v>
      </c>
    </row>
    <row r="243" spans="1:42" ht="14.25" customHeight="1">
      <c r="A243" s="133" t="s">
        <v>2365</v>
      </c>
      <c r="B243" s="121">
        <f t="shared" si="33"/>
        <v>17.16</v>
      </c>
      <c r="C243" s="7" t="s">
        <v>5747</v>
      </c>
      <c r="N243" s="183">
        <f>10</f>
        <v>10</v>
      </c>
      <c r="O243" s="7">
        <v>0.57999999999999996</v>
      </c>
    </row>
    <row r="244" spans="1:42" ht="14.25" customHeight="1">
      <c r="A244" s="133" t="s">
        <v>2366</v>
      </c>
      <c r="B244" s="121">
        <f t="shared" si="33"/>
        <v>17.16</v>
      </c>
      <c r="C244" s="7" t="s">
        <v>1984</v>
      </c>
      <c r="N244" s="183">
        <f>10</f>
        <v>10</v>
      </c>
      <c r="O244" s="7">
        <v>0.57999999999999996</v>
      </c>
    </row>
    <row r="245" spans="1:42" ht="14.25" customHeight="1">
      <c r="A245" s="133" t="s">
        <v>2367</v>
      </c>
      <c r="B245" s="121">
        <f t="shared" si="33"/>
        <v>17.16</v>
      </c>
      <c r="C245" s="131" t="s">
        <v>3305</v>
      </c>
      <c r="N245" s="183">
        <f>10</f>
        <v>10</v>
      </c>
      <c r="O245" s="7">
        <v>0.57999999999999996</v>
      </c>
    </row>
    <row r="246" spans="1:42" ht="14.25" customHeight="1">
      <c r="A246" s="133" t="s">
        <v>2368</v>
      </c>
      <c r="B246" s="121">
        <f t="shared" si="33"/>
        <v>17.16</v>
      </c>
      <c r="C246" s="7" t="s">
        <v>5748</v>
      </c>
      <c r="N246" s="183">
        <f>10</f>
        <v>10</v>
      </c>
      <c r="O246" s="7">
        <v>0.57999999999999996</v>
      </c>
    </row>
    <row r="247" spans="1:42" ht="14.25" customHeight="1">
      <c r="A247" s="133" t="s">
        <v>2369</v>
      </c>
      <c r="B247" s="121">
        <f t="shared" si="33"/>
        <v>17.16</v>
      </c>
      <c r="C247" s="7" t="s">
        <v>5749</v>
      </c>
      <c r="N247" s="183">
        <f>10</f>
        <v>10</v>
      </c>
      <c r="O247" s="7">
        <v>0.57999999999999996</v>
      </c>
    </row>
    <row r="248" spans="1:42" ht="14.25" customHeight="1">
      <c r="A248" s="133" t="s">
        <v>2370</v>
      </c>
      <c r="B248" s="121">
        <f t="shared" si="33"/>
        <v>17.16</v>
      </c>
      <c r="C248" s="7" t="s">
        <v>5960</v>
      </c>
      <c r="N248" s="183">
        <f>10</f>
        <v>10</v>
      </c>
      <c r="O248" s="7">
        <v>0.57999999999999996</v>
      </c>
    </row>
    <row r="249" spans="1:42" s="4" customFormat="1" ht="14.25" customHeight="1">
      <c r="A249" s="133" t="s">
        <v>2371</v>
      </c>
      <c r="B249" s="121">
        <f t="shared" si="33"/>
        <v>17.16</v>
      </c>
      <c r="C249" s="7" t="s">
        <v>5750</v>
      </c>
      <c r="D249" s="183"/>
      <c r="E249" s="183"/>
      <c r="F249" s="188"/>
      <c r="G249" s="188"/>
      <c r="H249" s="183"/>
      <c r="I249" s="183"/>
      <c r="J249" s="188"/>
      <c r="K249" s="188"/>
      <c r="L249" s="9"/>
      <c r="M249" s="9"/>
      <c r="N249" s="183">
        <f>10</f>
        <v>10</v>
      </c>
      <c r="O249" s="7">
        <v>0.57999999999999996</v>
      </c>
      <c r="P249" s="9"/>
      <c r="Q249" s="9"/>
      <c r="R249" s="7"/>
      <c r="S249" s="126"/>
      <c r="T249" s="126"/>
      <c r="U249" s="237"/>
      <c r="V249" s="103"/>
      <c r="W249" s="9"/>
      <c r="X249" s="9"/>
      <c r="Y249" s="9"/>
      <c r="Z249" s="9"/>
      <c r="AA249" s="126"/>
      <c r="AB249" s="9"/>
      <c r="AC249" s="9"/>
      <c r="AD249" s="9"/>
      <c r="AE249" s="9"/>
      <c r="AF249" s="9"/>
      <c r="AG249" s="9"/>
      <c r="AH249" s="9"/>
      <c r="AI249" s="9"/>
      <c r="AJ249" s="7"/>
      <c r="AK249" s="7"/>
      <c r="AL249" s="7"/>
      <c r="AM249" s="7"/>
      <c r="AN249" s="7"/>
      <c r="AO249" s="7"/>
      <c r="AP249" s="7"/>
    </row>
    <row r="250" spans="1:42" ht="14.25" customHeight="1">
      <c r="A250" s="133" t="s">
        <v>2372</v>
      </c>
      <c r="B250" s="121">
        <f t="shared" si="33"/>
        <v>17.16</v>
      </c>
      <c r="C250" s="7" t="s">
        <v>1989</v>
      </c>
      <c r="N250" s="183">
        <f>10</f>
        <v>10</v>
      </c>
      <c r="O250" s="7">
        <v>0.57999999999999996</v>
      </c>
    </row>
    <row r="251" spans="1:42" ht="14.25" customHeight="1">
      <c r="A251" s="133" t="s">
        <v>2373</v>
      </c>
      <c r="B251" s="121">
        <f t="shared" si="33"/>
        <v>17.16</v>
      </c>
      <c r="C251" s="131" t="s">
        <v>3311</v>
      </c>
      <c r="N251" s="183">
        <f>10</f>
        <v>10</v>
      </c>
      <c r="O251" s="7">
        <v>0.57999999999999996</v>
      </c>
    </row>
    <row r="252" spans="1:42" s="4" customFormat="1" ht="14.25" customHeight="1">
      <c r="A252" s="133" t="s">
        <v>2374</v>
      </c>
      <c r="B252" s="121">
        <f t="shared" ref="B252:B262" si="34">298.9/10</f>
        <v>29.889999999999997</v>
      </c>
      <c r="C252" s="7" t="s">
        <v>1990</v>
      </c>
      <c r="D252" s="183"/>
      <c r="E252" s="183"/>
      <c r="F252" s="188"/>
      <c r="G252" s="188"/>
      <c r="H252" s="183"/>
      <c r="I252" s="183"/>
      <c r="J252" s="188"/>
      <c r="K252" s="188"/>
      <c r="L252" s="9"/>
      <c r="M252" s="9"/>
      <c r="N252" s="183">
        <f>10</f>
        <v>10</v>
      </c>
      <c r="O252" s="7">
        <v>0.96</v>
      </c>
      <c r="P252" s="9"/>
      <c r="Q252" s="9"/>
      <c r="R252" s="7"/>
      <c r="S252" s="126"/>
      <c r="T252" s="126"/>
      <c r="U252" s="237"/>
      <c r="V252" s="103"/>
      <c r="W252" s="9"/>
      <c r="X252" s="9"/>
      <c r="Y252" s="9"/>
      <c r="Z252" s="9"/>
      <c r="AA252" s="126"/>
      <c r="AB252" s="9"/>
      <c r="AC252" s="9"/>
      <c r="AD252" s="9"/>
      <c r="AE252" s="9"/>
      <c r="AF252" s="9"/>
      <c r="AG252" s="9"/>
      <c r="AH252" s="9"/>
      <c r="AI252" s="9"/>
      <c r="AJ252" s="7"/>
      <c r="AK252" s="7"/>
      <c r="AL252" s="7"/>
      <c r="AM252" s="7"/>
      <c r="AN252" s="7"/>
      <c r="AO252" s="7"/>
      <c r="AP252" s="7"/>
    </row>
    <row r="253" spans="1:42" ht="14.25" customHeight="1">
      <c r="A253" s="133" t="s">
        <v>2375</v>
      </c>
      <c r="B253" s="121">
        <f t="shared" si="34"/>
        <v>29.889999999999997</v>
      </c>
      <c r="C253" s="7" t="s">
        <v>1991</v>
      </c>
      <c r="N253" s="183">
        <f>10</f>
        <v>10</v>
      </c>
      <c r="O253" s="7">
        <v>0.96</v>
      </c>
    </row>
    <row r="254" spans="1:42" ht="14.25" customHeight="1">
      <c r="A254" s="133" t="s">
        <v>2376</v>
      </c>
      <c r="B254" s="121">
        <f t="shared" si="34"/>
        <v>29.889999999999997</v>
      </c>
      <c r="C254" s="7" t="s">
        <v>5751</v>
      </c>
      <c r="N254" s="183">
        <f>10</f>
        <v>10</v>
      </c>
      <c r="O254" s="7">
        <v>0.96</v>
      </c>
    </row>
    <row r="255" spans="1:42" s="4" customFormat="1" ht="14.25" customHeight="1">
      <c r="A255" s="133" t="s">
        <v>2377</v>
      </c>
      <c r="B255" s="121">
        <f t="shared" si="34"/>
        <v>29.889999999999997</v>
      </c>
      <c r="C255" s="7" t="s">
        <v>1993</v>
      </c>
      <c r="D255" s="183"/>
      <c r="E255" s="183"/>
      <c r="F255" s="188"/>
      <c r="G255" s="188"/>
      <c r="H255" s="183"/>
      <c r="I255" s="183"/>
      <c r="J255" s="188"/>
      <c r="K255" s="188"/>
      <c r="L255" s="9"/>
      <c r="M255" s="9"/>
      <c r="N255" s="183">
        <f>10</f>
        <v>10</v>
      </c>
      <c r="O255" s="7">
        <v>0.96</v>
      </c>
      <c r="P255" s="9"/>
      <c r="Q255" s="9"/>
      <c r="R255" s="7"/>
      <c r="S255" s="126"/>
      <c r="T255" s="126"/>
      <c r="U255" s="237"/>
      <c r="V255" s="103"/>
      <c r="W255" s="9"/>
      <c r="X255" s="9"/>
      <c r="Y255" s="9"/>
      <c r="Z255" s="9"/>
      <c r="AA255" s="126"/>
      <c r="AB255" s="9"/>
      <c r="AC255" s="9"/>
      <c r="AD255" s="9"/>
      <c r="AE255" s="9"/>
      <c r="AF255" s="9"/>
      <c r="AG255" s="9"/>
      <c r="AH255" s="9"/>
      <c r="AI255" s="9"/>
      <c r="AJ255" s="7"/>
      <c r="AK255" s="7"/>
      <c r="AL255" s="7"/>
      <c r="AM255" s="7"/>
      <c r="AN255" s="7"/>
      <c r="AO255" s="7"/>
      <c r="AP255" s="7"/>
    </row>
    <row r="256" spans="1:42" ht="14.25" customHeight="1">
      <c r="A256" s="133" t="s">
        <v>2378</v>
      </c>
      <c r="B256" s="121">
        <f t="shared" si="34"/>
        <v>29.889999999999997</v>
      </c>
      <c r="C256" s="131" t="s">
        <v>3306</v>
      </c>
      <c r="N256" s="183">
        <f>10</f>
        <v>10</v>
      </c>
      <c r="O256" s="7">
        <v>0.96</v>
      </c>
    </row>
    <row r="257" spans="1:36" ht="14.25" customHeight="1">
      <c r="A257" s="133" t="s">
        <v>2379</v>
      </c>
      <c r="B257" s="121">
        <f t="shared" si="34"/>
        <v>29.889999999999997</v>
      </c>
      <c r="C257" s="7" t="s">
        <v>5752</v>
      </c>
      <c r="N257" s="183">
        <f>10</f>
        <v>10</v>
      </c>
      <c r="O257" s="7">
        <v>0.96</v>
      </c>
    </row>
    <row r="258" spans="1:36" ht="14.25" customHeight="1">
      <c r="A258" s="133" t="s">
        <v>2380</v>
      </c>
      <c r="B258" s="121">
        <f t="shared" si="34"/>
        <v>29.889999999999997</v>
      </c>
      <c r="C258" s="7" t="s">
        <v>5753</v>
      </c>
      <c r="N258" s="183">
        <f>10</f>
        <v>10</v>
      </c>
      <c r="O258" s="7">
        <v>0.96</v>
      </c>
    </row>
    <row r="259" spans="1:36" ht="14.25" customHeight="1">
      <c r="A259" s="133" t="s">
        <v>2381</v>
      </c>
      <c r="B259" s="121">
        <f t="shared" si="34"/>
        <v>29.889999999999997</v>
      </c>
      <c r="C259" s="7" t="s">
        <v>5754</v>
      </c>
      <c r="N259" s="183">
        <f>10</f>
        <v>10</v>
      </c>
      <c r="O259" s="7">
        <v>0.96</v>
      </c>
    </row>
    <row r="260" spans="1:36" ht="14.25" customHeight="1">
      <c r="A260" s="133" t="s">
        <v>2382</v>
      </c>
      <c r="B260" s="121">
        <f t="shared" si="34"/>
        <v>29.889999999999997</v>
      </c>
      <c r="C260" s="7" t="s">
        <v>5755</v>
      </c>
      <c r="N260" s="183">
        <f>10</f>
        <v>10</v>
      </c>
      <c r="O260" s="7">
        <v>0.96</v>
      </c>
    </row>
    <row r="261" spans="1:36" ht="14.25" customHeight="1">
      <c r="A261" s="133" t="s">
        <v>2383</v>
      </c>
      <c r="B261" s="121">
        <f t="shared" si="34"/>
        <v>29.889999999999997</v>
      </c>
      <c r="C261" s="7" t="s">
        <v>1998</v>
      </c>
      <c r="N261" s="183">
        <f>10</f>
        <v>10</v>
      </c>
      <c r="O261" s="7">
        <v>0.96</v>
      </c>
    </row>
    <row r="262" spans="1:36" ht="14.25" customHeight="1">
      <c r="A262" s="133" t="s">
        <v>2384</v>
      </c>
      <c r="B262" s="121">
        <f t="shared" si="34"/>
        <v>29.889999999999997</v>
      </c>
      <c r="C262" s="131" t="s">
        <v>3312</v>
      </c>
      <c r="N262" s="183">
        <f>10</f>
        <v>10</v>
      </c>
      <c r="O262" s="7">
        <v>0.96</v>
      </c>
    </row>
    <row r="263" spans="1:36" ht="14.25" customHeight="1">
      <c r="A263" s="133" t="s">
        <v>2385</v>
      </c>
      <c r="B263" s="121">
        <f t="shared" ref="B263:B273" si="35">332.7/10</f>
        <v>33.269999999999996</v>
      </c>
      <c r="C263" s="211" t="s">
        <v>1999</v>
      </c>
      <c r="N263" s="183">
        <f>10</f>
        <v>10</v>
      </c>
      <c r="O263" s="7">
        <v>1.2</v>
      </c>
      <c r="AJ263" s="211" t="s">
        <v>1999</v>
      </c>
    </row>
    <row r="264" spans="1:36" ht="14.25" customHeight="1">
      <c r="A264" s="133" t="s">
        <v>2386</v>
      </c>
      <c r="B264" s="121">
        <f t="shared" si="35"/>
        <v>33.269999999999996</v>
      </c>
      <c r="C264" s="7" t="s">
        <v>2000</v>
      </c>
      <c r="N264" s="183">
        <f>10</f>
        <v>10</v>
      </c>
      <c r="O264" s="7">
        <v>1.2</v>
      </c>
    </row>
    <row r="265" spans="1:36" ht="14.25" customHeight="1">
      <c r="A265" s="133" t="s">
        <v>2387</v>
      </c>
      <c r="B265" s="121">
        <f t="shared" si="35"/>
        <v>33.269999999999996</v>
      </c>
      <c r="C265" s="7" t="s">
        <v>5756</v>
      </c>
      <c r="N265" s="183">
        <f>10</f>
        <v>10</v>
      </c>
      <c r="O265" s="7">
        <v>1.2</v>
      </c>
    </row>
    <row r="266" spans="1:36" ht="14.25" customHeight="1">
      <c r="A266" s="133" t="s">
        <v>2388</v>
      </c>
      <c r="B266" s="121">
        <f t="shared" si="35"/>
        <v>33.269999999999996</v>
      </c>
      <c r="C266" s="7" t="s">
        <v>2002</v>
      </c>
      <c r="N266" s="183">
        <f>10</f>
        <v>10</v>
      </c>
      <c r="O266" s="7">
        <v>1.2</v>
      </c>
    </row>
    <row r="267" spans="1:36" ht="14.25" customHeight="1">
      <c r="A267" s="133" t="s">
        <v>2389</v>
      </c>
      <c r="B267" s="121">
        <f t="shared" si="35"/>
        <v>33.269999999999996</v>
      </c>
      <c r="C267" s="131" t="s">
        <v>3307</v>
      </c>
      <c r="N267" s="183">
        <f>10</f>
        <v>10</v>
      </c>
      <c r="O267" s="7">
        <v>1.2</v>
      </c>
    </row>
    <row r="268" spans="1:36" ht="14.25" customHeight="1">
      <c r="A268" s="133" t="s">
        <v>2390</v>
      </c>
      <c r="B268" s="121">
        <f t="shared" si="35"/>
        <v>33.269999999999996</v>
      </c>
      <c r="C268" s="7" t="s">
        <v>5757</v>
      </c>
      <c r="N268" s="183">
        <f>10</f>
        <v>10</v>
      </c>
      <c r="O268" s="7">
        <v>1.2</v>
      </c>
    </row>
    <row r="269" spans="1:36" ht="14.25" customHeight="1">
      <c r="A269" s="133" t="s">
        <v>2391</v>
      </c>
      <c r="B269" s="121">
        <f t="shared" si="35"/>
        <v>33.269999999999996</v>
      </c>
      <c r="C269" s="7" t="s">
        <v>5758</v>
      </c>
      <c r="N269" s="183">
        <f>10</f>
        <v>10</v>
      </c>
      <c r="O269" s="7">
        <v>1.2</v>
      </c>
    </row>
    <row r="270" spans="1:36" ht="14.25" customHeight="1">
      <c r="A270" s="133" t="s">
        <v>2392</v>
      </c>
      <c r="B270" s="121">
        <f t="shared" si="35"/>
        <v>33.269999999999996</v>
      </c>
      <c r="C270" s="7" t="s">
        <v>5759</v>
      </c>
      <c r="N270" s="183">
        <f>10</f>
        <v>10</v>
      </c>
      <c r="O270" s="7">
        <v>1.2</v>
      </c>
    </row>
    <row r="271" spans="1:36" ht="14.25" customHeight="1">
      <c r="A271" s="133" t="s">
        <v>2393</v>
      </c>
      <c r="B271" s="121">
        <f t="shared" si="35"/>
        <v>33.269999999999996</v>
      </c>
      <c r="C271" s="7" t="s">
        <v>5760</v>
      </c>
      <c r="N271" s="183">
        <f>10</f>
        <v>10</v>
      </c>
      <c r="O271" s="7">
        <v>1.2</v>
      </c>
    </row>
    <row r="272" spans="1:36" ht="14.25" customHeight="1">
      <c r="A272" s="133" t="s">
        <v>2394</v>
      </c>
      <c r="B272" s="121">
        <f t="shared" si="35"/>
        <v>33.269999999999996</v>
      </c>
      <c r="C272" s="7" t="s">
        <v>2007</v>
      </c>
      <c r="N272" s="183">
        <f>10</f>
        <v>10</v>
      </c>
      <c r="O272" s="7">
        <v>1.2</v>
      </c>
    </row>
    <row r="273" spans="1:42" ht="14.25" customHeight="1">
      <c r="A273" s="133" t="s">
        <v>2395</v>
      </c>
      <c r="B273" s="121">
        <f t="shared" si="35"/>
        <v>33.269999999999996</v>
      </c>
      <c r="C273" s="131" t="s">
        <v>3313</v>
      </c>
      <c r="N273" s="183">
        <f>10</f>
        <v>10</v>
      </c>
      <c r="O273" s="7">
        <v>1.2</v>
      </c>
    </row>
    <row r="274" spans="1:42" ht="14.25" customHeight="1">
      <c r="A274" s="133" t="s">
        <v>2396</v>
      </c>
      <c r="B274" s="121">
        <f t="shared" ref="B274:B284" si="36">363.3/5</f>
        <v>72.66</v>
      </c>
      <c r="C274" s="211" t="s">
        <v>2008</v>
      </c>
      <c r="N274" s="183">
        <f>5</f>
        <v>5</v>
      </c>
      <c r="O274" s="7">
        <v>2.4</v>
      </c>
      <c r="AJ274" s="211" t="s">
        <v>2008</v>
      </c>
    </row>
    <row r="275" spans="1:42" ht="14.25" customHeight="1">
      <c r="A275" s="133" t="s">
        <v>2397</v>
      </c>
      <c r="B275" s="121">
        <f t="shared" si="36"/>
        <v>72.66</v>
      </c>
      <c r="C275" s="7" t="s">
        <v>2009</v>
      </c>
      <c r="N275" s="183">
        <f>5</f>
        <v>5</v>
      </c>
      <c r="O275" s="7">
        <v>2.4</v>
      </c>
    </row>
    <row r="276" spans="1:42" ht="14.25" customHeight="1">
      <c r="A276" s="133" t="s">
        <v>2398</v>
      </c>
      <c r="B276" s="121">
        <f t="shared" si="36"/>
        <v>72.66</v>
      </c>
      <c r="C276" s="7" t="s">
        <v>5761</v>
      </c>
      <c r="N276" s="183">
        <f>5</f>
        <v>5</v>
      </c>
      <c r="O276" s="7">
        <v>2.4</v>
      </c>
    </row>
    <row r="277" spans="1:42" ht="14.25" customHeight="1">
      <c r="A277" s="133" t="s">
        <v>2399</v>
      </c>
      <c r="B277" s="121">
        <f t="shared" si="36"/>
        <v>72.66</v>
      </c>
      <c r="C277" s="7" t="s">
        <v>2011</v>
      </c>
      <c r="N277" s="183">
        <f>5</f>
        <v>5</v>
      </c>
      <c r="O277" s="7">
        <v>2.4</v>
      </c>
    </row>
    <row r="278" spans="1:42" ht="14.25" customHeight="1">
      <c r="A278" s="133" t="s">
        <v>2400</v>
      </c>
      <c r="B278" s="121">
        <f t="shared" si="36"/>
        <v>72.66</v>
      </c>
      <c r="C278" s="131" t="s">
        <v>3308</v>
      </c>
      <c r="N278" s="183">
        <f>5</f>
        <v>5</v>
      </c>
      <c r="O278" s="7">
        <v>2.4</v>
      </c>
    </row>
    <row r="279" spans="1:42" ht="14.25" customHeight="1">
      <c r="A279" s="133" t="s">
        <v>2401</v>
      </c>
      <c r="B279" s="121">
        <f t="shared" si="36"/>
        <v>72.66</v>
      </c>
      <c r="C279" s="7" t="s">
        <v>5762</v>
      </c>
      <c r="N279" s="183">
        <f>5</f>
        <v>5</v>
      </c>
      <c r="O279" s="7">
        <v>2.4</v>
      </c>
      <c r="AP279" s="4"/>
    </row>
    <row r="280" spans="1:42" ht="14.25" customHeight="1">
      <c r="A280" s="133" t="s">
        <v>2402</v>
      </c>
      <c r="B280" s="121">
        <f t="shared" si="36"/>
        <v>72.66</v>
      </c>
      <c r="C280" s="7" t="s">
        <v>5763</v>
      </c>
      <c r="N280" s="183">
        <f>5</f>
        <v>5</v>
      </c>
      <c r="O280" s="7">
        <v>2.4</v>
      </c>
    </row>
    <row r="281" spans="1:42" ht="14.25" customHeight="1">
      <c r="A281" s="133" t="s">
        <v>2403</v>
      </c>
      <c r="B281" s="121">
        <f t="shared" si="36"/>
        <v>72.66</v>
      </c>
      <c r="C281" s="7" t="s">
        <v>5764</v>
      </c>
      <c r="N281" s="183">
        <f>5</f>
        <v>5</v>
      </c>
      <c r="O281" s="7">
        <v>2.4</v>
      </c>
    </row>
    <row r="282" spans="1:42" ht="14.25" customHeight="1">
      <c r="A282" s="133" t="s">
        <v>2404</v>
      </c>
      <c r="B282" s="121">
        <f t="shared" si="36"/>
        <v>72.66</v>
      </c>
      <c r="C282" s="7" t="s">
        <v>5765</v>
      </c>
      <c r="N282" s="183">
        <f>5</f>
        <v>5</v>
      </c>
      <c r="O282" s="7">
        <v>2.4</v>
      </c>
    </row>
    <row r="283" spans="1:42" ht="14.25" customHeight="1">
      <c r="A283" s="133" t="s">
        <v>2405</v>
      </c>
      <c r="B283" s="121">
        <f t="shared" si="36"/>
        <v>72.66</v>
      </c>
      <c r="C283" s="7" t="s">
        <v>2016</v>
      </c>
      <c r="N283" s="183">
        <f>5</f>
        <v>5</v>
      </c>
      <c r="O283" s="7">
        <v>2.4</v>
      </c>
    </row>
    <row r="284" spans="1:42" ht="14.25" customHeight="1">
      <c r="A284" s="133" t="s">
        <v>2406</v>
      </c>
      <c r="B284" s="121">
        <f t="shared" si="36"/>
        <v>72.66</v>
      </c>
      <c r="C284" s="131" t="s">
        <v>3314</v>
      </c>
      <c r="N284" s="183">
        <f>5</f>
        <v>5</v>
      </c>
      <c r="O284" s="7">
        <v>2.4</v>
      </c>
    </row>
    <row r="285" spans="1:42" ht="14.25" customHeight="1">
      <c r="A285" s="125" t="s">
        <v>3008</v>
      </c>
      <c r="B285" s="9">
        <v>13</v>
      </c>
      <c r="C285" s="211" t="s">
        <v>5766</v>
      </c>
      <c r="D285" s="184"/>
      <c r="E285" s="184"/>
      <c r="H285" s="184"/>
      <c r="I285" s="184"/>
      <c r="L285" s="3"/>
      <c r="M285" s="3"/>
      <c r="N285" s="184">
        <v>3</v>
      </c>
      <c r="O285" s="6">
        <v>2.2000000000000002</v>
      </c>
      <c r="P285" s="222"/>
      <c r="Q285" s="222"/>
      <c r="AJ285" s="211" t="s">
        <v>5766</v>
      </c>
      <c r="AP285" s="4"/>
    </row>
    <row r="286" spans="1:42" ht="14.25" customHeight="1">
      <c r="A286" s="125" t="s">
        <v>3009</v>
      </c>
      <c r="B286" s="9">
        <v>13</v>
      </c>
      <c r="C286" s="1" t="s">
        <v>5767</v>
      </c>
      <c r="D286" s="184"/>
      <c r="E286" s="184"/>
      <c r="H286" s="184"/>
      <c r="I286" s="184"/>
      <c r="L286" s="3"/>
      <c r="M286" s="3"/>
      <c r="N286" s="184">
        <v>3</v>
      </c>
      <c r="O286" s="6">
        <v>2.2000000000000002</v>
      </c>
      <c r="P286" s="222"/>
      <c r="Q286" s="222"/>
    </row>
    <row r="287" spans="1:42" ht="14.25" customHeight="1">
      <c r="A287" s="125" t="s">
        <v>3010</v>
      </c>
      <c r="B287" s="9">
        <v>13</v>
      </c>
      <c r="C287" s="1" t="s">
        <v>5768</v>
      </c>
      <c r="D287" s="184"/>
      <c r="E287" s="184"/>
      <c r="H287" s="184"/>
      <c r="I287" s="184"/>
      <c r="L287" s="3"/>
      <c r="M287" s="3"/>
      <c r="N287" s="184">
        <v>3</v>
      </c>
      <c r="O287" s="6">
        <v>2.2000000000000002</v>
      </c>
      <c r="P287" s="222"/>
      <c r="Q287" s="222"/>
    </row>
    <row r="288" spans="1:42" ht="14.25" customHeight="1">
      <c r="A288" s="125" t="s">
        <v>3011</v>
      </c>
      <c r="B288" s="9">
        <v>13</v>
      </c>
      <c r="C288" s="1" t="s">
        <v>5769</v>
      </c>
      <c r="D288" s="184"/>
      <c r="E288" s="184"/>
      <c r="H288" s="184"/>
      <c r="I288" s="184"/>
      <c r="L288" s="3"/>
      <c r="M288" s="3"/>
      <c r="N288" s="184">
        <v>3</v>
      </c>
      <c r="O288" s="6">
        <v>2.2000000000000002</v>
      </c>
      <c r="P288" s="222"/>
      <c r="Q288" s="222"/>
    </row>
    <row r="289" spans="1:42" ht="14.25" customHeight="1">
      <c r="A289" s="125" t="s">
        <v>3012</v>
      </c>
      <c r="B289" s="9">
        <v>13</v>
      </c>
      <c r="C289" s="1" t="s">
        <v>5770</v>
      </c>
      <c r="D289" s="184"/>
      <c r="E289" s="184"/>
      <c r="H289" s="184"/>
      <c r="I289" s="184"/>
      <c r="L289" s="3"/>
      <c r="M289" s="3"/>
      <c r="N289" s="184">
        <v>3</v>
      </c>
      <c r="O289" s="6">
        <v>2.2000000000000002</v>
      </c>
      <c r="P289" s="222"/>
      <c r="Q289" s="222"/>
    </row>
    <row r="290" spans="1:42" ht="14.25" customHeight="1">
      <c r="A290" s="125" t="s">
        <v>3013</v>
      </c>
      <c r="B290" s="9">
        <v>13</v>
      </c>
      <c r="C290" s="211" t="s">
        <v>5771</v>
      </c>
      <c r="D290" s="184"/>
      <c r="E290" s="184"/>
      <c r="H290" s="184"/>
      <c r="I290" s="184"/>
      <c r="L290" s="3"/>
      <c r="M290" s="3"/>
      <c r="N290" s="184">
        <v>3</v>
      </c>
      <c r="O290" s="6">
        <v>2.2000000000000002</v>
      </c>
      <c r="P290" s="222"/>
      <c r="Q290" s="222"/>
      <c r="AJ290" s="211" t="s">
        <v>5771</v>
      </c>
    </row>
    <row r="291" spans="1:42" ht="14.25" customHeight="1">
      <c r="A291" s="125" t="s">
        <v>3014</v>
      </c>
      <c r="B291" s="9">
        <v>13</v>
      </c>
      <c r="C291" s="1" t="s">
        <v>5772</v>
      </c>
      <c r="D291" s="184"/>
      <c r="E291" s="184"/>
      <c r="H291" s="184"/>
      <c r="I291" s="184"/>
      <c r="L291" s="3"/>
      <c r="M291" s="3"/>
      <c r="N291" s="184">
        <v>3</v>
      </c>
      <c r="O291" s="6">
        <v>2.2000000000000002</v>
      </c>
      <c r="P291" s="222"/>
      <c r="Q291" s="222"/>
    </row>
    <row r="292" spans="1:42" ht="14.25" customHeight="1">
      <c r="A292" s="125" t="s">
        <v>3015</v>
      </c>
      <c r="B292" s="9">
        <v>13</v>
      </c>
      <c r="C292" s="1" t="s">
        <v>5773</v>
      </c>
      <c r="D292" s="184"/>
      <c r="E292" s="184"/>
      <c r="H292" s="184"/>
      <c r="I292" s="184"/>
      <c r="L292" s="3"/>
      <c r="M292" s="3"/>
      <c r="N292" s="184">
        <v>3</v>
      </c>
      <c r="O292" s="6">
        <v>2.2000000000000002</v>
      </c>
      <c r="P292" s="222"/>
      <c r="Q292" s="222"/>
    </row>
    <row r="293" spans="1:42" ht="14.25" customHeight="1">
      <c r="A293" s="125" t="s">
        <v>3016</v>
      </c>
      <c r="B293" s="9">
        <v>13</v>
      </c>
      <c r="C293" s="1" t="s">
        <v>5774</v>
      </c>
      <c r="D293" s="184"/>
      <c r="E293" s="184"/>
      <c r="H293" s="184"/>
      <c r="I293" s="184"/>
      <c r="L293" s="3"/>
      <c r="M293" s="3"/>
      <c r="N293" s="184">
        <v>3</v>
      </c>
      <c r="O293" s="6">
        <v>2.2000000000000002</v>
      </c>
      <c r="P293" s="222"/>
      <c r="Q293" s="222"/>
    </row>
    <row r="294" spans="1:42" ht="14.25" customHeight="1">
      <c r="A294" s="125" t="s">
        <v>3017</v>
      </c>
      <c r="B294" s="9">
        <v>13</v>
      </c>
      <c r="C294" s="1" t="s">
        <v>5775</v>
      </c>
      <c r="D294" s="184"/>
      <c r="E294" s="184"/>
      <c r="H294" s="184"/>
      <c r="I294" s="184"/>
      <c r="L294" s="3"/>
      <c r="M294" s="3"/>
      <c r="N294" s="184">
        <v>3</v>
      </c>
      <c r="O294" s="6">
        <v>2.2000000000000002</v>
      </c>
      <c r="P294" s="222"/>
      <c r="Q294" s="222"/>
    </row>
    <row r="295" spans="1:42" ht="14.25" customHeight="1">
      <c r="A295" s="125" t="s">
        <v>3018</v>
      </c>
      <c r="B295" s="9">
        <v>13</v>
      </c>
      <c r="C295" s="134" t="s">
        <v>5776</v>
      </c>
      <c r="D295" s="184"/>
      <c r="E295" s="184"/>
      <c r="H295" s="184"/>
      <c r="I295" s="184"/>
      <c r="L295" s="3"/>
      <c r="M295" s="3"/>
      <c r="N295" s="184">
        <v>3</v>
      </c>
      <c r="O295" s="6">
        <v>2.2000000000000002</v>
      </c>
      <c r="P295" s="222"/>
      <c r="Q295" s="222"/>
    </row>
    <row r="296" spans="1:42" ht="14.25" customHeight="1">
      <c r="A296" s="125" t="s">
        <v>3019</v>
      </c>
      <c r="B296" s="9">
        <v>13</v>
      </c>
      <c r="C296" s="1" t="s">
        <v>5777</v>
      </c>
      <c r="D296" s="184"/>
      <c r="E296" s="184"/>
      <c r="H296" s="184"/>
      <c r="I296" s="184"/>
      <c r="L296" s="3"/>
      <c r="M296" s="3"/>
      <c r="N296" s="184">
        <v>3</v>
      </c>
      <c r="O296" s="6">
        <v>2.2000000000000002</v>
      </c>
      <c r="P296" s="222"/>
      <c r="Q296" s="222"/>
    </row>
    <row r="297" spans="1:42" ht="14.25" customHeight="1">
      <c r="A297" s="125" t="s">
        <v>3020</v>
      </c>
      <c r="B297" s="9">
        <v>13</v>
      </c>
      <c r="C297" s="1" t="s">
        <v>5778</v>
      </c>
      <c r="D297" s="184"/>
      <c r="E297" s="184"/>
      <c r="H297" s="184"/>
      <c r="I297" s="184"/>
      <c r="L297" s="3"/>
      <c r="M297" s="3"/>
      <c r="N297" s="184">
        <v>3</v>
      </c>
      <c r="O297" s="6">
        <v>2.2000000000000002</v>
      </c>
      <c r="P297" s="222"/>
      <c r="Q297" s="222"/>
    </row>
    <row r="298" spans="1:42" ht="14.25" customHeight="1">
      <c r="A298" s="125" t="s">
        <v>3021</v>
      </c>
      <c r="B298" s="9">
        <v>13</v>
      </c>
      <c r="C298" s="1" t="s">
        <v>5779</v>
      </c>
      <c r="D298" s="184"/>
      <c r="E298" s="184"/>
      <c r="H298" s="184"/>
      <c r="I298" s="184"/>
      <c r="L298" s="3"/>
      <c r="M298" s="3"/>
      <c r="N298" s="184">
        <v>3</v>
      </c>
      <c r="O298" s="6">
        <v>2.2000000000000002</v>
      </c>
      <c r="P298" s="222"/>
      <c r="Q298" s="222"/>
    </row>
    <row r="299" spans="1:42" ht="14.25" customHeight="1">
      <c r="A299" s="125" t="s">
        <v>3022</v>
      </c>
      <c r="B299" s="9">
        <v>13</v>
      </c>
      <c r="C299" s="1" t="s">
        <v>5780</v>
      </c>
      <c r="D299" s="184"/>
      <c r="E299" s="184"/>
      <c r="H299" s="184"/>
      <c r="I299" s="184"/>
      <c r="L299" s="3"/>
      <c r="M299" s="3"/>
      <c r="N299" s="184">
        <v>3</v>
      </c>
      <c r="O299" s="6">
        <v>2.2000000000000002</v>
      </c>
      <c r="P299" s="222"/>
      <c r="Q299" s="222"/>
    </row>
    <row r="300" spans="1:42" ht="14.25" customHeight="1">
      <c r="A300" s="125" t="s">
        <v>3023</v>
      </c>
      <c r="B300" s="9">
        <v>13</v>
      </c>
      <c r="C300" s="1" t="s">
        <v>5781</v>
      </c>
      <c r="D300" s="184"/>
      <c r="E300" s="184"/>
      <c r="H300" s="184"/>
      <c r="I300" s="184"/>
      <c r="L300" s="3"/>
      <c r="M300" s="3"/>
      <c r="N300" s="184">
        <v>3</v>
      </c>
      <c r="O300" s="6">
        <v>2.2000000000000002</v>
      </c>
      <c r="P300" s="222"/>
      <c r="Q300" s="222"/>
    </row>
    <row r="301" spans="1:42" ht="14.25" customHeight="1">
      <c r="A301" s="125" t="s">
        <v>3024</v>
      </c>
      <c r="B301" s="9">
        <v>13</v>
      </c>
      <c r="C301" s="211" t="s">
        <v>5782</v>
      </c>
      <c r="D301" s="184"/>
      <c r="E301" s="184"/>
      <c r="H301" s="184"/>
      <c r="I301" s="184"/>
      <c r="L301" s="3"/>
      <c r="M301" s="3"/>
      <c r="N301" s="184">
        <v>3</v>
      </c>
      <c r="O301" s="6">
        <v>2.2000000000000002</v>
      </c>
      <c r="P301" s="222"/>
      <c r="Q301" s="222"/>
      <c r="AJ301" s="211" t="s">
        <v>5782</v>
      </c>
      <c r="AP301" s="4"/>
    </row>
    <row r="302" spans="1:42" ht="14.25" customHeight="1">
      <c r="A302" s="125" t="s">
        <v>3025</v>
      </c>
      <c r="B302" s="9">
        <v>13</v>
      </c>
      <c r="C302" s="1" t="s">
        <v>5783</v>
      </c>
      <c r="D302" s="184"/>
      <c r="E302" s="184"/>
      <c r="H302" s="184"/>
      <c r="I302" s="184"/>
      <c r="L302" s="3"/>
      <c r="M302" s="3"/>
      <c r="N302" s="184">
        <v>3</v>
      </c>
      <c r="O302" s="6">
        <v>2.2000000000000002</v>
      </c>
      <c r="P302" s="222"/>
      <c r="Q302" s="222"/>
    </row>
    <row r="303" spans="1:42" ht="14.25" customHeight="1">
      <c r="A303" s="125" t="s">
        <v>3026</v>
      </c>
      <c r="B303" s="9">
        <v>13</v>
      </c>
      <c r="C303" s="1" t="s">
        <v>5784</v>
      </c>
      <c r="D303" s="184"/>
      <c r="E303" s="184"/>
      <c r="H303" s="184"/>
      <c r="I303" s="184"/>
      <c r="L303" s="3"/>
      <c r="M303" s="3"/>
      <c r="N303" s="184">
        <v>3</v>
      </c>
      <c r="O303" s="6">
        <v>2.2000000000000002</v>
      </c>
      <c r="P303" s="222"/>
      <c r="Q303" s="222"/>
    </row>
    <row r="304" spans="1:42" s="4" customFormat="1" ht="14.25" customHeight="1">
      <c r="A304" s="125" t="s">
        <v>3027</v>
      </c>
      <c r="B304" s="9">
        <v>13</v>
      </c>
      <c r="C304" s="1" t="s">
        <v>5785</v>
      </c>
      <c r="D304" s="184"/>
      <c r="E304" s="184"/>
      <c r="F304" s="188"/>
      <c r="G304" s="188"/>
      <c r="H304" s="184"/>
      <c r="I304" s="184"/>
      <c r="J304" s="188"/>
      <c r="K304" s="188"/>
      <c r="L304" s="3"/>
      <c r="M304" s="3"/>
      <c r="N304" s="184">
        <v>3</v>
      </c>
      <c r="O304" s="6">
        <v>2.2000000000000002</v>
      </c>
      <c r="P304" s="222"/>
      <c r="Q304" s="222"/>
      <c r="R304" s="7"/>
      <c r="S304" s="126"/>
      <c r="T304" s="126"/>
      <c r="U304" s="237"/>
      <c r="V304" s="103"/>
      <c r="W304" s="9"/>
      <c r="X304" s="9"/>
      <c r="Y304" s="9"/>
      <c r="Z304" s="9"/>
      <c r="AA304" s="126"/>
      <c r="AB304" s="9"/>
      <c r="AC304" s="9"/>
      <c r="AD304" s="9"/>
      <c r="AE304" s="9"/>
      <c r="AF304" s="9"/>
      <c r="AG304" s="9"/>
      <c r="AH304" s="9"/>
      <c r="AI304" s="9"/>
      <c r="AJ304" s="7"/>
      <c r="AK304" s="7"/>
      <c r="AL304" s="7"/>
      <c r="AM304" s="7"/>
      <c r="AN304" s="7"/>
      <c r="AO304" s="7"/>
      <c r="AP304" s="7"/>
    </row>
    <row r="305" spans="1:42" ht="14.25" customHeight="1">
      <c r="A305" s="125" t="s">
        <v>3028</v>
      </c>
      <c r="B305" s="9">
        <v>13</v>
      </c>
      <c r="C305" s="1" t="s">
        <v>5786</v>
      </c>
      <c r="D305" s="184"/>
      <c r="E305" s="184"/>
      <c r="H305" s="184"/>
      <c r="I305" s="184"/>
      <c r="L305" s="3"/>
      <c r="M305" s="3"/>
      <c r="N305" s="184">
        <v>3</v>
      </c>
      <c r="O305" s="6">
        <v>2.2000000000000002</v>
      </c>
      <c r="P305" s="222"/>
      <c r="Q305" s="222"/>
    </row>
    <row r="306" spans="1:42" ht="14.25" customHeight="1">
      <c r="A306" s="125" t="s">
        <v>3029</v>
      </c>
      <c r="B306" s="9">
        <v>13</v>
      </c>
      <c r="C306" s="1" t="s">
        <v>5787</v>
      </c>
      <c r="D306" s="184"/>
      <c r="E306" s="184"/>
      <c r="H306" s="184"/>
      <c r="I306" s="184"/>
      <c r="L306" s="3"/>
      <c r="M306" s="3"/>
      <c r="N306" s="184">
        <v>3</v>
      </c>
      <c r="O306" s="6">
        <v>2.2000000000000002</v>
      </c>
      <c r="P306" s="222"/>
      <c r="Q306" s="222"/>
      <c r="AP306" s="4"/>
    </row>
    <row r="307" spans="1:42" ht="14.25" customHeight="1">
      <c r="A307" s="117" t="s">
        <v>2407</v>
      </c>
      <c r="B307" s="121">
        <f t="shared" ref="B307:B325" si="37">305.7/10</f>
        <v>30.57</v>
      </c>
      <c r="C307" s="211" t="s">
        <v>1238</v>
      </c>
      <c r="N307" s="183">
        <v>10</v>
      </c>
      <c r="O307" s="7">
        <v>0.72</v>
      </c>
      <c r="AJ307" s="211" t="s">
        <v>1238</v>
      </c>
    </row>
    <row r="308" spans="1:42" ht="14.25" customHeight="1">
      <c r="A308" s="117" t="s">
        <v>2408</v>
      </c>
      <c r="B308" s="121">
        <f t="shared" si="37"/>
        <v>30.57</v>
      </c>
      <c r="C308" s="7" t="s">
        <v>1239</v>
      </c>
      <c r="N308" s="183">
        <v>10</v>
      </c>
      <c r="O308" s="7">
        <v>0.72</v>
      </c>
    </row>
    <row r="309" spans="1:42" ht="14.25" customHeight="1">
      <c r="A309" s="117" t="s">
        <v>2409</v>
      </c>
      <c r="B309" s="121">
        <f t="shared" si="37"/>
        <v>30.57</v>
      </c>
      <c r="C309" s="7" t="s">
        <v>1250</v>
      </c>
      <c r="N309" s="183">
        <v>10</v>
      </c>
      <c r="O309" s="7">
        <v>0.72</v>
      </c>
    </row>
    <row r="310" spans="1:42" s="4" customFormat="1" ht="14.25" customHeight="1">
      <c r="A310" s="117" t="s">
        <v>2410</v>
      </c>
      <c r="B310" s="121">
        <f t="shared" si="37"/>
        <v>30.57</v>
      </c>
      <c r="C310" s="7" t="s">
        <v>1243</v>
      </c>
      <c r="D310" s="183"/>
      <c r="E310" s="183"/>
      <c r="F310" s="188"/>
      <c r="G310" s="188"/>
      <c r="H310" s="183"/>
      <c r="I310" s="183"/>
      <c r="J310" s="188"/>
      <c r="K310" s="188"/>
      <c r="L310" s="9"/>
      <c r="M310" s="9"/>
      <c r="N310" s="183">
        <v>10</v>
      </c>
      <c r="O310" s="7">
        <v>0.72</v>
      </c>
      <c r="P310" s="9"/>
      <c r="Q310" s="9"/>
      <c r="R310" s="7"/>
      <c r="S310" s="126"/>
      <c r="T310" s="126"/>
      <c r="U310" s="237"/>
      <c r="V310" s="103"/>
      <c r="W310" s="9"/>
      <c r="X310" s="9"/>
      <c r="Y310" s="9"/>
      <c r="Z310" s="9"/>
      <c r="AA310" s="126"/>
      <c r="AB310" s="9"/>
      <c r="AC310" s="9"/>
      <c r="AD310" s="9"/>
      <c r="AE310" s="9"/>
      <c r="AF310" s="9"/>
      <c r="AG310" s="9"/>
      <c r="AH310" s="9"/>
      <c r="AI310" s="9"/>
      <c r="AJ310" s="7"/>
      <c r="AK310" s="7"/>
      <c r="AL310" s="7"/>
      <c r="AM310" s="7"/>
      <c r="AN310" s="7"/>
      <c r="AO310" s="7"/>
      <c r="AP310" s="7"/>
    </row>
    <row r="311" spans="1:42" ht="14.25" customHeight="1">
      <c r="A311" s="117" t="s">
        <v>2411</v>
      </c>
      <c r="B311" s="121">
        <f t="shared" si="37"/>
        <v>30.57</v>
      </c>
      <c r="C311" s="7" t="s">
        <v>1246</v>
      </c>
      <c r="N311" s="183">
        <v>10</v>
      </c>
      <c r="O311" s="7">
        <v>0.72</v>
      </c>
    </row>
    <row r="312" spans="1:42" ht="14.25" customHeight="1">
      <c r="A312" s="117" t="s">
        <v>2412</v>
      </c>
      <c r="B312" s="121">
        <f t="shared" si="37"/>
        <v>30.57</v>
      </c>
      <c r="C312" s="7" t="s">
        <v>1248</v>
      </c>
      <c r="N312" s="183">
        <v>5</v>
      </c>
      <c r="O312" s="7">
        <v>0.72</v>
      </c>
    </row>
    <row r="313" spans="1:42" ht="14.25" customHeight="1">
      <c r="A313" s="117" t="s">
        <v>2413</v>
      </c>
      <c r="B313" s="121">
        <f t="shared" si="37"/>
        <v>30.57</v>
      </c>
      <c r="C313" s="7" t="s">
        <v>1245</v>
      </c>
      <c r="N313" s="183">
        <v>10</v>
      </c>
      <c r="O313" s="7">
        <v>0.72</v>
      </c>
      <c r="AP313" s="4"/>
    </row>
    <row r="314" spans="1:42" ht="14.25" customHeight="1">
      <c r="A314" s="117" t="s">
        <v>2414</v>
      </c>
      <c r="B314" s="121">
        <f t="shared" si="37"/>
        <v>30.57</v>
      </c>
      <c r="C314" s="211" t="s">
        <v>1252</v>
      </c>
      <c r="N314" s="183">
        <v>10</v>
      </c>
      <c r="O314" s="7">
        <v>0.72</v>
      </c>
      <c r="AJ314" s="211" t="s">
        <v>1252</v>
      </c>
    </row>
    <row r="315" spans="1:42" ht="14.25" customHeight="1">
      <c r="A315" s="117" t="s">
        <v>2415</v>
      </c>
      <c r="B315" s="121">
        <f t="shared" si="37"/>
        <v>30.57</v>
      </c>
      <c r="C315" s="7" t="s">
        <v>1247</v>
      </c>
      <c r="N315" s="183">
        <v>10</v>
      </c>
      <c r="O315" s="7">
        <v>0.72</v>
      </c>
    </row>
    <row r="316" spans="1:42" ht="14.25" customHeight="1">
      <c r="A316" s="117" t="s">
        <v>2416</v>
      </c>
      <c r="B316" s="121">
        <f t="shared" si="37"/>
        <v>30.57</v>
      </c>
      <c r="C316" s="211" t="s">
        <v>1254</v>
      </c>
      <c r="N316" s="183">
        <v>5</v>
      </c>
      <c r="O316" s="7">
        <v>0.72</v>
      </c>
      <c r="AJ316" s="211" t="s">
        <v>1254</v>
      </c>
    </row>
    <row r="317" spans="1:42" ht="14.25" customHeight="1">
      <c r="A317" s="117" t="s">
        <v>2417</v>
      </c>
      <c r="B317" s="121">
        <f t="shared" si="37"/>
        <v>30.57</v>
      </c>
      <c r="C317" s="7" t="s">
        <v>1365</v>
      </c>
      <c r="N317" s="183">
        <v>5</v>
      </c>
      <c r="O317" s="7">
        <v>0.72</v>
      </c>
    </row>
    <row r="318" spans="1:42" ht="14.25" customHeight="1">
      <c r="A318" s="117" t="s">
        <v>2418</v>
      </c>
      <c r="B318" s="121">
        <f t="shared" si="37"/>
        <v>30.57</v>
      </c>
      <c r="C318" s="7" t="s">
        <v>1249</v>
      </c>
      <c r="N318" s="183">
        <v>3</v>
      </c>
      <c r="O318" s="7">
        <v>0.72</v>
      </c>
    </row>
    <row r="319" spans="1:42" ht="14.25" customHeight="1">
      <c r="A319" s="117" t="s">
        <v>2419</v>
      </c>
      <c r="B319" s="121">
        <f t="shared" si="37"/>
        <v>30.57</v>
      </c>
      <c r="C319" s="7" t="s">
        <v>1253</v>
      </c>
      <c r="N319" s="183">
        <v>3</v>
      </c>
      <c r="O319" s="7">
        <v>0.72</v>
      </c>
    </row>
    <row r="320" spans="1:42" ht="14.25" customHeight="1">
      <c r="A320" s="117" t="s">
        <v>2420</v>
      </c>
      <c r="B320" s="121">
        <f t="shared" si="37"/>
        <v>30.57</v>
      </c>
      <c r="C320" s="7" t="s">
        <v>1242</v>
      </c>
      <c r="N320" s="183">
        <v>3</v>
      </c>
      <c r="O320" s="7">
        <v>0.72</v>
      </c>
    </row>
    <row r="321" spans="1:42" ht="14.25" customHeight="1">
      <c r="A321" s="117" t="s">
        <v>2421</v>
      </c>
      <c r="B321" s="121">
        <f t="shared" si="37"/>
        <v>30.57</v>
      </c>
      <c r="C321" s="7" t="s">
        <v>1251</v>
      </c>
      <c r="N321" s="183">
        <v>3</v>
      </c>
      <c r="O321" s="7">
        <v>0.72</v>
      </c>
    </row>
    <row r="322" spans="1:42" ht="14.25" customHeight="1">
      <c r="A322" s="117" t="s">
        <v>2422</v>
      </c>
      <c r="B322" s="121">
        <f t="shared" si="37"/>
        <v>30.57</v>
      </c>
      <c r="C322" s="7" t="s">
        <v>1244</v>
      </c>
      <c r="N322" s="183">
        <v>5</v>
      </c>
      <c r="O322" s="7">
        <v>0.72</v>
      </c>
    </row>
    <row r="323" spans="1:42" ht="14.25" customHeight="1">
      <c r="A323" s="117" t="s">
        <v>2423</v>
      </c>
      <c r="B323" s="121">
        <f t="shared" si="37"/>
        <v>30.57</v>
      </c>
      <c r="C323" s="7" t="s">
        <v>1240</v>
      </c>
      <c r="N323" s="183">
        <v>5</v>
      </c>
      <c r="O323" s="7">
        <v>0.72</v>
      </c>
    </row>
    <row r="324" spans="1:42" ht="14.25" customHeight="1">
      <c r="A324" s="117" t="s">
        <v>2424</v>
      </c>
      <c r="B324" s="121">
        <f t="shared" si="37"/>
        <v>30.57</v>
      </c>
      <c r="C324" s="7" t="s">
        <v>1241</v>
      </c>
      <c r="N324" s="183">
        <v>5</v>
      </c>
      <c r="O324" s="7">
        <v>0.72</v>
      </c>
    </row>
    <row r="325" spans="1:42" ht="14.25" customHeight="1">
      <c r="A325" s="117" t="s">
        <v>2425</v>
      </c>
      <c r="B325" s="121">
        <f t="shared" si="37"/>
        <v>30.57</v>
      </c>
      <c r="C325" s="196" t="s">
        <v>6044</v>
      </c>
      <c r="N325" s="183">
        <v>5</v>
      </c>
      <c r="O325" s="7">
        <v>0.72</v>
      </c>
    </row>
    <row r="326" spans="1:42" s="4" customFormat="1" ht="14.25" customHeight="1">
      <c r="A326" s="125" t="s">
        <v>2497</v>
      </c>
      <c r="B326" s="9">
        <v>10</v>
      </c>
      <c r="C326" s="211" t="s">
        <v>1307</v>
      </c>
      <c r="D326" s="183"/>
      <c r="E326" s="183"/>
      <c r="F326" s="188"/>
      <c r="G326" s="188"/>
      <c r="H326" s="183"/>
      <c r="I326" s="183"/>
      <c r="J326" s="188"/>
      <c r="K326" s="188"/>
      <c r="L326" s="9"/>
      <c r="M326" s="9"/>
      <c r="N326" s="183">
        <v>3</v>
      </c>
      <c r="O326" s="7">
        <v>1</v>
      </c>
      <c r="P326" s="9"/>
      <c r="Q326" s="9"/>
      <c r="R326" s="7"/>
      <c r="S326" s="126"/>
      <c r="T326" s="126"/>
      <c r="U326" s="237"/>
      <c r="V326" s="103"/>
      <c r="W326" s="9"/>
      <c r="X326" s="9"/>
      <c r="Y326" s="9"/>
      <c r="Z326" s="9"/>
      <c r="AA326" s="126"/>
      <c r="AB326" s="9"/>
      <c r="AC326" s="9"/>
      <c r="AD326" s="9"/>
      <c r="AE326" s="9"/>
      <c r="AF326" s="9"/>
      <c r="AG326" s="9"/>
      <c r="AH326" s="9"/>
      <c r="AI326" s="9"/>
      <c r="AJ326" s="211" t="s">
        <v>1307</v>
      </c>
      <c r="AK326" s="7"/>
      <c r="AL326" s="7"/>
      <c r="AM326" s="7"/>
      <c r="AN326" s="7"/>
      <c r="AO326" s="7"/>
      <c r="AP326" s="7"/>
    </row>
    <row r="327" spans="1:42" ht="14.25" customHeight="1">
      <c r="A327" s="125" t="s">
        <v>2498</v>
      </c>
      <c r="B327" s="9">
        <v>10</v>
      </c>
      <c r="C327" s="7" t="s">
        <v>1311</v>
      </c>
      <c r="N327" s="183">
        <v>3</v>
      </c>
      <c r="O327" s="7">
        <v>1.2</v>
      </c>
    </row>
    <row r="328" spans="1:42" ht="14.25" customHeight="1">
      <c r="A328" s="125" t="s">
        <v>2499</v>
      </c>
      <c r="B328" s="9">
        <v>10</v>
      </c>
      <c r="C328" s="7" t="s">
        <v>1310</v>
      </c>
      <c r="N328" s="183">
        <v>3</v>
      </c>
      <c r="O328" s="7">
        <v>1.2</v>
      </c>
    </row>
    <row r="329" spans="1:42" ht="14.25" customHeight="1">
      <c r="A329" s="125" t="s">
        <v>2500</v>
      </c>
      <c r="B329" s="9">
        <v>10</v>
      </c>
      <c r="C329" s="7" t="s">
        <v>1309</v>
      </c>
      <c r="N329" s="183">
        <v>3</v>
      </c>
      <c r="O329" s="7">
        <v>1.2</v>
      </c>
    </row>
    <row r="330" spans="1:42" ht="14.25" customHeight="1">
      <c r="A330" s="125" t="s">
        <v>2501</v>
      </c>
      <c r="B330" s="9">
        <v>10</v>
      </c>
      <c r="C330" s="7" t="s">
        <v>5788</v>
      </c>
      <c r="N330" s="183">
        <v>3</v>
      </c>
      <c r="O330" s="7">
        <v>1.2</v>
      </c>
    </row>
    <row r="331" spans="1:42" s="4" customFormat="1" ht="14.25" customHeight="1">
      <c r="A331" s="125" t="s">
        <v>2502</v>
      </c>
      <c r="B331" s="9">
        <v>10</v>
      </c>
      <c r="C331" s="131" t="s">
        <v>3300</v>
      </c>
      <c r="D331" s="183"/>
      <c r="E331" s="183"/>
      <c r="F331" s="188"/>
      <c r="G331" s="188"/>
      <c r="H331" s="183"/>
      <c r="I331" s="183"/>
      <c r="J331" s="188"/>
      <c r="K331" s="188"/>
      <c r="L331" s="9"/>
      <c r="M331" s="9"/>
      <c r="N331" s="183">
        <v>3</v>
      </c>
      <c r="O331" s="7">
        <v>1.2</v>
      </c>
      <c r="P331" s="9"/>
      <c r="Q331" s="9"/>
      <c r="R331" s="7"/>
      <c r="S331" s="126"/>
      <c r="T331" s="126"/>
      <c r="U331" s="237"/>
      <c r="V331" s="103"/>
      <c r="W331" s="9"/>
      <c r="X331" s="9"/>
      <c r="Y331" s="9"/>
      <c r="Z331" s="9"/>
      <c r="AA331" s="126"/>
      <c r="AB331" s="9"/>
      <c r="AC331" s="9"/>
      <c r="AD331" s="9"/>
      <c r="AE331" s="9"/>
      <c r="AF331" s="9"/>
      <c r="AG331" s="9"/>
      <c r="AH331" s="9"/>
      <c r="AI331" s="9"/>
      <c r="AJ331" s="7"/>
      <c r="AK331" s="7"/>
      <c r="AL331" s="7"/>
      <c r="AM331" s="7"/>
      <c r="AN331" s="7"/>
      <c r="AO331" s="7"/>
      <c r="AP331" s="7"/>
    </row>
    <row r="332" spans="1:42" ht="14.25" customHeight="1">
      <c r="A332" s="125" t="s">
        <v>2503</v>
      </c>
      <c r="B332" s="9">
        <v>10</v>
      </c>
      <c r="C332" s="131" t="s">
        <v>3298</v>
      </c>
      <c r="N332" s="183">
        <v>3</v>
      </c>
      <c r="O332" s="7">
        <v>1.2</v>
      </c>
    </row>
    <row r="333" spans="1:42" ht="14.25" customHeight="1">
      <c r="A333" s="125" t="s">
        <v>2504</v>
      </c>
      <c r="B333" s="9">
        <v>10</v>
      </c>
      <c r="C333" s="131" t="s">
        <v>3296</v>
      </c>
      <c r="N333" s="183">
        <v>3</v>
      </c>
      <c r="O333" s="7">
        <v>1.2</v>
      </c>
    </row>
    <row r="334" spans="1:42" ht="14.25" customHeight="1">
      <c r="A334" s="125" t="s">
        <v>2505</v>
      </c>
      <c r="B334" s="9">
        <v>22</v>
      </c>
      <c r="C334" s="211" t="s">
        <v>1312</v>
      </c>
      <c r="N334" s="183">
        <v>3</v>
      </c>
      <c r="O334" s="7">
        <v>2</v>
      </c>
      <c r="AJ334" s="211" t="s">
        <v>1312</v>
      </c>
      <c r="AP334" s="4"/>
    </row>
    <row r="335" spans="1:42" ht="14.25" customHeight="1">
      <c r="A335" s="125" t="s">
        <v>2506</v>
      </c>
      <c r="B335" s="9">
        <v>22</v>
      </c>
      <c r="C335" s="7" t="s">
        <v>1313</v>
      </c>
      <c r="N335" s="183">
        <v>3</v>
      </c>
      <c r="O335" s="7">
        <v>2</v>
      </c>
    </row>
    <row r="336" spans="1:42" ht="14.25" customHeight="1">
      <c r="A336" s="125" t="s">
        <v>2507</v>
      </c>
      <c r="B336" s="9">
        <v>22</v>
      </c>
      <c r="C336" s="196" t="s">
        <v>6047</v>
      </c>
      <c r="N336" s="183">
        <v>3</v>
      </c>
      <c r="O336" s="7">
        <v>2</v>
      </c>
    </row>
    <row r="337" spans="1:42" ht="14.25" customHeight="1">
      <c r="A337" s="125" t="s">
        <v>2508</v>
      </c>
      <c r="B337" s="9">
        <v>22</v>
      </c>
      <c r="C337" s="7" t="s">
        <v>1314</v>
      </c>
      <c r="N337" s="183">
        <v>3</v>
      </c>
      <c r="O337" s="7">
        <v>2</v>
      </c>
    </row>
    <row r="338" spans="1:42" s="4" customFormat="1" ht="14.25" customHeight="1">
      <c r="A338" s="125" t="s">
        <v>2509</v>
      </c>
      <c r="B338" s="9">
        <v>22</v>
      </c>
      <c r="C338" s="7" t="s">
        <v>5789</v>
      </c>
      <c r="D338" s="183"/>
      <c r="E338" s="183"/>
      <c r="F338" s="188"/>
      <c r="G338" s="188"/>
      <c r="H338" s="183"/>
      <c r="I338" s="183"/>
      <c r="J338" s="188"/>
      <c r="K338" s="188"/>
      <c r="L338" s="9"/>
      <c r="M338" s="9"/>
      <c r="N338" s="183">
        <v>3</v>
      </c>
      <c r="O338" s="7">
        <v>2</v>
      </c>
      <c r="P338" s="9"/>
      <c r="Q338" s="9"/>
      <c r="R338" s="7"/>
      <c r="S338" s="126"/>
      <c r="T338" s="126"/>
      <c r="U338" s="237"/>
      <c r="V338" s="103"/>
      <c r="W338" s="9"/>
      <c r="X338" s="9"/>
      <c r="Y338" s="9"/>
      <c r="Z338" s="9"/>
      <c r="AA338" s="126"/>
      <c r="AB338" s="9"/>
      <c r="AC338" s="9"/>
      <c r="AD338" s="9"/>
      <c r="AE338" s="9"/>
      <c r="AF338" s="9"/>
      <c r="AG338" s="9"/>
      <c r="AH338" s="9"/>
      <c r="AI338" s="9"/>
      <c r="AJ338" s="7"/>
      <c r="AK338" s="7"/>
      <c r="AL338" s="7"/>
      <c r="AM338" s="7"/>
      <c r="AN338" s="7"/>
      <c r="AO338" s="7"/>
      <c r="AP338" s="7"/>
    </row>
    <row r="339" spans="1:42" ht="14.25" customHeight="1">
      <c r="A339" s="125" t="s">
        <v>2510</v>
      </c>
      <c r="B339" s="9">
        <v>22</v>
      </c>
      <c r="C339" s="131" t="s">
        <v>3297</v>
      </c>
      <c r="N339" s="183">
        <v>3</v>
      </c>
      <c r="O339" s="7">
        <v>2</v>
      </c>
    </row>
    <row r="340" spans="1:42" ht="14.25" customHeight="1">
      <c r="A340" s="125" t="s">
        <v>2511</v>
      </c>
      <c r="B340" s="9">
        <v>22</v>
      </c>
      <c r="C340" s="131" t="s">
        <v>3299</v>
      </c>
      <c r="N340" s="183">
        <v>3</v>
      </c>
      <c r="O340" s="7">
        <v>2</v>
      </c>
    </row>
    <row r="341" spans="1:42" ht="14.25" customHeight="1">
      <c r="A341" s="125" t="s">
        <v>2547</v>
      </c>
      <c r="B341" s="121">
        <f>11.6/3</f>
        <v>3.8666666666666667</v>
      </c>
      <c r="C341" s="211" t="s">
        <v>1534</v>
      </c>
      <c r="N341" s="183">
        <v>3</v>
      </c>
      <c r="O341" s="7">
        <v>0.15</v>
      </c>
      <c r="AJ341" s="211" t="s">
        <v>1534</v>
      </c>
    </row>
    <row r="342" spans="1:42" ht="14.25" customHeight="1">
      <c r="A342" s="125" t="s">
        <v>2548</v>
      </c>
      <c r="B342" s="121">
        <f>34.4/3</f>
        <v>11.466666666666667</v>
      </c>
      <c r="C342" s="7" t="s">
        <v>1535</v>
      </c>
      <c r="N342" s="183">
        <v>3</v>
      </c>
      <c r="O342" s="7">
        <v>0.45</v>
      </c>
    </row>
    <row r="343" spans="1:42" ht="14.25" customHeight="1">
      <c r="A343" s="125" t="s">
        <v>2549</v>
      </c>
      <c r="B343" s="121">
        <f>99.7/3</f>
        <v>33.233333333333334</v>
      </c>
      <c r="C343" s="7" t="s">
        <v>1536</v>
      </c>
      <c r="N343" s="183">
        <v>3</v>
      </c>
      <c r="O343" s="7">
        <v>0.9</v>
      </c>
    </row>
    <row r="344" spans="1:42" ht="14.25" customHeight="1">
      <c r="A344" s="125" t="s">
        <v>2550</v>
      </c>
      <c r="B344" s="121">
        <f>162.1/3</f>
        <v>54.033333333333331</v>
      </c>
      <c r="C344" s="7" t="s">
        <v>1537</v>
      </c>
      <c r="N344" s="183">
        <v>3</v>
      </c>
      <c r="O344" s="7">
        <v>1.5</v>
      </c>
      <c r="AP344" s="4"/>
    </row>
    <row r="345" spans="1:42" ht="14.25" customHeight="1">
      <c r="A345" s="125" t="s">
        <v>2551</v>
      </c>
      <c r="B345" s="121">
        <f>201.8/3</f>
        <v>67.266666666666666</v>
      </c>
      <c r="C345" s="7" t="s">
        <v>1538</v>
      </c>
      <c r="N345" s="183">
        <v>3</v>
      </c>
      <c r="O345" s="7">
        <v>1.88</v>
      </c>
    </row>
    <row r="346" spans="1:42" ht="14.25" customHeight="1">
      <c r="A346" s="125" t="s">
        <v>2552</v>
      </c>
      <c r="B346" s="121">
        <f>322/3</f>
        <v>107.33333333333333</v>
      </c>
      <c r="C346" s="7" t="s">
        <v>1539</v>
      </c>
      <c r="N346" s="183">
        <v>3</v>
      </c>
      <c r="O346" s="7">
        <v>3</v>
      </c>
    </row>
    <row r="347" spans="1:42" ht="14.25" customHeight="1">
      <c r="A347" s="125" t="s">
        <v>2553</v>
      </c>
      <c r="B347" s="121">
        <f>405.5/3</f>
        <v>135.16666666666666</v>
      </c>
      <c r="C347" s="7" t="s">
        <v>1533</v>
      </c>
      <c r="N347" s="183">
        <v>3</v>
      </c>
      <c r="O347" s="7">
        <v>3.75</v>
      </c>
    </row>
    <row r="348" spans="1:42" ht="14.25" customHeight="1">
      <c r="A348" s="125" t="s">
        <v>2554</v>
      </c>
      <c r="B348" s="121">
        <f>19.4/3</f>
        <v>6.4666666666666659</v>
      </c>
      <c r="C348" s="211" t="s">
        <v>1340</v>
      </c>
      <c r="N348" s="183">
        <v>3</v>
      </c>
      <c r="O348" s="7">
        <v>0.21</v>
      </c>
      <c r="AJ348" s="211" t="s">
        <v>1340</v>
      </c>
    </row>
    <row r="349" spans="1:42" ht="14.25" customHeight="1">
      <c r="A349" s="125" t="s">
        <v>2555</v>
      </c>
      <c r="B349" s="121">
        <f>62/3</f>
        <v>20.666666666666668</v>
      </c>
      <c r="C349" s="7" t="s">
        <v>1341</v>
      </c>
      <c r="N349" s="183">
        <v>3</v>
      </c>
      <c r="O349" s="7">
        <v>0.56999999999999995</v>
      </c>
    </row>
    <row r="350" spans="1:42" ht="14.25" customHeight="1">
      <c r="A350" s="125" t="s">
        <v>2556</v>
      </c>
      <c r="B350" s="121">
        <f>123.1/3</f>
        <v>41.033333333333331</v>
      </c>
      <c r="C350" s="7" t="s">
        <v>1342</v>
      </c>
      <c r="N350" s="183">
        <v>3</v>
      </c>
      <c r="O350" s="7">
        <v>1.1200000000000001</v>
      </c>
    </row>
    <row r="351" spans="1:42" ht="14.25" customHeight="1">
      <c r="A351" s="125" t="s">
        <v>2557</v>
      </c>
      <c r="B351" s="121">
        <f>205.4/3</f>
        <v>68.466666666666669</v>
      </c>
      <c r="C351" s="7" t="s">
        <v>1343</v>
      </c>
      <c r="N351" s="183">
        <v>3</v>
      </c>
      <c r="O351" s="7">
        <v>1.84</v>
      </c>
    </row>
    <row r="352" spans="1:42" ht="14.25" customHeight="1">
      <c r="A352" s="125" t="s">
        <v>2558</v>
      </c>
      <c r="B352" s="121">
        <f>323.4/3</f>
        <v>107.8</v>
      </c>
      <c r="C352" s="7" t="s">
        <v>1344</v>
      </c>
      <c r="N352" s="183">
        <v>3</v>
      </c>
      <c r="O352" s="7">
        <v>2.29</v>
      </c>
    </row>
    <row r="353" spans="1:42" ht="14.25" customHeight="1">
      <c r="A353" s="125" t="s">
        <v>2559</v>
      </c>
      <c r="B353" s="9">
        <v>49.6</v>
      </c>
      <c r="C353" s="211" t="s">
        <v>1540</v>
      </c>
      <c r="N353" s="183">
        <v>5</v>
      </c>
      <c r="O353" s="7">
        <v>2</v>
      </c>
      <c r="AJ353" s="211" t="s">
        <v>1540</v>
      </c>
    </row>
    <row r="354" spans="1:42" ht="14.25" customHeight="1">
      <c r="A354" s="125" t="s">
        <v>2560</v>
      </c>
      <c r="B354" s="9">
        <v>114.9</v>
      </c>
      <c r="C354" s="7" t="s">
        <v>1541</v>
      </c>
      <c r="N354" s="183">
        <v>3</v>
      </c>
      <c r="O354" s="7">
        <v>3.7</v>
      </c>
    </row>
    <row r="355" spans="1:42" ht="14.25" customHeight="1">
      <c r="A355" s="125" t="s">
        <v>2561</v>
      </c>
      <c r="B355" s="9">
        <v>86.2</v>
      </c>
      <c r="C355" s="7" t="s">
        <v>1542</v>
      </c>
      <c r="N355" s="183">
        <v>3</v>
      </c>
      <c r="O355" s="7">
        <v>2.5</v>
      </c>
    </row>
    <row r="356" spans="1:42" ht="14.25" customHeight="1">
      <c r="A356" s="125" t="s">
        <v>2562</v>
      </c>
      <c r="B356" s="9">
        <v>121.4</v>
      </c>
      <c r="C356" s="7" t="s">
        <v>1543</v>
      </c>
      <c r="N356" s="183">
        <v>3</v>
      </c>
      <c r="O356" s="7">
        <v>3.7</v>
      </c>
    </row>
    <row r="357" spans="1:42" ht="14.25" customHeight="1">
      <c r="A357" s="125" t="s">
        <v>2563</v>
      </c>
      <c r="B357" s="9">
        <v>169.4</v>
      </c>
      <c r="C357" s="211" t="s">
        <v>1544</v>
      </c>
      <c r="N357" s="183">
        <v>3</v>
      </c>
      <c r="O357" s="7">
        <v>3.18</v>
      </c>
      <c r="AJ357" s="211" t="s">
        <v>1544</v>
      </c>
      <c r="AP357" s="4"/>
    </row>
    <row r="358" spans="1:42" ht="14.25" customHeight="1">
      <c r="A358" s="125" t="s">
        <v>2564</v>
      </c>
      <c r="B358" s="9">
        <v>169.4</v>
      </c>
      <c r="C358" s="7" t="s">
        <v>1545</v>
      </c>
      <c r="N358" s="183">
        <v>3</v>
      </c>
      <c r="O358" s="7">
        <v>3.18</v>
      </c>
    </row>
    <row r="359" spans="1:42" s="4" customFormat="1" ht="14.25" customHeight="1">
      <c r="A359" s="125" t="s">
        <v>2565</v>
      </c>
      <c r="B359" s="9">
        <v>162.19999999999999</v>
      </c>
      <c r="C359" s="7" t="s">
        <v>1546</v>
      </c>
      <c r="D359" s="183"/>
      <c r="E359" s="183"/>
      <c r="F359" s="188"/>
      <c r="G359" s="188"/>
      <c r="H359" s="183"/>
      <c r="I359" s="183"/>
      <c r="J359" s="188"/>
      <c r="K359" s="188"/>
      <c r="L359" s="9"/>
      <c r="M359" s="9"/>
      <c r="N359" s="183">
        <v>3</v>
      </c>
      <c r="O359" s="7">
        <v>3.18</v>
      </c>
      <c r="P359" s="9"/>
      <c r="Q359" s="9"/>
      <c r="R359" s="7"/>
      <c r="S359" s="126"/>
      <c r="T359" s="126"/>
      <c r="U359" s="237"/>
      <c r="V359" s="103"/>
      <c r="W359" s="9"/>
      <c r="X359" s="9"/>
      <c r="Y359" s="9"/>
      <c r="Z359" s="9"/>
      <c r="AA359" s="126"/>
      <c r="AB359" s="9"/>
      <c r="AC359" s="9"/>
      <c r="AD359" s="9"/>
      <c r="AE359" s="9"/>
      <c r="AF359" s="9"/>
      <c r="AG359" s="9"/>
      <c r="AH359" s="9"/>
      <c r="AI359" s="9"/>
      <c r="AJ359" s="7"/>
      <c r="AK359" s="7"/>
      <c r="AL359" s="7"/>
      <c r="AM359" s="7"/>
      <c r="AN359" s="7"/>
      <c r="AO359" s="7"/>
      <c r="AP359" s="7"/>
    </row>
    <row r="360" spans="1:42" ht="14.25" customHeight="1">
      <c r="A360" s="125" t="s">
        <v>2566</v>
      </c>
      <c r="B360" s="9">
        <v>70</v>
      </c>
      <c r="C360" s="211" t="s">
        <v>1381</v>
      </c>
      <c r="N360" s="183">
        <v>5</v>
      </c>
      <c r="O360" s="7">
        <v>0.57999999999999996</v>
      </c>
      <c r="AJ360" s="211" t="s">
        <v>1381</v>
      </c>
    </row>
    <row r="361" spans="1:42" ht="14.25" customHeight="1">
      <c r="A361" s="125" t="s">
        <v>2567</v>
      </c>
      <c r="B361" s="9">
        <v>70</v>
      </c>
      <c r="C361" s="7" t="s">
        <v>1382</v>
      </c>
      <c r="N361" s="183">
        <v>5</v>
      </c>
      <c r="O361" s="7">
        <v>0.57999999999999996</v>
      </c>
    </row>
    <row r="362" spans="1:42" ht="14.25" customHeight="1">
      <c r="A362" s="125" t="s">
        <v>2568</v>
      </c>
      <c r="B362" s="9">
        <v>70</v>
      </c>
      <c r="C362" s="7" t="s">
        <v>1383</v>
      </c>
      <c r="N362" s="183">
        <v>5</v>
      </c>
      <c r="O362" s="7">
        <v>0.57999999999999996</v>
      </c>
      <c r="AP362" s="4"/>
    </row>
    <row r="363" spans="1:42" ht="14.25" customHeight="1">
      <c r="A363" s="125" t="s">
        <v>2569</v>
      </c>
      <c r="B363" s="9">
        <v>8.6999999999999993</v>
      </c>
      <c r="C363" s="7" t="s">
        <v>1547</v>
      </c>
      <c r="N363" s="183">
        <v>10</v>
      </c>
      <c r="O363" s="7">
        <v>0.5</v>
      </c>
    </row>
    <row r="364" spans="1:42" ht="14.25" customHeight="1">
      <c r="A364" s="116" t="s">
        <v>3001</v>
      </c>
      <c r="B364" s="9">
        <v>6.7</v>
      </c>
      <c r="C364" s="211" t="s">
        <v>1892</v>
      </c>
      <c r="D364" s="184"/>
      <c r="E364" s="184"/>
      <c r="H364" s="184"/>
      <c r="I364" s="184"/>
      <c r="L364" s="3"/>
      <c r="M364" s="3"/>
      <c r="N364" s="184">
        <f>3*8</f>
        <v>24</v>
      </c>
      <c r="O364" s="6">
        <f>4.5/8</f>
        <v>0.5625</v>
      </c>
      <c r="P364" s="222"/>
      <c r="Q364" s="222"/>
      <c r="AJ364" s="211" t="s">
        <v>1892</v>
      </c>
    </row>
    <row r="365" spans="1:42" ht="14.25" customHeight="1">
      <c r="A365" s="116" t="s">
        <v>3002</v>
      </c>
      <c r="B365" s="9">
        <v>6.8</v>
      </c>
      <c r="C365" s="1" t="s">
        <v>1893</v>
      </c>
      <c r="D365" s="184"/>
      <c r="E365" s="184"/>
      <c r="H365" s="184"/>
      <c r="I365" s="184"/>
      <c r="L365" s="3"/>
      <c r="M365" s="3"/>
      <c r="N365" s="184">
        <f>3*8</f>
        <v>24</v>
      </c>
      <c r="O365" s="6">
        <f>4.5/8</f>
        <v>0.5625</v>
      </c>
      <c r="P365" s="222"/>
      <c r="Q365" s="222"/>
    </row>
    <row r="366" spans="1:42" ht="14.25" customHeight="1">
      <c r="A366" s="116" t="s">
        <v>3003</v>
      </c>
      <c r="B366" s="9">
        <v>11.8</v>
      </c>
      <c r="C366" s="1" t="s">
        <v>1894</v>
      </c>
      <c r="D366" s="184"/>
      <c r="E366" s="184"/>
      <c r="H366" s="184"/>
      <c r="I366" s="184"/>
      <c r="L366" s="3"/>
      <c r="M366" s="3"/>
      <c r="N366" s="184">
        <f>3*8</f>
        <v>24</v>
      </c>
      <c r="O366" s="6">
        <f>8/8</f>
        <v>1</v>
      </c>
      <c r="P366" s="222"/>
      <c r="Q366" s="222"/>
    </row>
    <row r="367" spans="1:42" ht="14.25" customHeight="1">
      <c r="A367" s="116" t="s">
        <v>3004</v>
      </c>
      <c r="B367" s="9">
        <v>11.2</v>
      </c>
      <c r="C367" s="1" t="s">
        <v>1895</v>
      </c>
      <c r="D367" s="184"/>
      <c r="E367" s="184"/>
      <c r="H367" s="184"/>
      <c r="I367" s="184"/>
      <c r="L367" s="3"/>
      <c r="M367" s="3"/>
      <c r="N367" s="184">
        <f>3*8</f>
        <v>24</v>
      </c>
      <c r="O367" s="6">
        <f>8/8</f>
        <v>1</v>
      </c>
      <c r="P367" s="222"/>
      <c r="Q367" s="222"/>
    </row>
    <row r="368" spans="1:42" s="4" customFormat="1" ht="14.25" customHeight="1">
      <c r="A368" s="116" t="s">
        <v>3131</v>
      </c>
      <c r="B368" s="9">
        <v>13.3</v>
      </c>
      <c r="C368" s="211" t="s">
        <v>3132</v>
      </c>
      <c r="D368" s="184"/>
      <c r="E368" s="184"/>
      <c r="F368" s="188"/>
      <c r="G368" s="188"/>
      <c r="H368" s="184"/>
      <c r="I368" s="184"/>
      <c r="J368" s="188"/>
      <c r="K368" s="188"/>
      <c r="L368" s="3"/>
      <c r="M368" s="3"/>
      <c r="N368" s="184">
        <v>4</v>
      </c>
      <c r="O368" s="6">
        <v>0</v>
      </c>
      <c r="P368" s="222"/>
      <c r="Q368" s="222"/>
      <c r="R368" s="7"/>
      <c r="S368" s="126"/>
      <c r="T368" s="126"/>
      <c r="U368" s="237"/>
      <c r="V368" s="103"/>
      <c r="W368" s="9"/>
      <c r="X368" s="9"/>
      <c r="Y368" s="9"/>
      <c r="Z368" s="9"/>
      <c r="AA368" s="126"/>
      <c r="AB368" s="9"/>
      <c r="AC368" s="9"/>
      <c r="AD368" s="9"/>
      <c r="AE368" s="9"/>
      <c r="AF368" s="9"/>
      <c r="AG368" s="9"/>
      <c r="AH368" s="9"/>
      <c r="AI368" s="9"/>
      <c r="AJ368" s="211" t="s">
        <v>3132</v>
      </c>
      <c r="AK368" s="7"/>
      <c r="AL368" s="7"/>
      <c r="AM368" s="7"/>
      <c r="AN368" s="7"/>
      <c r="AO368" s="7"/>
      <c r="AP368" s="7"/>
    </row>
    <row r="369" spans="1:42" ht="14.25" customHeight="1">
      <c r="A369" s="116" t="s">
        <v>2652</v>
      </c>
      <c r="B369" s="121">
        <f>503/25</f>
        <v>20.12</v>
      </c>
      <c r="C369" s="211" t="s">
        <v>5980</v>
      </c>
      <c r="N369" s="183">
        <v>25</v>
      </c>
      <c r="O369" s="56">
        <f>0.29*2</f>
        <v>0.57999999999999996</v>
      </c>
      <c r="P369" s="107"/>
      <c r="Q369" s="107"/>
      <c r="AJ369" s="211" t="s">
        <v>5980</v>
      </c>
    </row>
    <row r="370" spans="1:42" ht="14.25" customHeight="1">
      <c r="A370" s="116" t="s">
        <v>2653</v>
      </c>
      <c r="B370" s="121">
        <f>593/25</f>
        <v>23.72</v>
      </c>
      <c r="C370" s="7" t="s">
        <v>5981</v>
      </c>
      <c r="N370" s="183">
        <v>25</v>
      </c>
      <c r="O370" s="56">
        <f>0.36*2</f>
        <v>0.72</v>
      </c>
      <c r="P370" s="107"/>
      <c r="Q370" s="107"/>
    </row>
    <row r="371" spans="1:42" ht="14.25" customHeight="1">
      <c r="A371" s="116" t="s">
        <v>2654</v>
      </c>
      <c r="B371" s="121">
        <f>732/25</f>
        <v>29.28</v>
      </c>
      <c r="C371" s="7" t="s">
        <v>5982</v>
      </c>
      <c r="N371" s="183">
        <v>25</v>
      </c>
      <c r="O371" s="56">
        <f>0.45*2</f>
        <v>0.9</v>
      </c>
      <c r="P371" s="107"/>
      <c r="Q371" s="107"/>
    </row>
    <row r="372" spans="1:42" ht="14.25" customHeight="1">
      <c r="A372" s="116" t="s">
        <v>2655</v>
      </c>
      <c r="B372" s="121">
        <f>503/25</f>
        <v>20.12</v>
      </c>
      <c r="C372" s="7" t="s">
        <v>5983</v>
      </c>
      <c r="N372" s="183">
        <v>25</v>
      </c>
      <c r="O372" s="56">
        <f>0.29*2</f>
        <v>0.57999999999999996</v>
      </c>
      <c r="P372" s="107"/>
      <c r="Q372" s="107"/>
    </row>
    <row r="373" spans="1:42" ht="14.25" customHeight="1">
      <c r="A373" s="116" t="s">
        <v>2656</v>
      </c>
      <c r="B373" s="121">
        <f>593/25</f>
        <v>23.72</v>
      </c>
      <c r="C373" s="7" t="s">
        <v>5984</v>
      </c>
      <c r="N373" s="183">
        <v>25</v>
      </c>
      <c r="O373" s="56">
        <f>0.36*2</f>
        <v>0.72</v>
      </c>
      <c r="P373" s="107"/>
      <c r="Q373" s="107"/>
    </row>
    <row r="374" spans="1:42" ht="14.25" customHeight="1">
      <c r="A374" s="116" t="s">
        <v>2657</v>
      </c>
      <c r="B374" s="121">
        <f>732/25</f>
        <v>29.28</v>
      </c>
      <c r="C374" s="7" t="s">
        <v>5985</v>
      </c>
      <c r="N374" s="183">
        <v>25</v>
      </c>
      <c r="O374" s="56">
        <f>0.45*2</f>
        <v>0.9</v>
      </c>
      <c r="P374" s="107"/>
      <c r="Q374" s="107"/>
    </row>
    <row r="375" spans="1:42" ht="14.25" customHeight="1">
      <c r="A375" s="116" t="s">
        <v>2673</v>
      </c>
      <c r="B375" s="121">
        <f>9/30</f>
        <v>0.3</v>
      </c>
      <c r="C375" s="211" t="s">
        <v>5996</v>
      </c>
      <c r="N375" s="183">
        <v>3</v>
      </c>
      <c r="O375" s="56">
        <v>0.98</v>
      </c>
      <c r="P375" s="107"/>
      <c r="Q375" s="107"/>
      <c r="AJ375" s="211" t="s">
        <v>5996</v>
      </c>
    </row>
    <row r="376" spans="1:42" ht="14.25" customHeight="1">
      <c r="A376" s="116" t="s">
        <v>2674</v>
      </c>
      <c r="B376" s="121">
        <f>9/30</f>
        <v>0.3</v>
      </c>
      <c r="C376" s="7" t="s">
        <v>5986</v>
      </c>
      <c r="N376" s="183">
        <v>3</v>
      </c>
      <c r="O376" s="56">
        <v>0.98</v>
      </c>
      <c r="P376" s="107"/>
      <c r="Q376" s="107"/>
    </row>
    <row r="377" spans="1:42" ht="14.25" customHeight="1">
      <c r="A377" s="116" t="s">
        <v>2675</v>
      </c>
      <c r="B377" s="121">
        <f>10.9/20</f>
        <v>0.54500000000000004</v>
      </c>
      <c r="C377" s="7" t="s">
        <v>5987</v>
      </c>
      <c r="N377" s="183">
        <v>3</v>
      </c>
      <c r="O377" s="56">
        <v>1.08</v>
      </c>
      <c r="P377" s="107"/>
      <c r="Q377" s="107"/>
    </row>
    <row r="378" spans="1:42" ht="14.25" customHeight="1">
      <c r="A378" s="116" t="s">
        <v>2676</v>
      </c>
      <c r="B378" s="121">
        <f>10.9/9</f>
        <v>1.2111111111111112</v>
      </c>
      <c r="C378" s="7" t="s">
        <v>5988</v>
      </c>
      <c r="N378" s="183">
        <v>3</v>
      </c>
      <c r="O378" s="56">
        <v>1.08</v>
      </c>
      <c r="P378" s="107"/>
      <c r="Q378" s="107"/>
    </row>
    <row r="379" spans="1:42" ht="14.25" customHeight="1">
      <c r="A379" s="116" t="s">
        <v>2677</v>
      </c>
      <c r="B379" s="121">
        <f>12.6/4</f>
        <v>3.15</v>
      </c>
      <c r="C379" s="7" t="s">
        <v>5989</v>
      </c>
      <c r="N379" s="183">
        <v>3</v>
      </c>
      <c r="O379" s="56">
        <v>0.98</v>
      </c>
      <c r="P379" s="107"/>
      <c r="Q379" s="107"/>
    </row>
    <row r="380" spans="1:42" ht="14.25" customHeight="1">
      <c r="A380" s="116" t="s">
        <v>2678</v>
      </c>
      <c r="B380" s="121">
        <f>10.9/20</f>
        <v>0.54500000000000004</v>
      </c>
      <c r="C380" s="7" t="s">
        <v>5995</v>
      </c>
      <c r="N380" s="183">
        <v>3</v>
      </c>
      <c r="O380" s="56">
        <v>0.98</v>
      </c>
      <c r="P380" s="107"/>
      <c r="Q380" s="107"/>
    </row>
    <row r="381" spans="1:42" s="4" customFormat="1" ht="14.25" customHeight="1">
      <c r="A381" s="116" t="s">
        <v>2679</v>
      </c>
      <c r="B381" s="121">
        <f>10.9/9</f>
        <v>1.2111111111111112</v>
      </c>
      <c r="C381" s="7" t="s">
        <v>5990</v>
      </c>
      <c r="D381" s="183"/>
      <c r="E381" s="183"/>
      <c r="F381" s="188"/>
      <c r="G381" s="188"/>
      <c r="H381" s="183"/>
      <c r="I381" s="183"/>
      <c r="J381" s="188"/>
      <c r="K381" s="188"/>
      <c r="L381" s="9"/>
      <c r="M381" s="9"/>
      <c r="N381" s="183">
        <v>3</v>
      </c>
      <c r="O381" s="56">
        <v>0.98</v>
      </c>
      <c r="P381" s="107"/>
      <c r="Q381" s="107"/>
      <c r="R381" s="7"/>
      <c r="S381" s="126"/>
      <c r="T381" s="126"/>
      <c r="U381" s="237"/>
      <c r="V381" s="103"/>
      <c r="W381" s="9"/>
      <c r="X381" s="9"/>
      <c r="Y381" s="9"/>
      <c r="Z381" s="9"/>
      <c r="AA381" s="126"/>
      <c r="AB381" s="9"/>
      <c r="AC381" s="9"/>
      <c r="AD381" s="9"/>
      <c r="AE381" s="9"/>
      <c r="AF381" s="9"/>
      <c r="AG381" s="9"/>
      <c r="AH381" s="9"/>
      <c r="AI381" s="9"/>
      <c r="AJ381" s="7"/>
      <c r="AK381" s="7"/>
      <c r="AL381" s="7"/>
      <c r="AM381" s="7"/>
      <c r="AN381" s="7"/>
      <c r="AO381" s="7"/>
      <c r="AP381" s="7"/>
    </row>
    <row r="382" spans="1:42" ht="14.25" customHeight="1">
      <c r="A382" s="116" t="s">
        <v>2680</v>
      </c>
      <c r="B382" s="121">
        <f>12.6/4</f>
        <v>3.15</v>
      </c>
      <c r="C382" s="7" t="s">
        <v>5991</v>
      </c>
      <c r="N382" s="183">
        <v>3</v>
      </c>
      <c r="O382" s="56">
        <v>0.98</v>
      </c>
      <c r="P382" s="107"/>
      <c r="Q382" s="107"/>
    </row>
    <row r="383" spans="1:42" ht="14.25" customHeight="1">
      <c r="A383" s="116" t="s">
        <v>2681</v>
      </c>
      <c r="B383" s="121">
        <f>214/25</f>
        <v>8.56</v>
      </c>
      <c r="C383" s="211" t="s">
        <v>5992</v>
      </c>
      <c r="N383" s="183">
        <v>25</v>
      </c>
      <c r="O383" s="7">
        <f>0.14*2</f>
        <v>0.28000000000000003</v>
      </c>
      <c r="AJ383" s="211" t="s">
        <v>5992</v>
      </c>
    </row>
    <row r="384" spans="1:42" ht="14.25" customHeight="1">
      <c r="A384" s="116" t="s">
        <v>2682</v>
      </c>
      <c r="B384" s="121">
        <f>136.2+145</f>
        <v>281.2</v>
      </c>
      <c r="C384" s="7" t="s">
        <v>5993</v>
      </c>
      <c r="N384" s="183">
        <v>25</v>
      </c>
      <c r="O384" s="7">
        <f>0.16*2</f>
        <v>0.32</v>
      </c>
    </row>
    <row r="385" spans="1:42" ht="14.25" customHeight="1">
      <c r="A385" s="116" t="s">
        <v>2683</v>
      </c>
      <c r="B385" s="9">
        <f>185+157</f>
        <v>342</v>
      </c>
      <c r="C385" s="7" t="s">
        <v>5994</v>
      </c>
      <c r="N385" s="183">
        <v>25</v>
      </c>
      <c r="O385" s="7">
        <f>0.2*2</f>
        <v>0.4</v>
      </c>
    </row>
    <row r="386" spans="1:42" s="4" customFormat="1" ht="14.25" customHeight="1">
      <c r="A386" s="116" t="s">
        <v>2658</v>
      </c>
      <c r="B386" s="9">
        <v>10</v>
      </c>
      <c r="C386" s="211" t="s">
        <v>1582</v>
      </c>
      <c r="D386" s="183"/>
      <c r="E386" s="183"/>
      <c r="F386" s="188"/>
      <c r="G386" s="188"/>
      <c r="H386" s="183"/>
      <c r="I386" s="183"/>
      <c r="J386" s="188"/>
      <c r="K386" s="188"/>
      <c r="L386" s="9"/>
      <c r="M386" s="9"/>
      <c r="N386" s="183">
        <v>3</v>
      </c>
      <c r="O386" s="7">
        <f>5.58/5</f>
        <v>1.1160000000000001</v>
      </c>
      <c r="P386" s="9"/>
      <c r="Q386" s="9"/>
      <c r="R386" s="7"/>
      <c r="S386" s="126"/>
      <c r="T386" s="126"/>
      <c r="U386" s="237"/>
      <c r="V386" s="103"/>
      <c r="W386" s="9"/>
      <c r="X386" s="9"/>
      <c r="Y386" s="9"/>
      <c r="Z386" s="9"/>
      <c r="AA386" s="126"/>
      <c r="AB386" s="9"/>
      <c r="AC386" s="9"/>
      <c r="AD386" s="9"/>
      <c r="AE386" s="9"/>
      <c r="AF386" s="9"/>
      <c r="AG386" s="9"/>
      <c r="AH386" s="9"/>
      <c r="AI386" s="9"/>
      <c r="AJ386" s="211" t="s">
        <v>1582</v>
      </c>
      <c r="AK386" s="7"/>
      <c r="AL386" s="7"/>
      <c r="AM386" s="7"/>
      <c r="AN386" s="7"/>
      <c r="AO386" s="7"/>
    </row>
    <row r="387" spans="1:42" ht="14.25" customHeight="1">
      <c r="A387" s="116" t="s">
        <v>2659</v>
      </c>
      <c r="B387" s="9">
        <v>10</v>
      </c>
      <c r="C387" s="7" t="s">
        <v>1573</v>
      </c>
      <c r="N387" s="183">
        <v>3</v>
      </c>
      <c r="O387" s="7">
        <f>5.58/5</f>
        <v>1.1160000000000001</v>
      </c>
    </row>
    <row r="388" spans="1:42" ht="14.25" customHeight="1">
      <c r="A388" s="116" t="s">
        <v>2660</v>
      </c>
      <c r="B388" s="9">
        <v>10</v>
      </c>
      <c r="C388" s="7" t="s">
        <v>1574</v>
      </c>
      <c r="N388" s="183">
        <v>3</v>
      </c>
      <c r="O388" s="7">
        <f>5.58/5</f>
        <v>1.1160000000000001</v>
      </c>
    </row>
    <row r="389" spans="1:42" ht="14.25" customHeight="1">
      <c r="A389" s="116" t="s">
        <v>2684</v>
      </c>
      <c r="B389" s="9">
        <v>10</v>
      </c>
      <c r="C389" s="7" t="s">
        <v>1575</v>
      </c>
      <c r="N389" s="183">
        <v>3</v>
      </c>
      <c r="O389" s="7">
        <f>5.58/5</f>
        <v>1.1160000000000001</v>
      </c>
    </row>
    <row r="390" spans="1:42" ht="14.25" customHeight="1">
      <c r="A390" s="116" t="s">
        <v>2685</v>
      </c>
      <c r="B390" s="9">
        <v>10</v>
      </c>
      <c r="C390" s="7" t="s">
        <v>1576</v>
      </c>
      <c r="N390" s="183">
        <v>3</v>
      </c>
      <c r="O390" s="7">
        <f>5.58/5</f>
        <v>1.1160000000000001</v>
      </c>
    </row>
    <row r="391" spans="1:42" ht="14.25" customHeight="1">
      <c r="A391" s="116" t="s">
        <v>2686</v>
      </c>
      <c r="B391" s="9">
        <v>20</v>
      </c>
      <c r="C391" s="211" t="s">
        <v>1577</v>
      </c>
      <c r="N391" s="183">
        <v>3</v>
      </c>
      <c r="O391" s="7">
        <f>9.58/5</f>
        <v>1.9159999999999999</v>
      </c>
      <c r="AJ391" s="211" t="s">
        <v>1577</v>
      </c>
    </row>
    <row r="392" spans="1:42" ht="14.25" customHeight="1">
      <c r="A392" s="116" t="s">
        <v>2687</v>
      </c>
      <c r="B392" s="9">
        <v>20</v>
      </c>
      <c r="C392" s="7" t="s">
        <v>1578</v>
      </c>
      <c r="N392" s="183">
        <v>3</v>
      </c>
      <c r="O392" s="7">
        <f>9.58/5</f>
        <v>1.9159999999999999</v>
      </c>
    </row>
    <row r="393" spans="1:42" ht="14.25" customHeight="1">
      <c r="A393" s="116" t="s">
        <v>2688</v>
      </c>
      <c r="B393" s="9">
        <v>20</v>
      </c>
      <c r="C393" s="7" t="s">
        <v>1579</v>
      </c>
      <c r="N393" s="183">
        <v>3</v>
      </c>
      <c r="O393" s="7">
        <f>9.58/5</f>
        <v>1.9159999999999999</v>
      </c>
      <c r="AP393" s="4"/>
    </row>
    <row r="394" spans="1:42" ht="14.25" customHeight="1">
      <c r="A394" s="116" t="s">
        <v>2689</v>
      </c>
      <c r="B394" s="9">
        <v>20</v>
      </c>
      <c r="C394" s="7" t="s">
        <v>1580</v>
      </c>
      <c r="N394" s="183">
        <v>3</v>
      </c>
      <c r="O394" s="7">
        <f>9.58/5</f>
        <v>1.9159999999999999</v>
      </c>
    </row>
    <row r="395" spans="1:42" ht="14.25" customHeight="1">
      <c r="A395" s="116" t="s">
        <v>2690</v>
      </c>
      <c r="B395" s="9">
        <v>20</v>
      </c>
      <c r="C395" s="7" t="s">
        <v>1581</v>
      </c>
      <c r="N395" s="183">
        <v>3</v>
      </c>
      <c r="O395" s="7">
        <f>9.58/5</f>
        <v>1.9159999999999999</v>
      </c>
    </row>
    <row r="396" spans="1:42" ht="14.25" customHeight="1">
      <c r="A396" s="116" t="s">
        <v>2661</v>
      </c>
      <c r="B396" s="9">
        <v>0.5</v>
      </c>
      <c r="C396" s="212" t="s">
        <v>6053</v>
      </c>
      <c r="N396" s="183">
        <f t="shared" ref="N396:N420" si="38">10*2</f>
        <v>20</v>
      </c>
      <c r="O396" s="7">
        <f>1.88/10</f>
        <v>0.188</v>
      </c>
      <c r="AJ396" s="212" t="s">
        <v>6053</v>
      </c>
    </row>
    <row r="397" spans="1:42" ht="14.25" customHeight="1">
      <c r="A397" s="116" t="s">
        <v>2662</v>
      </c>
      <c r="B397" s="9">
        <v>0.5</v>
      </c>
      <c r="C397" s="7" t="s">
        <v>1748</v>
      </c>
      <c r="N397" s="183">
        <f t="shared" si="38"/>
        <v>20</v>
      </c>
      <c r="O397" s="7">
        <f>1.88/10</f>
        <v>0.188</v>
      </c>
    </row>
    <row r="398" spans="1:42" ht="14.25" customHeight="1">
      <c r="A398" s="116" t="s">
        <v>2663</v>
      </c>
      <c r="B398" s="9">
        <v>0.5</v>
      </c>
      <c r="C398" s="7" t="s">
        <v>1749</v>
      </c>
      <c r="N398" s="183">
        <f t="shared" si="38"/>
        <v>20</v>
      </c>
      <c r="O398" s="7">
        <f>1.88/10</f>
        <v>0.188</v>
      </c>
    </row>
    <row r="399" spans="1:42" ht="14.25" customHeight="1">
      <c r="A399" s="116" t="s">
        <v>2664</v>
      </c>
      <c r="B399" s="9">
        <v>0.5</v>
      </c>
      <c r="C399" s="7" t="s">
        <v>1750</v>
      </c>
      <c r="N399" s="183">
        <f t="shared" si="38"/>
        <v>20</v>
      </c>
      <c r="O399" s="7">
        <f>1.88/10</f>
        <v>0.188</v>
      </c>
    </row>
    <row r="400" spans="1:42" ht="14.25" customHeight="1">
      <c r="A400" s="116" t="s">
        <v>2665</v>
      </c>
      <c r="B400" s="9">
        <v>0.5</v>
      </c>
      <c r="C400" s="7" t="s">
        <v>1751</v>
      </c>
      <c r="N400" s="183">
        <f t="shared" si="38"/>
        <v>20</v>
      </c>
      <c r="O400" s="7">
        <f>1.88/10</f>
        <v>0.188</v>
      </c>
    </row>
    <row r="401" spans="1:42" ht="14.25" customHeight="1">
      <c r="A401" s="116" t="s">
        <v>2666</v>
      </c>
      <c r="B401" s="9">
        <v>0.8</v>
      </c>
      <c r="C401" s="211" t="s">
        <v>1583</v>
      </c>
      <c r="N401" s="183">
        <f t="shared" si="38"/>
        <v>20</v>
      </c>
      <c r="O401" s="7">
        <f>2.18/10</f>
        <v>0.21800000000000003</v>
      </c>
      <c r="AJ401" s="211" t="s">
        <v>1583</v>
      </c>
    </row>
    <row r="402" spans="1:42" ht="14.25" customHeight="1">
      <c r="A402" s="116" t="s">
        <v>2667</v>
      </c>
      <c r="B402" s="9">
        <v>0.8</v>
      </c>
      <c r="C402" s="7" t="s">
        <v>1584</v>
      </c>
      <c r="N402" s="183">
        <f t="shared" si="38"/>
        <v>20</v>
      </c>
      <c r="O402" s="7">
        <f>2.18/10</f>
        <v>0.21800000000000003</v>
      </c>
    </row>
    <row r="403" spans="1:42" ht="14.25" customHeight="1">
      <c r="A403" s="116" t="s">
        <v>2668</v>
      </c>
      <c r="B403" s="9">
        <v>0.8</v>
      </c>
      <c r="C403" s="7" t="s">
        <v>1585</v>
      </c>
      <c r="N403" s="183">
        <f t="shared" si="38"/>
        <v>20</v>
      </c>
      <c r="O403" s="7">
        <f>2.18/10</f>
        <v>0.21800000000000003</v>
      </c>
    </row>
    <row r="404" spans="1:42" ht="14.25" customHeight="1">
      <c r="A404" s="116" t="s">
        <v>2669</v>
      </c>
      <c r="B404" s="9">
        <v>0.8</v>
      </c>
      <c r="C404" s="7" t="s">
        <v>1586</v>
      </c>
      <c r="N404" s="183">
        <f t="shared" si="38"/>
        <v>20</v>
      </c>
      <c r="O404" s="7">
        <f>2.18/10</f>
        <v>0.21800000000000003</v>
      </c>
    </row>
    <row r="405" spans="1:42" ht="14.25" customHeight="1">
      <c r="A405" s="116" t="s">
        <v>2670</v>
      </c>
      <c r="B405" s="9">
        <v>0.8</v>
      </c>
      <c r="C405" s="7" t="s">
        <v>1587</v>
      </c>
      <c r="N405" s="183">
        <f t="shared" si="38"/>
        <v>20</v>
      </c>
      <c r="O405" s="7">
        <f>2.18/10</f>
        <v>0.21800000000000003</v>
      </c>
    </row>
    <row r="406" spans="1:42" ht="14.25" customHeight="1">
      <c r="A406" s="116" t="s">
        <v>2691</v>
      </c>
      <c r="B406" s="9">
        <v>1</v>
      </c>
      <c r="C406" s="7" t="s">
        <v>1588</v>
      </c>
      <c r="N406" s="183">
        <f t="shared" si="38"/>
        <v>20</v>
      </c>
      <c r="O406" s="7">
        <f>2.58/10</f>
        <v>0.25800000000000001</v>
      </c>
    </row>
    <row r="407" spans="1:42" ht="14.25" customHeight="1">
      <c r="A407" s="116" t="s">
        <v>2692</v>
      </c>
      <c r="B407" s="9">
        <v>1</v>
      </c>
      <c r="C407" s="7" t="s">
        <v>1589</v>
      </c>
      <c r="N407" s="183">
        <f t="shared" si="38"/>
        <v>20</v>
      </c>
      <c r="O407" s="7">
        <f>2.58/10</f>
        <v>0.25800000000000001</v>
      </c>
    </row>
    <row r="408" spans="1:42" ht="14.25" customHeight="1">
      <c r="A408" s="116" t="s">
        <v>2693</v>
      </c>
      <c r="B408" s="9">
        <v>1</v>
      </c>
      <c r="C408" s="7" t="s">
        <v>1590</v>
      </c>
      <c r="N408" s="183">
        <f t="shared" si="38"/>
        <v>20</v>
      </c>
      <c r="O408" s="7">
        <f>2.58/10</f>
        <v>0.25800000000000001</v>
      </c>
    </row>
    <row r="409" spans="1:42" ht="14.25" customHeight="1">
      <c r="A409" s="116" t="s">
        <v>2694</v>
      </c>
      <c r="B409" s="9">
        <v>1</v>
      </c>
      <c r="C409" s="7" t="s">
        <v>1591</v>
      </c>
      <c r="N409" s="183">
        <f t="shared" si="38"/>
        <v>20</v>
      </c>
      <c r="O409" s="7">
        <f>2.58/10</f>
        <v>0.25800000000000001</v>
      </c>
    </row>
    <row r="410" spans="1:42" ht="14.25" customHeight="1">
      <c r="A410" s="116" t="s">
        <v>2695</v>
      </c>
      <c r="B410" s="9">
        <v>1</v>
      </c>
      <c r="C410" s="7" t="s">
        <v>1592</v>
      </c>
      <c r="N410" s="183">
        <f t="shared" si="38"/>
        <v>20</v>
      </c>
      <c r="O410" s="7">
        <f>2.58/10</f>
        <v>0.25800000000000001</v>
      </c>
    </row>
    <row r="411" spans="1:42" s="4" customFormat="1" ht="14.25" customHeight="1">
      <c r="A411" s="116" t="s">
        <v>2696</v>
      </c>
      <c r="B411" s="9">
        <v>0.7</v>
      </c>
      <c r="C411" s="211" t="s">
        <v>1737</v>
      </c>
      <c r="D411" s="183"/>
      <c r="E411" s="183"/>
      <c r="F411" s="188"/>
      <c r="G411" s="188"/>
      <c r="H411" s="183"/>
      <c r="I411" s="183"/>
      <c r="J411" s="188"/>
      <c r="K411" s="188"/>
      <c r="L411" s="9"/>
      <c r="M411" s="9"/>
      <c r="N411" s="183">
        <f t="shared" si="38"/>
        <v>20</v>
      </c>
      <c r="O411" s="7">
        <f>2.18/10</f>
        <v>0.21800000000000003</v>
      </c>
      <c r="P411" s="9"/>
      <c r="Q411" s="9"/>
      <c r="R411" s="7"/>
      <c r="S411" s="126"/>
      <c r="T411" s="126"/>
      <c r="U411" s="237"/>
      <c r="V411" s="103"/>
      <c r="W411" s="9"/>
      <c r="X411" s="9"/>
      <c r="Y411" s="9"/>
      <c r="Z411" s="9"/>
      <c r="AA411" s="126"/>
      <c r="AB411" s="9"/>
      <c r="AC411" s="9"/>
      <c r="AD411" s="9"/>
      <c r="AE411" s="9"/>
      <c r="AF411" s="9"/>
      <c r="AG411" s="9"/>
      <c r="AH411" s="9"/>
      <c r="AI411" s="9"/>
      <c r="AJ411" s="211" t="s">
        <v>1737</v>
      </c>
      <c r="AK411" s="7"/>
      <c r="AL411" s="7"/>
      <c r="AM411" s="7"/>
      <c r="AN411" s="7"/>
      <c r="AO411" s="7"/>
      <c r="AP411" s="7"/>
    </row>
    <row r="412" spans="1:42" ht="14.25" customHeight="1">
      <c r="A412" s="116" t="s">
        <v>2697</v>
      </c>
      <c r="B412" s="9">
        <v>0.7</v>
      </c>
      <c r="C412" s="7" t="s">
        <v>1738</v>
      </c>
      <c r="N412" s="183">
        <f t="shared" si="38"/>
        <v>20</v>
      </c>
      <c r="O412" s="7">
        <f>2.18/10</f>
        <v>0.21800000000000003</v>
      </c>
    </row>
    <row r="413" spans="1:42" ht="14.25" customHeight="1">
      <c r="A413" s="116" t="s">
        <v>2698</v>
      </c>
      <c r="B413" s="9">
        <v>0.7</v>
      </c>
      <c r="C413" s="7" t="s">
        <v>1739</v>
      </c>
      <c r="N413" s="183">
        <f t="shared" si="38"/>
        <v>20</v>
      </c>
      <c r="O413" s="7">
        <f>2.18/10</f>
        <v>0.21800000000000003</v>
      </c>
    </row>
    <row r="414" spans="1:42" ht="14.25" customHeight="1">
      <c r="A414" s="116" t="s">
        <v>2699</v>
      </c>
      <c r="B414" s="9">
        <v>0.7</v>
      </c>
      <c r="C414" s="7" t="s">
        <v>1740</v>
      </c>
      <c r="N414" s="183">
        <f t="shared" si="38"/>
        <v>20</v>
      </c>
      <c r="O414" s="7">
        <f>2.18/10</f>
        <v>0.21800000000000003</v>
      </c>
    </row>
    <row r="415" spans="1:42" ht="14.25" customHeight="1">
      <c r="A415" s="116" t="s">
        <v>2700</v>
      </c>
      <c r="B415" s="9">
        <v>0.7</v>
      </c>
      <c r="C415" s="7" t="s">
        <v>1741</v>
      </c>
      <c r="N415" s="183">
        <f t="shared" si="38"/>
        <v>20</v>
      </c>
      <c r="O415" s="7">
        <f>2.18/10</f>
        <v>0.21800000000000003</v>
      </c>
    </row>
    <row r="416" spans="1:42" ht="14.25" customHeight="1">
      <c r="A416" s="116" t="s">
        <v>2701</v>
      </c>
      <c r="B416" s="9">
        <v>1.5</v>
      </c>
      <c r="C416" s="7" t="s">
        <v>1742</v>
      </c>
      <c r="N416" s="183">
        <f t="shared" si="38"/>
        <v>20</v>
      </c>
      <c r="O416" s="7">
        <f>2.58/10</f>
        <v>0.25800000000000001</v>
      </c>
    </row>
    <row r="417" spans="1:42" ht="14.25" customHeight="1">
      <c r="A417" s="116" t="s">
        <v>2702</v>
      </c>
      <c r="B417" s="9">
        <v>1.5</v>
      </c>
      <c r="C417" s="7" t="s">
        <v>1743</v>
      </c>
      <c r="N417" s="183">
        <f t="shared" si="38"/>
        <v>20</v>
      </c>
      <c r="O417" s="7">
        <f>2.58/10</f>
        <v>0.25800000000000001</v>
      </c>
    </row>
    <row r="418" spans="1:42" s="4" customFormat="1" ht="14.25" customHeight="1">
      <c r="A418" s="116" t="s">
        <v>2703</v>
      </c>
      <c r="B418" s="9">
        <v>1.5</v>
      </c>
      <c r="C418" s="7" t="s">
        <v>1744</v>
      </c>
      <c r="D418" s="183"/>
      <c r="E418" s="183"/>
      <c r="F418" s="188"/>
      <c r="G418" s="188"/>
      <c r="H418" s="183"/>
      <c r="I418" s="183"/>
      <c r="J418" s="188"/>
      <c r="K418" s="188"/>
      <c r="L418" s="9"/>
      <c r="M418" s="9"/>
      <c r="N418" s="183">
        <f t="shared" si="38"/>
        <v>20</v>
      </c>
      <c r="O418" s="7">
        <f>2.58/10</f>
        <v>0.25800000000000001</v>
      </c>
      <c r="P418" s="9"/>
      <c r="Q418" s="9"/>
      <c r="R418" s="7"/>
      <c r="S418" s="126"/>
      <c r="T418" s="126"/>
      <c r="U418" s="237"/>
      <c r="V418" s="103"/>
      <c r="W418" s="9"/>
      <c r="X418" s="9"/>
      <c r="Y418" s="9"/>
      <c r="Z418" s="9"/>
      <c r="AA418" s="126"/>
      <c r="AB418" s="9"/>
      <c r="AC418" s="9"/>
      <c r="AD418" s="9"/>
      <c r="AE418" s="9"/>
      <c r="AF418" s="9"/>
      <c r="AG418" s="9"/>
      <c r="AH418" s="9"/>
      <c r="AI418" s="9"/>
      <c r="AJ418" s="7"/>
      <c r="AK418" s="7"/>
      <c r="AL418" s="7"/>
      <c r="AM418" s="7"/>
      <c r="AN418" s="7"/>
      <c r="AO418" s="7"/>
      <c r="AP418" s="7"/>
    </row>
    <row r="419" spans="1:42" ht="14.25" customHeight="1">
      <c r="A419" s="116" t="s">
        <v>2704</v>
      </c>
      <c r="B419" s="9">
        <v>1.5</v>
      </c>
      <c r="C419" s="7" t="s">
        <v>1745</v>
      </c>
      <c r="N419" s="183">
        <f t="shared" si="38"/>
        <v>20</v>
      </c>
      <c r="O419" s="7">
        <f>2.58/10</f>
        <v>0.25800000000000001</v>
      </c>
    </row>
    <row r="420" spans="1:42" ht="14.25" customHeight="1">
      <c r="A420" s="116" t="s">
        <v>2705</v>
      </c>
      <c r="B420" s="9">
        <v>1.5</v>
      </c>
      <c r="C420" s="7" t="s">
        <v>1746</v>
      </c>
      <c r="N420" s="183">
        <f t="shared" si="38"/>
        <v>20</v>
      </c>
      <c r="O420" s="7">
        <f>2.58/10</f>
        <v>0.25800000000000001</v>
      </c>
    </row>
    <row r="421" spans="1:42" ht="14.25" customHeight="1">
      <c r="A421" s="112">
        <v>253.01</v>
      </c>
      <c r="B421" s="9">
        <f>650/100</f>
        <v>6.5</v>
      </c>
      <c r="C421" s="211" t="s">
        <v>1844</v>
      </c>
      <c r="D421" s="184"/>
      <c r="E421" s="184"/>
      <c r="H421" s="184"/>
      <c r="I421" s="184"/>
      <c r="L421" s="3"/>
      <c r="M421" s="3"/>
      <c r="N421" s="184">
        <v>100</v>
      </c>
      <c r="O421" s="6">
        <f>0.27*50/100</f>
        <v>0.13500000000000001</v>
      </c>
      <c r="P421" s="222"/>
      <c r="Q421" s="222"/>
      <c r="AJ421" s="211" t="s">
        <v>1844</v>
      </c>
    </row>
    <row r="422" spans="1:42" ht="14.25" customHeight="1">
      <c r="A422" s="112">
        <v>253.02</v>
      </c>
      <c r="B422" s="9">
        <f>600/100</f>
        <v>6</v>
      </c>
      <c r="C422" s="1" t="s">
        <v>1845</v>
      </c>
      <c r="D422" s="184"/>
      <c r="E422" s="184"/>
      <c r="H422" s="184"/>
      <c r="I422" s="184"/>
      <c r="L422" s="3"/>
      <c r="M422" s="3"/>
      <c r="N422" s="184">
        <v>100</v>
      </c>
      <c r="O422" s="6">
        <f>0.25*50/100</f>
        <v>0.125</v>
      </c>
      <c r="P422" s="222"/>
      <c r="Q422" s="222"/>
    </row>
    <row r="423" spans="1:42" ht="14.25" customHeight="1">
      <c r="A423" s="112">
        <v>253.03</v>
      </c>
      <c r="B423" s="9">
        <f>600/100</f>
        <v>6</v>
      </c>
      <c r="C423" s="1" t="s">
        <v>1846</v>
      </c>
      <c r="D423" s="184"/>
      <c r="E423" s="184"/>
      <c r="H423" s="184"/>
      <c r="I423" s="184"/>
      <c r="L423" s="3"/>
      <c r="M423" s="3"/>
      <c r="N423" s="184">
        <v>100</v>
      </c>
      <c r="O423" s="6">
        <f>0.25*50/100</f>
        <v>0.125</v>
      </c>
      <c r="P423" s="222"/>
      <c r="Q423" s="222"/>
    </row>
    <row r="424" spans="1:42" ht="14.25" customHeight="1">
      <c r="A424" s="112">
        <v>253.04</v>
      </c>
      <c r="B424" s="9">
        <f>1150/100</f>
        <v>11.5</v>
      </c>
      <c r="C424" s="211" t="s">
        <v>1847</v>
      </c>
      <c r="D424" s="184"/>
      <c r="E424" s="184"/>
      <c r="H424" s="184"/>
      <c r="I424" s="184"/>
      <c r="L424" s="3"/>
      <c r="M424" s="3"/>
      <c r="N424" s="184">
        <v>100</v>
      </c>
      <c r="O424" s="6">
        <v>0.36</v>
      </c>
      <c r="P424" s="222"/>
      <c r="Q424" s="222"/>
      <c r="AJ424" s="211" t="s">
        <v>1847</v>
      </c>
    </row>
    <row r="425" spans="1:42" ht="14.25" customHeight="1">
      <c r="A425" s="112">
        <v>253.05</v>
      </c>
      <c r="B425" s="9">
        <f>1200/100</f>
        <v>12</v>
      </c>
      <c r="C425" s="1" t="s">
        <v>1848</v>
      </c>
      <c r="D425" s="184"/>
      <c r="E425" s="184"/>
      <c r="H425" s="184"/>
      <c r="I425" s="184"/>
      <c r="L425" s="3"/>
      <c r="M425" s="3"/>
      <c r="N425" s="184">
        <v>100</v>
      </c>
      <c r="O425" s="6">
        <v>0.35</v>
      </c>
      <c r="P425" s="222"/>
      <c r="Q425" s="222"/>
    </row>
    <row r="426" spans="1:42" ht="14.25" customHeight="1">
      <c r="A426" s="112">
        <v>253.06</v>
      </c>
      <c r="B426" s="9">
        <f>1150/100</f>
        <v>11.5</v>
      </c>
      <c r="C426" s="1" t="s">
        <v>1849</v>
      </c>
      <c r="D426" s="184"/>
      <c r="E426" s="184"/>
      <c r="H426" s="184"/>
      <c r="I426" s="184"/>
      <c r="L426" s="3"/>
      <c r="M426" s="3"/>
      <c r="N426" s="184">
        <v>100</v>
      </c>
      <c r="O426" s="6">
        <v>0.35</v>
      </c>
      <c r="P426" s="222"/>
      <c r="Q426" s="222"/>
      <c r="AP426" s="4"/>
    </row>
    <row r="427" spans="1:42" ht="14.25" customHeight="1">
      <c r="A427" s="116" t="s">
        <v>2706</v>
      </c>
      <c r="B427" s="121">
        <f>350/200</f>
        <v>1.75</v>
      </c>
      <c r="C427" s="211" t="s">
        <v>1611</v>
      </c>
      <c r="N427" s="183">
        <v>200</v>
      </c>
      <c r="O427" s="56">
        <f>17/N427</f>
        <v>8.5000000000000006E-2</v>
      </c>
      <c r="P427" s="107"/>
      <c r="Q427" s="107"/>
      <c r="AJ427" s="211" t="s">
        <v>1611</v>
      </c>
      <c r="AP427" s="4"/>
    </row>
    <row r="428" spans="1:42" ht="14.25" customHeight="1">
      <c r="A428" s="116" t="s">
        <v>2707</v>
      </c>
      <c r="B428" s="121">
        <f>400/200</f>
        <v>2</v>
      </c>
      <c r="C428" s="7" t="s">
        <v>1621</v>
      </c>
      <c r="N428" s="183">
        <v>200</v>
      </c>
      <c r="O428" s="56">
        <f>19/N428</f>
        <v>9.5000000000000001E-2</v>
      </c>
      <c r="P428" s="107"/>
      <c r="Q428" s="107"/>
    </row>
    <row r="429" spans="1:42" ht="14.25" customHeight="1">
      <c r="A429" s="116" t="s">
        <v>2708</v>
      </c>
      <c r="B429" s="121">
        <f>500/200</f>
        <v>2.5</v>
      </c>
      <c r="C429" s="7" t="s">
        <v>1613</v>
      </c>
      <c r="N429" s="183">
        <v>200</v>
      </c>
      <c r="O429" s="56">
        <f>21/N429</f>
        <v>0.105</v>
      </c>
      <c r="P429" s="107"/>
      <c r="Q429" s="107"/>
      <c r="AP429" s="4"/>
    </row>
    <row r="430" spans="1:42" ht="14.25" customHeight="1">
      <c r="A430" s="116" t="s">
        <v>2709</v>
      </c>
      <c r="B430" s="121">
        <f>650/200</f>
        <v>3.25</v>
      </c>
      <c r="C430" s="7" t="s">
        <v>1612</v>
      </c>
      <c r="N430" s="183">
        <v>200</v>
      </c>
      <c r="O430" s="56">
        <f>28/N430</f>
        <v>0.14000000000000001</v>
      </c>
      <c r="P430" s="107"/>
      <c r="Q430" s="107"/>
    </row>
    <row r="431" spans="1:42" ht="14.25" customHeight="1">
      <c r="A431" s="116" t="s">
        <v>2710</v>
      </c>
      <c r="B431" s="9">
        <f>700/200</f>
        <v>3.5</v>
      </c>
      <c r="C431" s="211" t="s">
        <v>1609</v>
      </c>
      <c r="N431" s="183">
        <v>200</v>
      </c>
      <c r="O431" s="56">
        <f>30/N431</f>
        <v>0.15</v>
      </c>
      <c r="P431" s="107"/>
      <c r="Q431" s="107"/>
      <c r="AJ431" s="211" t="s">
        <v>1609</v>
      </c>
    </row>
    <row r="432" spans="1:42" ht="14.25" customHeight="1">
      <c r="A432" s="116" t="s">
        <v>2711</v>
      </c>
      <c r="B432" s="9">
        <f>700/200</f>
        <v>3.5</v>
      </c>
      <c r="C432" s="211" t="s">
        <v>1614</v>
      </c>
      <c r="N432" s="183">
        <v>200</v>
      </c>
      <c r="O432" s="56">
        <f>30/N432</f>
        <v>0.15</v>
      </c>
      <c r="P432" s="107"/>
      <c r="Q432" s="107"/>
      <c r="AJ432" s="211" t="s">
        <v>1614</v>
      </c>
    </row>
    <row r="433" spans="1:42" ht="14.25" customHeight="1">
      <c r="A433" s="116" t="s">
        <v>2712</v>
      </c>
      <c r="B433" s="9">
        <f>550/100</f>
        <v>5.5</v>
      </c>
      <c r="C433" s="7" t="s">
        <v>1620</v>
      </c>
      <c r="N433" s="183">
        <v>100</v>
      </c>
      <c r="O433" s="56">
        <f>20/N433</f>
        <v>0.2</v>
      </c>
      <c r="P433" s="107"/>
      <c r="Q433" s="107"/>
    </row>
    <row r="434" spans="1:42" ht="14.25" customHeight="1">
      <c r="A434" s="116" t="s">
        <v>2713</v>
      </c>
      <c r="B434" s="9">
        <f>550/100</f>
        <v>5.5</v>
      </c>
      <c r="C434" s="7" t="s">
        <v>1618</v>
      </c>
      <c r="N434" s="183">
        <v>100</v>
      </c>
      <c r="O434" s="56">
        <f>20/N434</f>
        <v>0.2</v>
      </c>
      <c r="P434" s="107"/>
      <c r="Q434" s="107"/>
    </row>
    <row r="435" spans="1:42" ht="14.25" customHeight="1">
      <c r="A435" s="116" t="s">
        <v>2714</v>
      </c>
      <c r="B435" s="9">
        <f>600/100</f>
        <v>6</v>
      </c>
      <c r="C435" s="7" t="s">
        <v>1619</v>
      </c>
      <c r="N435" s="183">
        <v>100</v>
      </c>
      <c r="O435" s="56">
        <f>22/N435</f>
        <v>0.22</v>
      </c>
      <c r="P435" s="107"/>
      <c r="Q435" s="107"/>
    </row>
    <row r="436" spans="1:42" ht="14.25" customHeight="1">
      <c r="A436" s="116" t="s">
        <v>2715</v>
      </c>
      <c r="B436" s="9">
        <f>750/100</f>
        <v>7.5</v>
      </c>
      <c r="C436" s="7" t="s">
        <v>1616</v>
      </c>
      <c r="N436" s="183">
        <v>100</v>
      </c>
      <c r="O436" s="56">
        <f>22/N436</f>
        <v>0.22</v>
      </c>
      <c r="P436" s="107"/>
      <c r="Q436" s="107"/>
    </row>
    <row r="437" spans="1:42" ht="14.25" customHeight="1">
      <c r="A437" s="116" t="s">
        <v>2716</v>
      </c>
      <c r="B437" s="9">
        <f>950/100</f>
        <v>9.5</v>
      </c>
      <c r="C437" s="7" t="s">
        <v>1622</v>
      </c>
      <c r="N437" s="183">
        <v>100</v>
      </c>
      <c r="O437" s="56">
        <f>27/N437</f>
        <v>0.27</v>
      </c>
      <c r="P437" s="107"/>
      <c r="Q437" s="107"/>
    </row>
    <row r="438" spans="1:42" ht="14.25" customHeight="1">
      <c r="A438" s="116" t="s">
        <v>2717</v>
      </c>
      <c r="B438" s="9">
        <f>900/100</f>
        <v>9</v>
      </c>
      <c r="C438" s="7" t="s">
        <v>1617</v>
      </c>
      <c r="N438" s="183">
        <v>100</v>
      </c>
      <c r="O438" s="56">
        <f>27/N438</f>
        <v>0.27</v>
      </c>
      <c r="P438" s="107"/>
      <c r="Q438" s="107"/>
    </row>
    <row r="439" spans="1:42" ht="14.25" customHeight="1">
      <c r="A439" s="116" t="s">
        <v>2718</v>
      </c>
      <c r="B439" s="9">
        <f>1350/100</f>
        <v>13.5</v>
      </c>
      <c r="C439" s="7" t="s">
        <v>1610</v>
      </c>
      <c r="N439" s="183">
        <v>100</v>
      </c>
      <c r="O439" s="56">
        <f>38/N439</f>
        <v>0.38</v>
      </c>
      <c r="P439" s="107"/>
      <c r="Q439" s="107"/>
    </row>
    <row r="440" spans="1:42" ht="14.25" customHeight="1">
      <c r="A440" s="116" t="s">
        <v>2719</v>
      </c>
      <c r="B440" s="9">
        <f>1350/100</f>
        <v>13.5</v>
      </c>
      <c r="C440" s="7" t="s">
        <v>1615</v>
      </c>
      <c r="N440" s="183">
        <v>100</v>
      </c>
      <c r="O440" s="56">
        <f>38/N440</f>
        <v>0.38</v>
      </c>
      <c r="P440" s="107"/>
      <c r="Q440" s="107"/>
    </row>
    <row r="441" spans="1:42" ht="14.25" customHeight="1">
      <c r="A441" s="125" t="s">
        <v>2622</v>
      </c>
      <c r="B441" s="9">
        <v>25.5</v>
      </c>
      <c r="C441" s="211" t="s">
        <v>5966</v>
      </c>
      <c r="N441" s="183">
        <v>2</v>
      </c>
      <c r="O441" s="7">
        <v>0.8</v>
      </c>
      <c r="AJ441" s="211" t="s">
        <v>5966</v>
      </c>
    </row>
    <row r="442" spans="1:42" ht="14.25" customHeight="1">
      <c r="A442" s="125" t="s">
        <v>2623</v>
      </c>
      <c r="B442" s="9">
        <v>25.5</v>
      </c>
      <c r="C442" s="7" t="s">
        <v>5971</v>
      </c>
      <c r="N442" s="183">
        <v>2</v>
      </c>
      <c r="O442" s="7">
        <v>0.8</v>
      </c>
    </row>
    <row r="443" spans="1:42" ht="14.25" customHeight="1">
      <c r="A443" s="125" t="s">
        <v>2624</v>
      </c>
      <c r="B443" s="9">
        <v>25.5</v>
      </c>
      <c r="C443" s="7" t="s">
        <v>5972</v>
      </c>
      <c r="N443" s="183">
        <v>1</v>
      </c>
      <c r="O443" s="7">
        <v>0.8</v>
      </c>
    </row>
    <row r="444" spans="1:42" ht="14.25" customHeight="1">
      <c r="A444" s="125" t="s">
        <v>2625</v>
      </c>
      <c r="B444" s="9">
        <v>25.5</v>
      </c>
      <c r="C444" s="7" t="s">
        <v>5973</v>
      </c>
      <c r="N444" s="183">
        <v>1</v>
      </c>
      <c r="O444" s="7">
        <v>0.8</v>
      </c>
    </row>
    <row r="445" spans="1:42" ht="14.25" customHeight="1">
      <c r="A445" s="125" t="s">
        <v>2626</v>
      </c>
      <c r="B445" s="9">
        <v>25.5</v>
      </c>
      <c r="C445" s="7" t="s">
        <v>5974</v>
      </c>
      <c r="N445" s="183">
        <v>1</v>
      </c>
      <c r="O445" s="7">
        <v>0.8</v>
      </c>
    </row>
    <row r="446" spans="1:42" s="4" customFormat="1" ht="14.25" customHeight="1">
      <c r="A446" s="125" t="s">
        <v>2627</v>
      </c>
      <c r="B446" s="9">
        <v>25.5</v>
      </c>
      <c r="C446" s="7" t="s">
        <v>5975</v>
      </c>
      <c r="D446" s="183"/>
      <c r="E446" s="183"/>
      <c r="F446" s="188"/>
      <c r="G446" s="188"/>
      <c r="H446" s="183"/>
      <c r="I446" s="183"/>
      <c r="J446" s="188"/>
      <c r="K446" s="188"/>
      <c r="L446" s="9"/>
      <c r="M446" s="9"/>
      <c r="N446" s="183">
        <v>1</v>
      </c>
      <c r="O446" s="7">
        <v>0.8</v>
      </c>
      <c r="P446" s="9"/>
      <c r="Q446" s="9"/>
      <c r="R446" s="7"/>
      <c r="S446" s="126"/>
      <c r="T446" s="126"/>
      <c r="U446" s="237"/>
      <c r="V446" s="103"/>
      <c r="W446" s="9"/>
      <c r="X446" s="9"/>
      <c r="Y446" s="9"/>
      <c r="Z446" s="9"/>
      <c r="AA446" s="126"/>
      <c r="AB446" s="9"/>
      <c r="AC446" s="9"/>
      <c r="AD446" s="9"/>
      <c r="AE446" s="9"/>
      <c r="AF446" s="9"/>
      <c r="AG446" s="9"/>
      <c r="AH446" s="9"/>
      <c r="AI446" s="9"/>
      <c r="AJ446" s="7"/>
      <c r="AK446" s="7"/>
      <c r="AL446" s="7"/>
      <c r="AM446" s="7"/>
      <c r="AN446" s="7"/>
      <c r="AO446" s="7"/>
      <c r="AP446" s="7"/>
    </row>
    <row r="447" spans="1:42" ht="14.25" customHeight="1">
      <c r="A447" s="125" t="s">
        <v>2628</v>
      </c>
      <c r="B447" s="9">
        <v>40.9</v>
      </c>
      <c r="C447" s="211" t="s">
        <v>5790</v>
      </c>
      <c r="N447" s="183">
        <v>2</v>
      </c>
      <c r="O447" s="7">
        <v>1.2</v>
      </c>
      <c r="AJ447" s="211" t="s">
        <v>5790</v>
      </c>
    </row>
    <row r="448" spans="1:42" s="4" customFormat="1" ht="14.25" customHeight="1">
      <c r="A448" s="125" t="s">
        <v>2629</v>
      </c>
      <c r="B448" s="9">
        <v>40.9</v>
      </c>
      <c r="C448" s="7" t="s">
        <v>5791</v>
      </c>
      <c r="D448" s="183"/>
      <c r="E448" s="183"/>
      <c r="F448" s="188"/>
      <c r="G448" s="188"/>
      <c r="H448" s="183"/>
      <c r="I448" s="183"/>
      <c r="J448" s="188"/>
      <c r="K448" s="188"/>
      <c r="L448" s="9"/>
      <c r="M448" s="9"/>
      <c r="N448" s="183">
        <v>2</v>
      </c>
      <c r="O448" s="7">
        <v>1.2</v>
      </c>
      <c r="P448" s="9"/>
      <c r="Q448" s="9"/>
      <c r="R448" s="7"/>
      <c r="S448" s="126"/>
      <c r="T448" s="126"/>
      <c r="U448" s="237"/>
      <c r="V448" s="103"/>
      <c r="W448" s="9"/>
      <c r="X448" s="9"/>
      <c r="Y448" s="9"/>
      <c r="Z448" s="9"/>
      <c r="AA448" s="126"/>
      <c r="AB448" s="9"/>
      <c r="AC448" s="9"/>
      <c r="AD448" s="9"/>
      <c r="AE448" s="9"/>
      <c r="AF448" s="9"/>
      <c r="AG448" s="9"/>
      <c r="AH448" s="9"/>
      <c r="AI448" s="9"/>
      <c r="AJ448" s="7"/>
      <c r="AK448" s="7"/>
      <c r="AL448" s="7"/>
      <c r="AM448" s="7"/>
      <c r="AN448" s="7"/>
      <c r="AO448" s="7"/>
      <c r="AP448" s="7"/>
    </row>
    <row r="449" spans="1:42" ht="14.25" customHeight="1">
      <c r="A449" s="125" t="s">
        <v>2630</v>
      </c>
      <c r="B449" s="9">
        <v>40.9</v>
      </c>
      <c r="C449" s="7" t="s">
        <v>5792</v>
      </c>
      <c r="N449" s="183">
        <v>1</v>
      </c>
      <c r="O449" s="7">
        <v>1.2</v>
      </c>
    </row>
    <row r="450" spans="1:42" ht="14.25" customHeight="1">
      <c r="A450" s="125" t="s">
        <v>2631</v>
      </c>
      <c r="B450" s="9">
        <v>40.9</v>
      </c>
      <c r="C450" s="7" t="s">
        <v>5793</v>
      </c>
      <c r="N450" s="183">
        <v>1</v>
      </c>
      <c r="O450" s="7">
        <v>1.2</v>
      </c>
    </row>
    <row r="451" spans="1:42" ht="14.25" customHeight="1">
      <c r="A451" s="125" t="s">
        <v>2632</v>
      </c>
      <c r="B451" s="9">
        <v>40.9</v>
      </c>
      <c r="C451" s="7" t="s">
        <v>5794</v>
      </c>
      <c r="N451" s="183">
        <v>1</v>
      </c>
      <c r="O451" s="7">
        <v>1.2</v>
      </c>
    </row>
    <row r="452" spans="1:42" ht="14.25" customHeight="1">
      <c r="A452" s="125" t="s">
        <v>2633</v>
      </c>
      <c r="B452" s="9">
        <v>40.9</v>
      </c>
      <c r="C452" s="7" t="s">
        <v>5795</v>
      </c>
      <c r="N452" s="183">
        <v>1</v>
      </c>
      <c r="O452" s="7">
        <v>1.2</v>
      </c>
    </row>
    <row r="453" spans="1:42" ht="14.25" customHeight="1">
      <c r="A453" s="125" t="s">
        <v>2634</v>
      </c>
      <c r="B453" s="9">
        <v>40.9</v>
      </c>
      <c r="C453" s="7" t="s">
        <v>5796</v>
      </c>
      <c r="N453" s="183">
        <v>1</v>
      </c>
      <c r="O453" s="7">
        <v>1.5</v>
      </c>
    </row>
    <row r="454" spans="1:42" ht="14.25" customHeight="1">
      <c r="A454" s="125" t="s">
        <v>2635</v>
      </c>
      <c r="B454" s="9">
        <v>40.9</v>
      </c>
      <c r="C454" s="198" t="s">
        <v>6054</v>
      </c>
      <c r="N454" s="183">
        <v>1</v>
      </c>
      <c r="O454" s="7">
        <v>1.5</v>
      </c>
    </row>
    <row r="455" spans="1:42" ht="14.25" customHeight="1">
      <c r="A455" s="125" t="s">
        <v>2636</v>
      </c>
      <c r="B455" s="9">
        <v>54.4</v>
      </c>
      <c r="C455" s="211" t="s">
        <v>5798</v>
      </c>
      <c r="N455" s="183">
        <v>3</v>
      </c>
      <c r="O455" s="7">
        <v>2.1</v>
      </c>
      <c r="AJ455" s="211" t="s">
        <v>5798</v>
      </c>
    </row>
    <row r="456" spans="1:42" ht="14.25" customHeight="1">
      <c r="A456" s="125" t="s">
        <v>2637</v>
      </c>
      <c r="B456" s="9">
        <v>54.4</v>
      </c>
      <c r="C456" s="7" t="s">
        <v>5799</v>
      </c>
      <c r="N456" s="183">
        <v>4</v>
      </c>
      <c r="O456" s="7">
        <v>2.1</v>
      </c>
      <c r="AP456" s="4"/>
    </row>
    <row r="457" spans="1:42" ht="14.25" customHeight="1">
      <c r="A457" s="125" t="s">
        <v>2638</v>
      </c>
      <c r="B457" s="9">
        <v>54.4</v>
      </c>
      <c r="C457" s="7" t="s">
        <v>5800</v>
      </c>
      <c r="N457" s="183">
        <v>2</v>
      </c>
      <c r="O457" s="7">
        <v>2.1</v>
      </c>
    </row>
    <row r="458" spans="1:42" ht="14.25" customHeight="1">
      <c r="A458" s="125" t="s">
        <v>2639</v>
      </c>
      <c r="B458" s="9">
        <v>54.4</v>
      </c>
      <c r="C458" s="7" t="s">
        <v>5801</v>
      </c>
      <c r="N458" s="183">
        <v>2</v>
      </c>
      <c r="O458" s="7">
        <v>2.1</v>
      </c>
    </row>
    <row r="459" spans="1:42" ht="14.25" customHeight="1">
      <c r="A459" s="125" t="s">
        <v>2640</v>
      </c>
      <c r="B459" s="9">
        <v>54.4</v>
      </c>
      <c r="C459" s="7" t="s">
        <v>5802</v>
      </c>
      <c r="N459" s="183">
        <v>2</v>
      </c>
      <c r="O459" s="7">
        <v>2.1</v>
      </c>
    </row>
    <row r="460" spans="1:42" ht="14.25" customHeight="1">
      <c r="A460" s="125" t="s">
        <v>2641</v>
      </c>
      <c r="B460" s="9">
        <v>54.4</v>
      </c>
      <c r="C460" s="7" t="s">
        <v>5970</v>
      </c>
      <c r="N460" s="183">
        <v>2</v>
      </c>
      <c r="O460" s="7">
        <v>2.1</v>
      </c>
    </row>
    <row r="461" spans="1:42" ht="14.25" customHeight="1">
      <c r="A461" s="125" t="s">
        <v>2642</v>
      </c>
      <c r="B461" s="107">
        <f>222.2/1000</f>
        <v>0.22219999999999998</v>
      </c>
      <c r="C461" s="211" t="s">
        <v>5967</v>
      </c>
      <c r="N461" s="183">
        <v>1000</v>
      </c>
      <c r="O461" s="56">
        <f>8.8/1000</f>
        <v>8.8000000000000005E-3</v>
      </c>
      <c r="P461" s="107"/>
      <c r="Q461" s="107"/>
      <c r="AJ461" s="211" t="s">
        <v>5967</v>
      </c>
    </row>
    <row r="462" spans="1:42" ht="14.25" customHeight="1">
      <c r="A462" s="125" t="s">
        <v>2643</v>
      </c>
      <c r="B462" s="107">
        <f>269.3/500</f>
        <v>0.53859999999999997</v>
      </c>
      <c r="C462" s="7" t="s">
        <v>5968</v>
      </c>
      <c r="N462" s="183">
        <v>500</v>
      </c>
      <c r="O462" s="80">
        <f>9.2/500</f>
        <v>1.84E-2</v>
      </c>
      <c r="P462" s="221"/>
      <c r="Q462" s="221"/>
    </row>
    <row r="463" spans="1:42" ht="14.25" customHeight="1">
      <c r="A463" s="125" t="s">
        <v>2644</v>
      </c>
      <c r="B463" s="107">
        <f>260/250</f>
        <v>1.04</v>
      </c>
      <c r="C463" s="1" t="s">
        <v>5969</v>
      </c>
      <c r="N463" s="183">
        <v>250</v>
      </c>
      <c r="O463" s="7">
        <f>8.6/250</f>
        <v>3.44E-2</v>
      </c>
    </row>
    <row r="464" spans="1:42" ht="14.25" customHeight="1">
      <c r="A464" s="112">
        <v>262.41000000000003</v>
      </c>
      <c r="B464" s="9">
        <f>330/10</f>
        <v>33</v>
      </c>
      <c r="C464" s="1" t="s">
        <v>5803</v>
      </c>
      <c r="D464" s="184"/>
      <c r="E464" s="184"/>
      <c r="H464" s="184"/>
      <c r="I464" s="184"/>
      <c r="L464" s="3"/>
      <c r="M464" s="3"/>
      <c r="N464" s="184">
        <v>20</v>
      </c>
      <c r="O464" s="6">
        <v>1.28</v>
      </c>
      <c r="P464" s="222"/>
      <c r="Q464" s="222"/>
    </row>
    <row r="465" spans="1:42" ht="14.25" customHeight="1">
      <c r="A465" s="125" t="s">
        <v>2645</v>
      </c>
      <c r="B465" s="107">
        <f>68.6/30</f>
        <v>2.2866666666666666</v>
      </c>
      <c r="C465" s="211" t="s">
        <v>5804</v>
      </c>
      <c r="N465" s="183">
        <v>30</v>
      </c>
      <c r="O465" s="7">
        <v>0.16</v>
      </c>
      <c r="AJ465" s="211" t="s">
        <v>5804</v>
      </c>
    </row>
    <row r="466" spans="1:42" ht="14.25" customHeight="1">
      <c r="A466" s="125" t="s">
        <v>2646</v>
      </c>
      <c r="B466" s="107">
        <f>81.6/30</f>
        <v>2.7199999999999998</v>
      </c>
      <c r="C466" s="7" t="s">
        <v>5805</v>
      </c>
      <c r="N466" s="183">
        <v>30</v>
      </c>
      <c r="O466" s="7">
        <v>0.17</v>
      </c>
    </row>
    <row r="467" spans="1:42" ht="14.25" customHeight="1">
      <c r="A467" s="125" t="s">
        <v>2647</v>
      </c>
      <c r="B467" s="107">
        <f>118.3/30</f>
        <v>3.9433333333333334</v>
      </c>
      <c r="C467" s="7" t="s">
        <v>5806</v>
      </c>
      <c r="N467" s="183">
        <v>30</v>
      </c>
      <c r="O467" s="7">
        <v>0.19</v>
      </c>
    </row>
    <row r="468" spans="1:42" ht="14.25" customHeight="1">
      <c r="A468" s="125" t="s">
        <v>2648</v>
      </c>
      <c r="B468" s="107">
        <f>97.5/20</f>
        <v>4.875</v>
      </c>
      <c r="C468" s="7" t="s">
        <v>5807</v>
      </c>
      <c r="N468" s="183">
        <v>20</v>
      </c>
      <c r="O468" s="7">
        <v>0.24</v>
      </c>
    </row>
    <row r="469" spans="1:42" ht="14.25" customHeight="1">
      <c r="A469" s="125" t="s">
        <v>2649</v>
      </c>
      <c r="B469" s="107">
        <f>117/25</f>
        <v>4.68</v>
      </c>
      <c r="C469" s="7" t="s">
        <v>5808</v>
      </c>
      <c r="D469" s="184"/>
      <c r="E469" s="184"/>
      <c r="H469" s="184"/>
      <c r="I469" s="184"/>
      <c r="L469" s="3"/>
      <c r="M469" s="3"/>
      <c r="N469" s="184">
        <v>25</v>
      </c>
      <c r="O469" s="7">
        <f>0.26*20/25</f>
        <v>0.20800000000000002</v>
      </c>
    </row>
    <row r="470" spans="1:42" ht="14.25" customHeight="1">
      <c r="A470" s="125" t="s">
        <v>2650</v>
      </c>
      <c r="B470" s="107">
        <f>119/23</f>
        <v>5.1739130434782608</v>
      </c>
      <c r="C470" s="7" t="s">
        <v>5809</v>
      </c>
      <c r="D470" s="184"/>
      <c r="E470" s="184"/>
      <c r="H470" s="184"/>
      <c r="I470" s="184"/>
      <c r="L470" s="3"/>
      <c r="M470" s="3"/>
      <c r="N470" s="184">
        <v>23</v>
      </c>
      <c r="O470" s="80">
        <f>0.28*20/23</f>
        <v>0.24347826086956523</v>
      </c>
      <c r="P470" s="221"/>
      <c r="Q470" s="221"/>
    </row>
    <row r="471" spans="1:42" ht="14.25" customHeight="1">
      <c r="A471" s="125" t="s">
        <v>2651</v>
      </c>
      <c r="B471" s="107">
        <f>181/22</f>
        <v>8.2272727272727266</v>
      </c>
      <c r="C471" s="7" t="s">
        <v>5810</v>
      </c>
      <c r="D471" s="184"/>
      <c r="E471" s="184"/>
      <c r="H471" s="184"/>
      <c r="I471" s="184"/>
      <c r="L471" s="3"/>
      <c r="M471" s="3"/>
      <c r="N471" s="184">
        <v>22</v>
      </c>
      <c r="O471" s="80">
        <f>0.38*15/22</f>
        <v>0.25909090909090909</v>
      </c>
      <c r="P471" s="221"/>
      <c r="Q471" s="221"/>
    </row>
    <row r="472" spans="1:42" ht="14.25" customHeight="1">
      <c r="A472" s="125" t="s">
        <v>2596</v>
      </c>
      <c r="B472" s="9">
        <f>53.6/2</f>
        <v>26.8</v>
      </c>
      <c r="C472" s="211" t="s">
        <v>5963</v>
      </c>
      <c r="N472" s="183">
        <f t="shared" ref="N472:N479" si="39">2*2</f>
        <v>4</v>
      </c>
      <c r="O472" s="7">
        <f t="shared" ref="O472:O479" si="40">1.85/2</f>
        <v>0.92500000000000004</v>
      </c>
      <c r="AJ472" s="211" t="s">
        <v>5963</v>
      </c>
    </row>
    <row r="473" spans="1:42" ht="14.25" customHeight="1">
      <c r="A473" s="125" t="s">
        <v>2597</v>
      </c>
      <c r="B473" s="9">
        <f>53.6/2</f>
        <v>26.8</v>
      </c>
      <c r="C473" s="1" t="s">
        <v>5811</v>
      </c>
      <c r="N473" s="183">
        <f t="shared" si="39"/>
        <v>4</v>
      </c>
      <c r="O473" s="7">
        <f t="shared" si="40"/>
        <v>0.92500000000000004</v>
      </c>
    </row>
    <row r="474" spans="1:42" ht="14.25" customHeight="1">
      <c r="A474" s="125" t="s">
        <v>2598</v>
      </c>
      <c r="B474" s="9">
        <f>53.3/2</f>
        <v>26.65</v>
      </c>
      <c r="C474" s="1" t="s">
        <v>5812</v>
      </c>
      <c r="N474" s="183">
        <f t="shared" si="39"/>
        <v>4</v>
      </c>
      <c r="O474" s="7">
        <f t="shared" si="40"/>
        <v>0.92500000000000004</v>
      </c>
    </row>
    <row r="475" spans="1:42" s="4" customFormat="1" ht="14.25" customHeight="1">
      <c r="A475" s="125" t="s">
        <v>2599</v>
      </c>
      <c r="B475" s="129">
        <f>55.6/2</f>
        <v>27.8</v>
      </c>
      <c r="C475" s="1" t="s">
        <v>5813</v>
      </c>
      <c r="D475" s="183"/>
      <c r="E475" s="183"/>
      <c r="F475" s="188"/>
      <c r="G475" s="188"/>
      <c r="H475" s="183"/>
      <c r="I475" s="183"/>
      <c r="J475" s="188"/>
      <c r="K475" s="188"/>
      <c r="L475" s="9"/>
      <c r="M475" s="9"/>
      <c r="N475" s="183">
        <f t="shared" si="39"/>
        <v>4</v>
      </c>
      <c r="O475" s="7">
        <f t="shared" si="40"/>
        <v>0.92500000000000004</v>
      </c>
      <c r="P475" s="9"/>
      <c r="Q475" s="9"/>
      <c r="R475" s="7"/>
      <c r="S475" s="126"/>
      <c r="T475" s="126"/>
      <c r="U475" s="237"/>
      <c r="V475" s="103"/>
      <c r="W475" s="9"/>
      <c r="X475" s="9"/>
      <c r="Y475" s="9"/>
      <c r="Z475" s="9"/>
      <c r="AA475" s="126"/>
      <c r="AB475" s="9"/>
      <c r="AC475" s="9"/>
      <c r="AD475" s="9"/>
      <c r="AE475" s="9"/>
      <c r="AF475" s="9"/>
      <c r="AG475" s="9"/>
      <c r="AH475" s="9"/>
      <c r="AI475" s="9"/>
      <c r="AJ475" s="7"/>
      <c r="AK475" s="7"/>
      <c r="AL475" s="7"/>
      <c r="AM475" s="7"/>
      <c r="AN475" s="7"/>
      <c r="AO475" s="7"/>
      <c r="AP475" s="7"/>
    </row>
    <row r="476" spans="1:42" ht="14.25" customHeight="1">
      <c r="A476" s="125" t="s">
        <v>2600</v>
      </c>
      <c r="B476" s="9">
        <f>55.1/2</f>
        <v>27.55</v>
      </c>
      <c r="C476" s="1" t="s">
        <v>5814</v>
      </c>
      <c r="N476" s="183">
        <f t="shared" si="39"/>
        <v>4</v>
      </c>
      <c r="O476" s="7">
        <f t="shared" si="40"/>
        <v>0.92500000000000004</v>
      </c>
    </row>
    <row r="477" spans="1:42" ht="14.25" customHeight="1">
      <c r="A477" s="125" t="s">
        <v>2601</v>
      </c>
      <c r="B477" s="9">
        <f>52.6/2</f>
        <v>26.3</v>
      </c>
      <c r="C477" s="1" t="s">
        <v>5815</v>
      </c>
      <c r="N477" s="183">
        <f t="shared" si="39"/>
        <v>4</v>
      </c>
      <c r="O477" s="7">
        <f t="shared" si="40"/>
        <v>0.92500000000000004</v>
      </c>
    </row>
    <row r="478" spans="1:42" ht="14.25" customHeight="1">
      <c r="A478" s="125" t="s">
        <v>2602</v>
      </c>
      <c r="B478" s="9">
        <f>54/2</f>
        <v>27</v>
      </c>
      <c r="C478" s="1" t="s">
        <v>5816</v>
      </c>
      <c r="N478" s="183">
        <f t="shared" si="39"/>
        <v>4</v>
      </c>
      <c r="O478" s="7">
        <f t="shared" si="40"/>
        <v>0.92500000000000004</v>
      </c>
      <c r="AP478" s="4"/>
    </row>
    <row r="479" spans="1:42" ht="14.25" customHeight="1">
      <c r="A479" s="125" t="s">
        <v>2603</v>
      </c>
      <c r="B479" s="9">
        <f>52.5/2</f>
        <v>26.25</v>
      </c>
      <c r="C479" s="1" t="s">
        <v>5817</v>
      </c>
      <c r="N479" s="183">
        <f t="shared" si="39"/>
        <v>4</v>
      </c>
      <c r="O479" s="7">
        <f t="shared" si="40"/>
        <v>0.92500000000000004</v>
      </c>
    </row>
    <row r="480" spans="1:42" ht="14.25" customHeight="1">
      <c r="A480" s="125" t="s">
        <v>2604</v>
      </c>
      <c r="B480" s="9">
        <v>14</v>
      </c>
      <c r="C480" s="211" t="s">
        <v>5964</v>
      </c>
      <c r="N480" s="183">
        <v>3</v>
      </c>
      <c r="O480" s="7">
        <v>1.5</v>
      </c>
      <c r="AJ480" s="211" t="s">
        <v>5964</v>
      </c>
    </row>
    <row r="481" spans="1:42" ht="14.25" customHeight="1">
      <c r="A481" s="125" t="s">
        <v>2605</v>
      </c>
      <c r="B481" s="9">
        <v>14</v>
      </c>
      <c r="C481" s="7" t="s">
        <v>5818</v>
      </c>
      <c r="N481" s="183">
        <v>3</v>
      </c>
      <c r="O481" s="7">
        <v>1.5</v>
      </c>
    </row>
    <row r="482" spans="1:42" ht="14.25" customHeight="1">
      <c r="A482" s="125" t="s">
        <v>2606</v>
      </c>
      <c r="B482" s="9">
        <v>14</v>
      </c>
      <c r="C482" s="7" t="s">
        <v>5819</v>
      </c>
      <c r="N482" s="183">
        <v>3</v>
      </c>
      <c r="O482" s="7">
        <v>1.5</v>
      </c>
    </row>
    <row r="483" spans="1:42" ht="14.25" customHeight="1">
      <c r="A483" s="125" t="s">
        <v>2607</v>
      </c>
      <c r="B483" s="9">
        <v>14</v>
      </c>
      <c r="C483" s="7" t="s">
        <v>5820</v>
      </c>
      <c r="N483" s="183">
        <v>3</v>
      </c>
      <c r="O483" s="7">
        <v>1.5</v>
      </c>
    </row>
    <row r="484" spans="1:42" ht="14.25" customHeight="1">
      <c r="A484" s="125" t="s">
        <v>2608</v>
      </c>
      <c r="B484" s="9">
        <v>14</v>
      </c>
      <c r="C484" s="7" t="s">
        <v>5821</v>
      </c>
      <c r="N484" s="183">
        <v>3</v>
      </c>
      <c r="O484" s="7">
        <v>1.5</v>
      </c>
    </row>
    <row r="485" spans="1:42" ht="14.25" customHeight="1">
      <c r="A485" s="125" t="s">
        <v>2609</v>
      </c>
      <c r="B485" s="9">
        <v>14</v>
      </c>
      <c r="C485" s="7" t="s">
        <v>5822</v>
      </c>
      <c r="N485" s="183">
        <v>3</v>
      </c>
      <c r="O485" s="7">
        <v>1.5</v>
      </c>
    </row>
    <row r="486" spans="1:42" ht="14.25" customHeight="1">
      <c r="A486" s="125" t="s">
        <v>2610</v>
      </c>
      <c r="B486" s="9">
        <v>14</v>
      </c>
      <c r="C486" s="7" t="s">
        <v>5823</v>
      </c>
      <c r="N486" s="183">
        <v>3</v>
      </c>
      <c r="O486" s="7">
        <v>1.5</v>
      </c>
    </row>
    <row r="487" spans="1:42" ht="14.25" customHeight="1">
      <c r="A487" s="125" t="s">
        <v>2611</v>
      </c>
      <c r="B487" s="9">
        <v>13</v>
      </c>
      <c r="C487" s="211" t="s">
        <v>5824</v>
      </c>
      <c r="N487" s="183">
        <v>3</v>
      </c>
      <c r="O487" s="7">
        <v>0.9</v>
      </c>
      <c r="AJ487" s="211" t="s">
        <v>5824</v>
      </c>
    </row>
    <row r="488" spans="1:42" ht="14.25" customHeight="1">
      <c r="A488" s="125" t="s">
        <v>2612</v>
      </c>
      <c r="B488" s="9">
        <v>13</v>
      </c>
      <c r="C488" s="7" t="s">
        <v>5825</v>
      </c>
      <c r="N488" s="183">
        <v>3</v>
      </c>
      <c r="O488" s="7">
        <v>0.9</v>
      </c>
    </row>
    <row r="489" spans="1:42" ht="14.25" customHeight="1">
      <c r="A489" s="125" t="s">
        <v>2613</v>
      </c>
      <c r="B489" s="9">
        <v>13</v>
      </c>
      <c r="C489" s="7" t="s">
        <v>5826</v>
      </c>
      <c r="N489" s="183">
        <v>3</v>
      </c>
      <c r="O489" s="7">
        <v>0.9</v>
      </c>
      <c r="AP489" s="4"/>
    </row>
    <row r="490" spans="1:42" ht="14.25" customHeight="1">
      <c r="A490" s="125" t="s">
        <v>2614</v>
      </c>
      <c r="B490" s="9">
        <v>13</v>
      </c>
      <c r="C490" s="7" t="s">
        <v>5827</v>
      </c>
      <c r="N490" s="183">
        <v>3</v>
      </c>
      <c r="O490" s="7">
        <v>0.9</v>
      </c>
    </row>
    <row r="491" spans="1:42" ht="14.25" customHeight="1">
      <c r="A491" s="125" t="s">
        <v>2615</v>
      </c>
      <c r="B491" s="9">
        <v>13</v>
      </c>
      <c r="C491" s="7" t="s">
        <v>5828</v>
      </c>
      <c r="N491" s="183">
        <v>3</v>
      </c>
      <c r="O491" s="7">
        <v>0.9</v>
      </c>
    </row>
    <row r="492" spans="1:42" ht="14.25" customHeight="1">
      <c r="A492" s="125" t="s">
        <v>2616</v>
      </c>
      <c r="B492" s="9">
        <v>13</v>
      </c>
      <c r="C492" s="7" t="s">
        <v>5829</v>
      </c>
      <c r="N492" s="183">
        <v>3</v>
      </c>
      <c r="O492" s="7">
        <v>0.9</v>
      </c>
    </row>
    <row r="493" spans="1:42" ht="14.25" customHeight="1">
      <c r="A493" s="125" t="s">
        <v>2617</v>
      </c>
      <c r="B493" s="9">
        <v>6</v>
      </c>
      <c r="C493" s="211" t="s">
        <v>5965</v>
      </c>
      <c r="N493" s="183">
        <v>3</v>
      </c>
      <c r="O493" s="7">
        <v>1.6</v>
      </c>
      <c r="AJ493" s="211" t="s">
        <v>5965</v>
      </c>
    </row>
    <row r="494" spans="1:42" ht="14.25" customHeight="1">
      <c r="A494" s="125" t="s">
        <v>2618</v>
      </c>
      <c r="B494" s="9">
        <v>6</v>
      </c>
      <c r="C494" s="7" t="s">
        <v>5830</v>
      </c>
      <c r="N494" s="183">
        <v>3</v>
      </c>
      <c r="O494" s="7">
        <v>1.6</v>
      </c>
    </row>
    <row r="495" spans="1:42" ht="14.25" customHeight="1">
      <c r="A495" s="125" t="s">
        <v>2619</v>
      </c>
      <c r="B495" s="9">
        <v>6</v>
      </c>
      <c r="C495" s="7" t="s">
        <v>5831</v>
      </c>
      <c r="N495" s="183">
        <v>3</v>
      </c>
      <c r="O495" s="7">
        <v>1.6</v>
      </c>
    </row>
    <row r="496" spans="1:42" s="4" customFormat="1" ht="14.25" customHeight="1">
      <c r="A496" s="125" t="s">
        <v>2620</v>
      </c>
      <c r="B496" s="9">
        <v>6</v>
      </c>
      <c r="C496" s="7" t="s">
        <v>5832</v>
      </c>
      <c r="D496" s="183"/>
      <c r="E496" s="183"/>
      <c r="F496" s="188"/>
      <c r="G496" s="188"/>
      <c r="H496" s="183"/>
      <c r="I496" s="183"/>
      <c r="J496" s="188"/>
      <c r="K496" s="188"/>
      <c r="L496" s="9"/>
      <c r="M496" s="9"/>
      <c r="N496" s="183">
        <v>3</v>
      </c>
      <c r="O496" s="7">
        <v>1.6</v>
      </c>
      <c r="P496" s="9"/>
      <c r="Q496" s="9"/>
      <c r="R496" s="7"/>
      <c r="S496" s="126"/>
      <c r="T496" s="126"/>
      <c r="U496" s="237"/>
      <c r="V496" s="103"/>
      <c r="W496" s="9"/>
      <c r="X496" s="9"/>
      <c r="Y496" s="9"/>
      <c r="Z496" s="9"/>
      <c r="AA496" s="126"/>
      <c r="AB496" s="9"/>
      <c r="AC496" s="9"/>
      <c r="AD496" s="9"/>
      <c r="AE496" s="9"/>
      <c r="AF496" s="9"/>
      <c r="AG496" s="9"/>
      <c r="AH496" s="9"/>
      <c r="AI496" s="9"/>
      <c r="AJ496" s="7"/>
      <c r="AK496" s="7"/>
      <c r="AL496" s="7"/>
      <c r="AM496" s="7"/>
      <c r="AN496" s="7"/>
      <c r="AO496" s="7"/>
      <c r="AP496" s="7"/>
    </row>
    <row r="497" spans="1:42" ht="14.25" customHeight="1">
      <c r="A497" s="125" t="s">
        <v>2621</v>
      </c>
      <c r="B497" s="9">
        <v>6</v>
      </c>
      <c r="C497" s="7" t="s">
        <v>5833</v>
      </c>
      <c r="N497" s="183">
        <v>3</v>
      </c>
      <c r="O497" s="7">
        <v>1.6</v>
      </c>
    </row>
    <row r="498" spans="1:42" ht="14.25" customHeight="1">
      <c r="A498" s="133" t="s">
        <v>2426</v>
      </c>
      <c r="B498" s="9">
        <v>57.6</v>
      </c>
      <c r="C498" s="211" t="s">
        <v>1259</v>
      </c>
      <c r="N498" s="183">
        <v>20</v>
      </c>
      <c r="O498" s="7">
        <v>1.2</v>
      </c>
      <c r="AJ498" s="211" t="s">
        <v>1259</v>
      </c>
    </row>
    <row r="499" spans="1:42" ht="14.25" customHeight="1">
      <c r="A499" s="133" t="s">
        <v>2427</v>
      </c>
      <c r="B499" s="9">
        <v>61.9</v>
      </c>
      <c r="C499" s="7" t="s">
        <v>1260</v>
      </c>
      <c r="N499" s="183">
        <v>20</v>
      </c>
      <c r="O499" s="7">
        <v>1.2</v>
      </c>
    </row>
    <row r="500" spans="1:42" ht="14.25" customHeight="1">
      <c r="A500" s="133" t="s">
        <v>2428</v>
      </c>
      <c r="B500" s="9">
        <v>80.900000000000006</v>
      </c>
      <c r="C500" s="7" t="s">
        <v>1261</v>
      </c>
      <c r="N500" s="183">
        <v>20</v>
      </c>
      <c r="O500" s="7">
        <v>1.4</v>
      </c>
    </row>
    <row r="501" spans="1:42" ht="14.25" customHeight="1">
      <c r="A501" s="133" t="s">
        <v>2429</v>
      </c>
      <c r="B501" s="9">
        <v>81.8</v>
      </c>
      <c r="C501" s="7" t="s">
        <v>1262</v>
      </c>
      <c r="N501" s="183">
        <v>20</v>
      </c>
      <c r="O501" s="7">
        <v>1.4</v>
      </c>
    </row>
    <row r="502" spans="1:42" ht="14.25" customHeight="1">
      <c r="A502" s="125">
        <v>266.01</v>
      </c>
      <c r="B502" s="9">
        <v>10</v>
      </c>
      <c r="C502" s="211" t="s">
        <v>1256</v>
      </c>
      <c r="N502" s="183">
        <v>30</v>
      </c>
      <c r="O502" s="7">
        <v>0.57999999999999996</v>
      </c>
      <c r="AJ502" s="211" t="s">
        <v>1256</v>
      </c>
      <c r="AP502" s="4"/>
    </row>
    <row r="503" spans="1:42" ht="14.25" customHeight="1">
      <c r="A503" s="125">
        <v>266.02</v>
      </c>
      <c r="B503" s="9">
        <v>4</v>
      </c>
      <c r="C503" s="7" t="s">
        <v>1257</v>
      </c>
      <c r="N503" s="183">
        <v>50</v>
      </c>
      <c r="O503" s="7">
        <v>0.25</v>
      </c>
    </row>
    <row r="504" spans="1:42" ht="14.25" customHeight="1">
      <c r="A504" s="125" t="s">
        <v>2570</v>
      </c>
      <c r="B504" s="9">
        <v>13.5</v>
      </c>
      <c r="C504" s="211" t="s">
        <v>1548</v>
      </c>
      <c r="N504" s="183">
        <v>6</v>
      </c>
      <c r="O504" s="7">
        <v>0.5</v>
      </c>
      <c r="AJ504" s="211" t="s">
        <v>1548</v>
      </c>
    </row>
    <row r="505" spans="1:42" ht="14.25" customHeight="1">
      <c r="A505" s="125" t="s">
        <v>2571</v>
      </c>
      <c r="B505" s="9">
        <v>14.5</v>
      </c>
      <c r="C505" s="7" t="s">
        <v>1549</v>
      </c>
      <c r="N505" s="183">
        <v>6</v>
      </c>
      <c r="O505" s="7">
        <v>0.5</v>
      </c>
    </row>
    <row r="506" spans="1:42" ht="14.25" customHeight="1">
      <c r="A506" s="125" t="s">
        <v>2572</v>
      </c>
      <c r="B506" s="9">
        <v>20.399999999999999</v>
      </c>
      <c r="C506" s="211" t="s">
        <v>1550</v>
      </c>
      <c r="N506" s="183">
        <v>3</v>
      </c>
      <c r="O506" s="7">
        <v>0.52</v>
      </c>
      <c r="AJ506" s="211" t="s">
        <v>1550</v>
      </c>
    </row>
    <row r="507" spans="1:42" s="4" customFormat="1" ht="14.25" customHeight="1">
      <c r="A507" s="125" t="s">
        <v>2573</v>
      </c>
      <c r="B507" s="9">
        <v>20.399999999999999</v>
      </c>
      <c r="C507" s="7" t="s">
        <v>1551</v>
      </c>
      <c r="D507" s="183"/>
      <c r="E507" s="183"/>
      <c r="F507" s="188"/>
      <c r="G507" s="188"/>
      <c r="H507" s="183"/>
      <c r="I507" s="183"/>
      <c r="J507" s="188"/>
      <c r="K507" s="188"/>
      <c r="L507" s="9"/>
      <c r="M507" s="9"/>
      <c r="N507" s="183">
        <v>3</v>
      </c>
      <c r="O507" s="7">
        <v>0.52</v>
      </c>
      <c r="P507" s="9"/>
      <c r="Q507" s="9"/>
      <c r="R507" s="7"/>
      <c r="S507" s="126"/>
      <c r="T507" s="126"/>
      <c r="U507" s="237"/>
      <c r="V507" s="103"/>
      <c r="W507" s="9"/>
      <c r="X507" s="9"/>
      <c r="Y507" s="9"/>
      <c r="Z507" s="9"/>
      <c r="AA507" s="126"/>
      <c r="AB507" s="9"/>
      <c r="AC507" s="9"/>
      <c r="AD507" s="9"/>
      <c r="AE507" s="9"/>
      <c r="AF507" s="9"/>
      <c r="AG507" s="9"/>
      <c r="AH507" s="9"/>
      <c r="AI507" s="9"/>
      <c r="AJ507" s="7"/>
      <c r="AK507" s="7"/>
      <c r="AL507" s="7"/>
      <c r="AM507" s="7"/>
      <c r="AN507" s="7"/>
      <c r="AO507" s="7"/>
      <c r="AP507" s="7"/>
    </row>
    <row r="508" spans="1:42" ht="14.25" customHeight="1">
      <c r="A508" s="125" t="s">
        <v>2574</v>
      </c>
      <c r="B508" s="9">
        <v>20.399999999999999</v>
      </c>
      <c r="C508" s="7" t="s">
        <v>1552</v>
      </c>
      <c r="N508" s="183">
        <v>3</v>
      </c>
      <c r="O508" s="7">
        <v>0.52</v>
      </c>
    </row>
    <row r="509" spans="1:42" ht="14.25" customHeight="1">
      <c r="A509" s="125" t="s">
        <v>2575</v>
      </c>
      <c r="B509" s="9">
        <v>41.5</v>
      </c>
      <c r="C509" s="211" t="s">
        <v>1554</v>
      </c>
      <c r="N509" s="183">
        <v>3</v>
      </c>
      <c r="O509" s="7">
        <v>2.4</v>
      </c>
      <c r="AJ509" s="211" t="s">
        <v>1554</v>
      </c>
    </row>
    <row r="510" spans="1:42" ht="14.25" customHeight="1">
      <c r="A510" s="125" t="s">
        <v>2576</v>
      </c>
      <c r="B510" s="9">
        <v>42.9</v>
      </c>
      <c r="C510" s="7" t="s">
        <v>1555</v>
      </c>
      <c r="N510" s="183">
        <v>3</v>
      </c>
      <c r="O510" s="7">
        <v>2.4</v>
      </c>
    </row>
    <row r="511" spans="1:42" ht="14.25" customHeight="1">
      <c r="A511" s="125" t="s">
        <v>2577</v>
      </c>
      <c r="B511" s="9">
        <v>65.400000000000006</v>
      </c>
      <c r="C511" s="7" t="s">
        <v>1553</v>
      </c>
      <c r="N511" s="183">
        <v>3</v>
      </c>
      <c r="O511" s="7">
        <v>3.2</v>
      </c>
    </row>
    <row r="512" spans="1:42" ht="14.25" customHeight="1">
      <c r="A512" s="125" t="s">
        <v>2578</v>
      </c>
      <c r="B512" s="9">
        <v>43</v>
      </c>
      <c r="C512" s="211" t="s">
        <v>6057</v>
      </c>
      <c r="N512" s="183">
        <v>3</v>
      </c>
      <c r="O512" s="7">
        <v>0.9</v>
      </c>
      <c r="AJ512" s="211" t="s">
        <v>6057</v>
      </c>
    </row>
    <row r="513" spans="1:36" ht="14.25" customHeight="1">
      <c r="A513" s="125" t="s">
        <v>2579</v>
      </c>
      <c r="B513" s="9">
        <v>43</v>
      </c>
      <c r="C513" s="7" t="s">
        <v>6058</v>
      </c>
      <c r="N513" s="183">
        <v>3</v>
      </c>
      <c r="O513" s="7">
        <v>0.9</v>
      </c>
    </row>
    <row r="514" spans="1:36" ht="14.25" customHeight="1">
      <c r="A514" s="125" t="s">
        <v>2580</v>
      </c>
      <c r="B514" s="9">
        <v>43</v>
      </c>
      <c r="C514" s="7" t="s">
        <v>6059</v>
      </c>
      <c r="N514" s="183">
        <v>3</v>
      </c>
      <c r="O514" s="7">
        <v>0.9</v>
      </c>
    </row>
    <row r="515" spans="1:36" ht="14.25" customHeight="1">
      <c r="A515" s="125" t="s">
        <v>2581</v>
      </c>
      <c r="B515" s="9">
        <v>43</v>
      </c>
      <c r="C515" s="7" t="s">
        <v>6060</v>
      </c>
      <c r="N515" s="183">
        <v>3</v>
      </c>
      <c r="O515" s="7">
        <v>0.9</v>
      </c>
    </row>
    <row r="516" spans="1:36" ht="14.25" customHeight="1">
      <c r="A516" s="125" t="s">
        <v>2582</v>
      </c>
      <c r="B516" s="9">
        <v>43</v>
      </c>
      <c r="C516" s="7" t="s">
        <v>6061</v>
      </c>
      <c r="N516" s="183">
        <v>3</v>
      </c>
      <c r="O516" s="7">
        <v>0.9</v>
      </c>
    </row>
    <row r="517" spans="1:36" ht="14.25" customHeight="1">
      <c r="A517" s="125" t="s">
        <v>2583</v>
      </c>
      <c r="B517" s="9">
        <v>43</v>
      </c>
      <c r="C517" s="7" t="s">
        <v>6062</v>
      </c>
      <c r="N517" s="183">
        <v>3</v>
      </c>
      <c r="O517" s="7">
        <v>0.9</v>
      </c>
    </row>
    <row r="518" spans="1:36" ht="14.25" customHeight="1">
      <c r="A518" s="125" t="s">
        <v>2584</v>
      </c>
      <c r="B518" s="9">
        <v>43</v>
      </c>
      <c r="C518" s="7" t="s">
        <v>6063</v>
      </c>
      <c r="N518" s="183">
        <v>3</v>
      </c>
      <c r="O518" s="7">
        <v>0.9</v>
      </c>
    </row>
    <row r="519" spans="1:36" ht="14.25" customHeight="1">
      <c r="A519" s="125" t="s">
        <v>2585</v>
      </c>
      <c r="B519" s="9">
        <v>43</v>
      </c>
      <c r="C519" s="198" t="s">
        <v>6074</v>
      </c>
      <c r="N519" s="183">
        <v>3</v>
      </c>
      <c r="O519" s="7">
        <v>0.9</v>
      </c>
    </row>
    <row r="520" spans="1:36" ht="14.25" customHeight="1">
      <c r="A520" s="116" t="s">
        <v>2586</v>
      </c>
      <c r="B520" s="9">
        <v>20</v>
      </c>
      <c r="C520" s="211" t="s">
        <v>6064</v>
      </c>
      <c r="N520" s="183">
        <v>3</v>
      </c>
      <c r="O520" s="7">
        <v>0.9</v>
      </c>
      <c r="AJ520" s="211" t="s">
        <v>6064</v>
      </c>
    </row>
    <row r="521" spans="1:36" ht="14.25" customHeight="1">
      <c r="A521" s="116" t="s">
        <v>2587</v>
      </c>
      <c r="B521" s="9">
        <v>20</v>
      </c>
      <c r="C521" s="7" t="s">
        <v>6065</v>
      </c>
      <c r="N521" s="183">
        <v>3</v>
      </c>
      <c r="O521" s="7">
        <v>0.9</v>
      </c>
    </row>
    <row r="522" spans="1:36" ht="14.25" customHeight="1">
      <c r="A522" s="116" t="s">
        <v>2588</v>
      </c>
      <c r="B522" s="9">
        <v>20</v>
      </c>
      <c r="C522" s="7" t="s">
        <v>6066</v>
      </c>
      <c r="N522" s="183">
        <v>3</v>
      </c>
      <c r="O522" s="7">
        <v>0.9</v>
      </c>
    </row>
    <row r="523" spans="1:36" ht="14.25" customHeight="1">
      <c r="A523" s="116" t="s">
        <v>2589</v>
      </c>
      <c r="B523" s="9">
        <v>20</v>
      </c>
      <c r="C523" s="7" t="s">
        <v>6067</v>
      </c>
      <c r="N523" s="183">
        <v>3</v>
      </c>
      <c r="O523" s="7">
        <v>0.9</v>
      </c>
    </row>
    <row r="524" spans="1:36" ht="14.25" customHeight="1">
      <c r="A524" s="116" t="s">
        <v>2590</v>
      </c>
      <c r="B524" s="9">
        <v>20</v>
      </c>
      <c r="C524" s="7" t="s">
        <v>6068</v>
      </c>
      <c r="N524" s="183">
        <v>3</v>
      </c>
      <c r="O524" s="7">
        <v>0.9</v>
      </c>
    </row>
    <row r="525" spans="1:36" ht="14.25" customHeight="1">
      <c r="A525" s="116" t="s">
        <v>2591</v>
      </c>
      <c r="B525" s="9">
        <v>20</v>
      </c>
      <c r="C525" s="7" t="s">
        <v>6069</v>
      </c>
      <c r="N525" s="183">
        <v>3</v>
      </c>
      <c r="O525" s="7">
        <v>0.9</v>
      </c>
    </row>
    <row r="526" spans="1:36" ht="14.25" customHeight="1">
      <c r="A526" s="116" t="s">
        <v>2592</v>
      </c>
      <c r="B526" s="9">
        <v>20</v>
      </c>
      <c r="C526" s="7" t="s">
        <v>6070</v>
      </c>
      <c r="N526" s="183">
        <v>3</v>
      </c>
      <c r="O526" s="7">
        <v>0.9</v>
      </c>
    </row>
    <row r="527" spans="1:36" ht="14.25" customHeight="1">
      <c r="A527" s="116" t="s">
        <v>2593</v>
      </c>
      <c r="B527" s="9">
        <v>20</v>
      </c>
      <c r="C527" s="7" t="s">
        <v>6071</v>
      </c>
      <c r="N527" s="183">
        <v>3</v>
      </c>
      <c r="O527" s="7">
        <v>0.9</v>
      </c>
    </row>
    <row r="528" spans="1:36" ht="14.25" customHeight="1">
      <c r="A528" s="116" t="s">
        <v>2594</v>
      </c>
      <c r="B528" s="9">
        <v>20</v>
      </c>
      <c r="C528" s="7" t="s">
        <v>6072</v>
      </c>
      <c r="N528" s="183">
        <v>3</v>
      </c>
      <c r="O528" s="7">
        <v>0.9</v>
      </c>
    </row>
    <row r="529" spans="1:42" ht="14.25" customHeight="1">
      <c r="A529" s="116" t="s">
        <v>2595</v>
      </c>
      <c r="B529" s="9">
        <v>20</v>
      </c>
      <c r="C529" s="7" t="s">
        <v>6073</v>
      </c>
      <c r="N529" s="183">
        <v>3</v>
      </c>
      <c r="O529" s="7">
        <v>0.9</v>
      </c>
    </row>
    <row r="530" spans="1:42" ht="14.25" customHeight="1">
      <c r="A530" s="112">
        <v>268.01</v>
      </c>
      <c r="B530" s="9">
        <f>87.6/20</f>
        <v>4.38</v>
      </c>
      <c r="C530" s="212" t="s">
        <v>6075</v>
      </c>
      <c r="D530" s="184"/>
      <c r="E530" s="184"/>
      <c r="H530" s="184"/>
      <c r="I530" s="184"/>
      <c r="L530" s="3"/>
      <c r="M530" s="3"/>
      <c r="N530" s="184">
        <v>20</v>
      </c>
      <c r="O530" s="6">
        <v>0.44</v>
      </c>
      <c r="P530" s="222"/>
      <c r="Q530" s="222"/>
      <c r="AJ530" s="212" t="s">
        <v>6075</v>
      </c>
    </row>
    <row r="531" spans="1:42" ht="14.25" customHeight="1">
      <c r="A531" s="112">
        <v>268.02</v>
      </c>
      <c r="B531" s="107">
        <f>92.7/20</f>
        <v>4.6349999999999998</v>
      </c>
      <c r="C531" s="1" t="s">
        <v>1822</v>
      </c>
      <c r="D531" s="184"/>
      <c r="E531" s="184"/>
      <c r="H531" s="184"/>
      <c r="I531" s="184"/>
      <c r="L531" s="3"/>
      <c r="M531" s="3"/>
      <c r="N531" s="184">
        <v>20</v>
      </c>
      <c r="O531" s="6">
        <v>0.44</v>
      </c>
      <c r="P531" s="222"/>
      <c r="Q531" s="222"/>
    </row>
    <row r="532" spans="1:42" ht="14.25" customHeight="1">
      <c r="A532" s="112">
        <v>268.02999999999997</v>
      </c>
      <c r="B532" s="9">
        <f>94.6/20</f>
        <v>4.7299999999999995</v>
      </c>
      <c r="C532" s="1" t="s">
        <v>1820</v>
      </c>
      <c r="D532" s="184"/>
      <c r="E532" s="184"/>
      <c r="H532" s="184"/>
      <c r="I532" s="184"/>
      <c r="L532" s="3"/>
      <c r="M532" s="3"/>
      <c r="N532" s="184">
        <v>20</v>
      </c>
      <c r="O532" s="6">
        <v>0.44</v>
      </c>
      <c r="P532" s="222"/>
      <c r="Q532" s="222"/>
    </row>
    <row r="533" spans="1:42" ht="14.25" customHeight="1">
      <c r="A533" s="112">
        <v>268.04000000000002</v>
      </c>
      <c r="B533" s="107">
        <f>99.3/20</f>
        <v>4.9649999999999999</v>
      </c>
      <c r="C533" s="1" t="s">
        <v>1821</v>
      </c>
      <c r="D533" s="184"/>
      <c r="E533" s="184"/>
      <c r="H533" s="184"/>
      <c r="I533" s="184"/>
      <c r="L533" s="3"/>
      <c r="M533" s="3"/>
      <c r="N533" s="184">
        <v>20</v>
      </c>
      <c r="O533" s="6">
        <v>0.44</v>
      </c>
      <c r="P533" s="222"/>
      <c r="Q533" s="222"/>
    </row>
    <row r="534" spans="1:42" ht="14.25" customHeight="1">
      <c r="A534" s="112">
        <v>268.05</v>
      </c>
      <c r="B534" s="9">
        <v>8.6</v>
      </c>
      <c r="C534" s="212" t="s">
        <v>6077</v>
      </c>
      <c r="D534" s="184"/>
      <c r="E534" s="184"/>
      <c r="H534" s="184"/>
      <c r="I534" s="184"/>
      <c r="L534" s="3"/>
      <c r="M534" s="3"/>
      <c r="N534" s="184">
        <v>3</v>
      </c>
      <c r="O534" s="6">
        <v>0.6</v>
      </c>
      <c r="P534" s="222"/>
      <c r="Q534" s="222"/>
      <c r="AJ534" s="212" t="s">
        <v>6077</v>
      </c>
      <c r="AP534" s="4"/>
    </row>
    <row r="535" spans="1:42" ht="14.25" customHeight="1">
      <c r="A535" s="112">
        <v>268.06</v>
      </c>
      <c r="B535" s="9">
        <v>8.6</v>
      </c>
      <c r="C535" s="1" t="s">
        <v>1806</v>
      </c>
      <c r="D535" s="184"/>
      <c r="E535" s="184"/>
      <c r="H535" s="184"/>
      <c r="I535" s="184"/>
      <c r="L535" s="3"/>
      <c r="M535" s="3"/>
      <c r="N535" s="184">
        <v>3</v>
      </c>
      <c r="O535" s="6">
        <v>0.6</v>
      </c>
      <c r="P535" s="222"/>
      <c r="Q535" s="222"/>
    </row>
    <row r="536" spans="1:42" ht="14.25" customHeight="1">
      <c r="A536" s="112">
        <v>268.07</v>
      </c>
      <c r="B536" s="9">
        <v>8.6</v>
      </c>
      <c r="C536" s="1" t="s">
        <v>1807</v>
      </c>
      <c r="D536" s="184"/>
      <c r="E536" s="184"/>
      <c r="H536" s="184"/>
      <c r="I536" s="184"/>
      <c r="L536" s="3"/>
      <c r="M536" s="3"/>
      <c r="N536" s="184">
        <v>3</v>
      </c>
      <c r="O536" s="6">
        <v>0.6</v>
      </c>
      <c r="P536" s="222"/>
      <c r="Q536" s="222"/>
    </row>
    <row r="537" spans="1:42" ht="14.25" customHeight="1">
      <c r="A537" s="112">
        <v>268.08</v>
      </c>
      <c r="B537" s="9">
        <v>8.6</v>
      </c>
      <c r="C537" s="1" t="s">
        <v>1808</v>
      </c>
      <c r="D537" s="184"/>
      <c r="E537" s="184"/>
      <c r="H537" s="184"/>
      <c r="I537" s="184"/>
      <c r="L537" s="3"/>
      <c r="M537" s="3"/>
      <c r="N537" s="184">
        <v>3</v>
      </c>
      <c r="O537" s="6">
        <v>0.6</v>
      </c>
      <c r="P537" s="222"/>
      <c r="Q537" s="222"/>
    </row>
    <row r="538" spans="1:42" ht="14.25" customHeight="1">
      <c r="A538" s="112">
        <v>268.08999999999997</v>
      </c>
      <c r="B538" s="9">
        <v>8.6</v>
      </c>
      <c r="C538" s="1" t="s">
        <v>1809</v>
      </c>
      <c r="D538" s="184"/>
      <c r="E538" s="184"/>
      <c r="H538" s="184"/>
      <c r="I538" s="184"/>
      <c r="L538" s="3"/>
      <c r="M538" s="3"/>
      <c r="N538" s="184">
        <v>3</v>
      </c>
      <c r="O538" s="6">
        <v>0.6</v>
      </c>
      <c r="P538" s="222"/>
      <c r="Q538" s="222"/>
    </row>
    <row r="539" spans="1:42" ht="14.25" customHeight="1">
      <c r="A539" s="114" t="s">
        <v>2316</v>
      </c>
      <c r="B539" s="9">
        <v>8.6</v>
      </c>
      <c r="C539" s="1" t="s">
        <v>1810</v>
      </c>
      <c r="D539" s="184"/>
      <c r="E539" s="184"/>
      <c r="H539" s="184"/>
      <c r="I539" s="184"/>
      <c r="L539" s="3"/>
      <c r="M539" s="3"/>
      <c r="N539" s="184">
        <v>3</v>
      </c>
      <c r="O539" s="6">
        <v>0.6</v>
      </c>
      <c r="P539" s="222"/>
      <c r="Q539" s="222"/>
    </row>
    <row r="540" spans="1:42" ht="14.25" customHeight="1">
      <c r="A540" s="114" t="s">
        <v>2317</v>
      </c>
      <c r="B540" s="9">
        <v>8.6</v>
      </c>
      <c r="C540" s="1" t="s">
        <v>1811</v>
      </c>
      <c r="D540" s="184"/>
      <c r="E540" s="184"/>
      <c r="H540" s="184"/>
      <c r="I540" s="184"/>
      <c r="L540" s="3"/>
      <c r="M540" s="3"/>
      <c r="N540" s="184">
        <v>3</v>
      </c>
      <c r="O540" s="6">
        <v>0.6</v>
      </c>
      <c r="P540" s="222"/>
      <c r="Q540" s="222"/>
    </row>
    <row r="541" spans="1:42" ht="14.25" customHeight="1">
      <c r="A541" s="114" t="s">
        <v>2318</v>
      </c>
      <c r="B541" s="9">
        <v>8.6</v>
      </c>
      <c r="C541" s="1" t="s">
        <v>1812</v>
      </c>
      <c r="D541" s="184"/>
      <c r="E541" s="184"/>
      <c r="H541" s="184"/>
      <c r="I541" s="184"/>
      <c r="L541" s="3"/>
      <c r="M541" s="3"/>
      <c r="N541" s="184">
        <v>3</v>
      </c>
      <c r="O541" s="6">
        <v>0.6</v>
      </c>
      <c r="P541" s="222"/>
      <c r="Q541" s="222"/>
    </row>
    <row r="542" spans="1:42" ht="14.25" customHeight="1">
      <c r="A542" s="114" t="s">
        <v>2319</v>
      </c>
      <c r="B542" s="9">
        <v>8.6</v>
      </c>
      <c r="C542" s="1" t="s">
        <v>1813</v>
      </c>
      <c r="D542" s="184"/>
      <c r="E542" s="184"/>
      <c r="H542" s="184"/>
      <c r="I542" s="184"/>
      <c r="L542" s="3"/>
      <c r="M542" s="3"/>
      <c r="N542" s="184">
        <v>3</v>
      </c>
      <c r="O542" s="6">
        <v>0.6</v>
      </c>
      <c r="P542" s="222"/>
      <c r="Q542" s="222"/>
    </row>
    <row r="543" spans="1:42" ht="14.25" customHeight="1">
      <c r="A543" s="114" t="s">
        <v>2320</v>
      </c>
      <c r="B543" s="9">
        <v>8.6</v>
      </c>
      <c r="C543" s="1" t="s">
        <v>1814</v>
      </c>
      <c r="D543" s="184"/>
      <c r="E543" s="184"/>
      <c r="H543" s="184"/>
      <c r="I543" s="184"/>
      <c r="L543" s="3"/>
      <c r="M543" s="3"/>
      <c r="N543" s="184">
        <v>3</v>
      </c>
      <c r="O543" s="6">
        <v>0.6</v>
      </c>
      <c r="P543" s="222"/>
      <c r="Q543" s="222"/>
    </row>
    <row r="544" spans="1:42" ht="14.25" customHeight="1">
      <c r="A544" s="114" t="s">
        <v>2321</v>
      </c>
      <c r="B544" s="9">
        <v>8.6</v>
      </c>
      <c r="C544" s="1" t="s">
        <v>1815</v>
      </c>
      <c r="D544" s="184"/>
      <c r="E544" s="184"/>
      <c r="H544" s="184"/>
      <c r="I544" s="184"/>
      <c r="L544" s="3"/>
      <c r="M544" s="3"/>
      <c r="N544" s="184">
        <v>3</v>
      </c>
      <c r="O544" s="6">
        <v>0.6</v>
      </c>
      <c r="P544" s="222"/>
      <c r="Q544" s="222"/>
    </row>
    <row r="545" spans="1:42" ht="14.25" customHeight="1">
      <c r="A545" s="114" t="s">
        <v>2322</v>
      </c>
      <c r="B545" s="9">
        <v>8.6</v>
      </c>
      <c r="C545" s="196" t="s">
        <v>6079</v>
      </c>
      <c r="D545" s="184"/>
      <c r="E545" s="184"/>
      <c r="H545" s="184"/>
      <c r="I545" s="184"/>
      <c r="L545" s="3"/>
      <c r="M545" s="3"/>
      <c r="N545" s="184">
        <v>3</v>
      </c>
      <c r="O545" s="6">
        <v>0.6</v>
      </c>
      <c r="P545" s="222"/>
      <c r="Q545" s="222"/>
    </row>
    <row r="546" spans="1:42" ht="14.25" customHeight="1">
      <c r="A546" s="114" t="s">
        <v>2323</v>
      </c>
      <c r="B546" s="9">
        <v>8.6</v>
      </c>
      <c r="C546" s="1" t="s">
        <v>1817</v>
      </c>
      <c r="D546" s="184"/>
      <c r="E546" s="184"/>
      <c r="H546" s="184"/>
      <c r="I546" s="184"/>
      <c r="L546" s="3"/>
      <c r="M546" s="3"/>
      <c r="N546" s="184">
        <v>3</v>
      </c>
      <c r="O546" s="6">
        <v>0.6</v>
      </c>
      <c r="P546" s="222"/>
      <c r="Q546" s="222"/>
    </row>
    <row r="547" spans="1:42" ht="14.25" customHeight="1">
      <c r="A547" s="114" t="s">
        <v>2324</v>
      </c>
      <c r="B547" s="9">
        <v>8.6</v>
      </c>
      <c r="C547" s="1" t="s">
        <v>1818</v>
      </c>
      <c r="D547" s="184"/>
      <c r="E547" s="184"/>
      <c r="H547" s="184"/>
      <c r="I547" s="184"/>
      <c r="L547" s="3"/>
      <c r="M547" s="3"/>
      <c r="N547" s="184">
        <v>3</v>
      </c>
      <c r="O547" s="6">
        <v>0.6</v>
      </c>
      <c r="P547" s="222"/>
      <c r="Q547" s="222"/>
    </row>
    <row r="548" spans="1:42" ht="14.25" customHeight="1">
      <c r="A548" s="114" t="s">
        <v>2325</v>
      </c>
      <c r="B548" s="9">
        <v>19.100000000000001</v>
      </c>
      <c r="C548" s="211" t="s">
        <v>1823</v>
      </c>
      <c r="D548" s="184"/>
      <c r="E548" s="184"/>
      <c r="H548" s="184"/>
      <c r="I548" s="184"/>
      <c r="L548" s="3"/>
      <c r="M548" s="3"/>
      <c r="N548" s="184">
        <v>2</v>
      </c>
      <c r="O548" s="6">
        <v>1.95</v>
      </c>
      <c r="P548" s="222"/>
      <c r="Q548" s="222"/>
      <c r="AJ548" s="211" t="s">
        <v>1823</v>
      </c>
    </row>
    <row r="549" spans="1:42" ht="14.25" customHeight="1">
      <c r="A549" s="114" t="s">
        <v>2326</v>
      </c>
      <c r="B549" s="9">
        <v>19.100000000000001</v>
      </c>
      <c r="C549" s="1" t="s">
        <v>1824</v>
      </c>
      <c r="D549" s="184"/>
      <c r="E549" s="184"/>
      <c r="H549" s="184"/>
      <c r="I549" s="184"/>
      <c r="L549" s="3"/>
      <c r="M549" s="3"/>
      <c r="N549" s="184">
        <v>2</v>
      </c>
      <c r="O549" s="6">
        <v>1.95</v>
      </c>
      <c r="P549" s="222"/>
      <c r="Q549" s="222"/>
    </row>
    <row r="550" spans="1:42" ht="14.25" customHeight="1">
      <c r="A550" s="114" t="s">
        <v>2327</v>
      </c>
      <c r="B550" s="9">
        <v>19.100000000000001</v>
      </c>
      <c r="C550" s="1" t="s">
        <v>1825</v>
      </c>
      <c r="D550" s="184"/>
      <c r="E550" s="184"/>
      <c r="H550" s="184"/>
      <c r="I550" s="184"/>
      <c r="L550" s="3"/>
      <c r="M550" s="3"/>
      <c r="N550" s="184">
        <v>2</v>
      </c>
      <c r="O550" s="6">
        <v>1.95</v>
      </c>
      <c r="P550" s="222"/>
      <c r="Q550" s="222"/>
    </row>
    <row r="551" spans="1:42" ht="14.25" customHeight="1">
      <c r="A551" s="114" t="s">
        <v>2328</v>
      </c>
      <c r="B551" s="9">
        <v>19.100000000000001</v>
      </c>
      <c r="C551" s="1" t="s">
        <v>1826</v>
      </c>
      <c r="D551" s="184"/>
      <c r="E551" s="184"/>
      <c r="H551" s="184"/>
      <c r="I551" s="184"/>
      <c r="L551" s="3"/>
      <c r="M551" s="3"/>
      <c r="N551" s="184">
        <v>2</v>
      </c>
      <c r="O551" s="6">
        <v>1.95</v>
      </c>
      <c r="P551" s="222"/>
      <c r="Q551" s="222"/>
    </row>
    <row r="552" spans="1:42" ht="14.25" customHeight="1">
      <c r="A552" s="114" t="s">
        <v>2329</v>
      </c>
      <c r="B552" s="9">
        <v>19.100000000000001</v>
      </c>
      <c r="C552" s="1" t="s">
        <v>1827</v>
      </c>
      <c r="D552" s="184"/>
      <c r="E552" s="184"/>
      <c r="H552" s="184"/>
      <c r="I552" s="184"/>
      <c r="L552" s="3"/>
      <c r="M552" s="3"/>
      <c r="N552" s="184">
        <v>2</v>
      </c>
      <c r="O552" s="6">
        <v>1.95</v>
      </c>
      <c r="P552" s="222"/>
      <c r="Q552" s="222"/>
    </row>
    <row r="553" spans="1:42" ht="14.25" customHeight="1">
      <c r="A553" s="114" t="s">
        <v>2330</v>
      </c>
      <c r="B553" s="9">
        <v>19.100000000000001</v>
      </c>
      <c r="C553" s="1" t="s">
        <v>1828</v>
      </c>
      <c r="D553" s="184"/>
      <c r="E553" s="184"/>
      <c r="H553" s="184"/>
      <c r="I553" s="184"/>
      <c r="L553" s="3"/>
      <c r="M553" s="3"/>
      <c r="N553" s="184">
        <v>2</v>
      </c>
      <c r="O553" s="6">
        <v>1.95</v>
      </c>
      <c r="P553" s="222"/>
      <c r="Q553" s="222"/>
      <c r="AP553" s="4"/>
    </row>
    <row r="554" spans="1:42" ht="14.25" customHeight="1">
      <c r="A554" s="114" t="s">
        <v>2331</v>
      </c>
      <c r="B554" s="9">
        <v>19.100000000000001</v>
      </c>
      <c r="C554" s="1" t="s">
        <v>1840</v>
      </c>
      <c r="D554" s="184"/>
      <c r="E554" s="184"/>
      <c r="H554" s="184"/>
      <c r="I554" s="184"/>
      <c r="L554" s="3"/>
      <c r="M554" s="3"/>
      <c r="N554" s="184">
        <v>2</v>
      </c>
      <c r="O554" s="6">
        <v>1.95</v>
      </c>
      <c r="P554" s="222"/>
      <c r="Q554" s="222"/>
    </row>
    <row r="555" spans="1:42" ht="14.25" customHeight="1">
      <c r="A555" s="114" t="s">
        <v>2332</v>
      </c>
      <c r="B555" s="9">
        <v>19.100000000000001</v>
      </c>
      <c r="C555" s="1" t="s">
        <v>1829</v>
      </c>
      <c r="D555" s="184"/>
      <c r="E555" s="184"/>
      <c r="H555" s="184"/>
      <c r="I555" s="184"/>
      <c r="L555" s="3"/>
      <c r="M555" s="3"/>
      <c r="N555" s="184">
        <v>2</v>
      </c>
      <c r="O555" s="6">
        <v>1.95</v>
      </c>
      <c r="P555" s="222"/>
      <c r="Q555" s="222"/>
    </row>
    <row r="556" spans="1:42" ht="14.25" customHeight="1">
      <c r="A556" s="114" t="s">
        <v>2333</v>
      </c>
      <c r="B556" s="9">
        <v>19.100000000000001</v>
      </c>
      <c r="C556" s="1" t="s">
        <v>1830</v>
      </c>
      <c r="D556" s="184"/>
      <c r="E556" s="184"/>
      <c r="H556" s="184"/>
      <c r="I556" s="184"/>
      <c r="L556" s="3"/>
      <c r="M556" s="3"/>
      <c r="N556" s="184">
        <v>2</v>
      </c>
      <c r="O556" s="6">
        <v>1.95</v>
      </c>
      <c r="P556" s="222"/>
      <c r="Q556" s="222"/>
    </row>
    <row r="557" spans="1:42" ht="14.25" customHeight="1">
      <c r="A557" s="114" t="s">
        <v>2334</v>
      </c>
      <c r="B557" s="9">
        <v>19.100000000000001</v>
      </c>
      <c r="C557" s="1" t="s">
        <v>1831</v>
      </c>
      <c r="D557" s="184"/>
      <c r="E557" s="184"/>
      <c r="H557" s="184"/>
      <c r="I557" s="184"/>
      <c r="L557" s="3"/>
      <c r="M557" s="3"/>
      <c r="N557" s="184">
        <v>2</v>
      </c>
      <c r="O557" s="6">
        <v>1.95</v>
      </c>
      <c r="P557" s="222"/>
      <c r="Q557" s="222"/>
    </row>
    <row r="558" spans="1:42" ht="14.25" customHeight="1">
      <c r="A558" s="114" t="s">
        <v>2335</v>
      </c>
      <c r="B558" s="9">
        <v>19.100000000000001</v>
      </c>
      <c r="C558" s="1" t="s">
        <v>1832</v>
      </c>
      <c r="D558" s="184"/>
      <c r="E558" s="184"/>
      <c r="H558" s="184"/>
      <c r="I558" s="184"/>
      <c r="L558" s="3"/>
      <c r="M558" s="3"/>
      <c r="N558" s="184">
        <v>2</v>
      </c>
      <c r="O558" s="6">
        <v>1.95</v>
      </c>
      <c r="P558" s="222"/>
      <c r="Q558" s="222"/>
    </row>
    <row r="559" spans="1:42" ht="14.25" customHeight="1">
      <c r="A559" s="114" t="s">
        <v>2336</v>
      </c>
      <c r="B559" s="9">
        <v>19.100000000000001</v>
      </c>
      <c r="C559" s="1" t="s">
        <v>1839</v>
      </c>
      <c r="D559" s="184"/>
      <c r="E559" s="184"/>
      <c r="H559" s="184"/>
      <c r="I559" s="184"/>
      <c r="L559" s="3"/>
      <c r="M559" s="3"/>
      <c r="N559" s="184">
        <v>2</v>
      </c>
      <c r="O559" s="6">
        <v>1.95</v>
      </c>
      <c r="P559" s="222"/>
      <c r="Q559" s="222"/>
    </row>
    <row r="560" spans="1:42" s="4" customFormat="1" ht="14.25" customHeight="1">
      <c r="A560" s="114" t="s">
        <v>2337</v>
      </c>
      <c r="B560" s="9">
        <v>19.100000000000001</v>
      </c>
      <c r="C560" s="1" t="s">
        <v>1838</v>
      </c>
      <c r="D560" s="184"/>
      <c r="E560" s="184"/>
      <c r="F560" s="188"/>
      <c r="G560" s="188"/>
      <c r="H560" s="184"/>
      <c r="I560" s="184"/>
      <c r="J560" s="188"/>
      <c r="K560" s="188"/>
      <c r="L560" s="3"/>
      <c r="M560" s="3"/>
      <c r="N560" s="184">
        <v>2</v>
      </c>
      <c r="O560" s="6">
        <v>1.95</v>
      </c>
      <c r="P560" s="222"/>
      <c r="Q560" s="222"/>
      <c r="R560" s="7"/>
      <c r="S560" s="126"/>
      <c r="T560" s="126"/>
      <c r="U560" s="237"/>
      <c r="V560" s="103"/>
      <c r="W560" s="9"/>
      <c r="X560" s="9"/>
      <c r="Y560" s="9"/>
      <c r="Z560" s="9"/>
      <c r="AA560" s="126"/>
      <c r="AB560" s="9"/>
      <c r="AC560" s="9"/>
      <c r="AD560" s="9"/>
      <c r="AE560" s="9"/>
      <c r="AF560" s="9"/>
      <c r="AG560" s="9"/>
      <c r="AH560" s="9"/>
      <c r="AI560" s="9"/>
      <c r="AJ560" s="7"/>
      <c r="AK560" s="7"/>
      <c r="AL560" s="7"/>
      <c r="AM560" s="7"/>
      <c r="AN560" s="7"/>
      <c r="AO560" s="7"/>
      <c r="AP560" s="7"/>
    </row>
    <row r="561" spans="1:42" ht="14.25" customHeight="1">
      <c r="A561" s="114" t="s">
        <v>2338</v>
      </c>
      <c r="B561" s="9">
        <v>19.100000000000001</v>
      </c>
      <c r="C561" s="1" t="s">
        <v>1837</v>
      </c>
      <c r="D561" s="184"/>
      <c r="E561" s="184"/>
      <c r="H561" s="184"/>
      <c r="I561" s="184"/>
      <c r="L561" s="3"/>
      <c r="M561" s="3"/>
      <c r="N561" s="184">
        <v>2</v>
      </c>
      <c r="O561" s="6">
        <v>1.95</v>
      </c>
      <c r="P561" s="222"/>
      <c r="Q561" s="222"/>
    </row>
    <row r="562" spans="1:42" ht="14.25" customHeight="1">
      <c r="A562" s="114" t="s">
        <v>2339</v>
      </c>
      <c r="B562" s="9">
        <v>19.100000000000001</v>
      </c>
      <c r="C562" s="1" t="s">
        <v>1836</v>
      </c>
      <c r="D562" s="184"/>
      <c r="E562" s="184"/>
      <c r="H562" s="184"/>
      <c r="I562" s="184"/>
      <c r="L562" s="3"/>
      <c r="M562" s="3"/>
      <c r="N562" s="184">
        <v>2</v>
      </c>
      <c r="O562" s="6">
        <v>1.95</v>
      </c>
      <c r="P562" s="222"/>
      <c r="Q562" s="222"/>
    </row>
    <row r="563" spans="1:42" ht="14.25" customHeight="1">
      <c r="A563" s="114" t="s">
        <v>2340</v>
      </c>
      <c r="B563" s="9">
        <v>19.100000000000001</v>
      </c>
      <c r="C563" s="1" t="s">
        <v>1835</v>
      </c>
      <c r="D563" s="184"/>
      <c r="E563" s="184"/>
      <c r="H563" s="184"/>
      <c r="I563" s="184"/>
      <c r="L563" s="3"/>
      <c r="M563" s="3"/>
      <c r="N563" s="184">
        <v>2</v>
      </c>
      <c r="O563" s="6">
        <v>1.95</v>
      </c>
      <c r="P563" s="222"/>
      <c r="Q563" s="222"/>
    </row>
    <row r="564" spans="1:42" ht="14.25" customHeight="1">
      <c r="A564" s="114" t="s">
        <v>2341</v>
      </c>
      <c r="B564" s="9">
        <v>19.100000000000001</v>
      </c>
      <c r="C564" s="1" t="s">
        <v>1834</v>
      </c>
      <c r="D564" s="184"/>
      <c r="E564" s="184"/>
      <c r="H564" s="184"/>
      <c r="I564" s="184"/>
      <c r="L564" s="3"/>
      <c r="M564" s="3"/>
      <c r="N564" s="184">
        <v>2</v>
      </c>
      <c r="O564" s="6">
        <v>1.95</v>
      </c>
      <c r="P564" s="222"/>
      <c r="Q564" s="222"/>
    </row>
    <row r="565" spans="1:42" ht="14.25" customHeight="1">
      <c r="A565" s="114" t="s">
        <v>2342</v>
      </c>
      <c r="B565" s="9">
        <v>19.100000000000001</v>
      </c>
      <c r="C565" s="1" t="s">
        <v>1833</v>
      </c>
      <c r="D565" s="184"/>
      <c r="E565" s="184"/>
      <c r="H565" s="184"/>
      <c r="I565" s="184"/>
      <c r="L565" s="3"/>
      <c r="M565" s="3"/>
      <c r="N565" s="184">
        <v>2</v>
      </c>
      <c r="O565" s="6">
        <v>1.95</v>
      </c>
      <c r="P565" s="222"/>
      <c r="Q565" s="222"/>
    </row>
    <row r="566" spans="1:42" ht="14.25" customHeight="1">
      <c r="A566" s="148" t="s">
        <v>3359</v>
      </c>
      <c r="B566" s="9">
        <v>75.5</v>
      </c>
      <c r="C566" s="198" t="s">
        <v>5903</v>
      </c>
      <c r="N566" s="183">
        <v>5</v>
      </c>
      <c r="O566" s="7">
        <v>0.75</v>
      </c>
    </row>
    <row r="567" spans="1:42" ht="14.25" customHeight="1">
      <c r="A567" s="117" t="s">
        <v>2445</v>
      </c>
      <c r="B567" s="9">
        <v>36.299999999999997</v>
      </c>
      <c r="C567" s="211" t="s">
        <v>1493</v>
      </c>
      <c r="N567" s="183">
        <v>3</v>
      </c>
      <c r="O567" s="7">
        <v>2.5</v>
      </c>
      <c r="AJ567" s="211" t="s">
        <v>1493</v>
      </c>
    </row>
    <row r="568" spans="1:42" ht="14.25" customHeight="1">
      <c r="A568" s="117" t="s">
        <v>2446</v>
      </c>
      <c r="B568" s="9">
        <v>36.299999999999997</v>
      </c>
      <c r="C568" s="7" t="s">
        <v>1494</v>
      </c>
      <c r="N568" s="183">
        <v>3</v>
      </c>
      <c r="O568" s="7">
        <v>2.5</v>
      </c>
      <c r="AP568" s="4"/>
    </row>
    <row r="569" spans="1:42" ht="14.25" customHeight="1">
      <c r="A569" s="117" t="s">
        <v>2447</v>
      </c>
      <c r="B569" s="9">
        <v>36.299999999999997</v>
      </c>
      <c r="C569" s="7" t="s">
        <v>1495</v>
      </c>
      <c r="N569" s="183">
        <v>3</v>
      </c>
      <c r="O569" s="7">
        <v>2.5</v>
      </c>
    </row>
    <row r="570" spans="1:42" ht="14.25" customHeight="1">
      <c r="A570" s="117" t="s">
        <v>2448</v>
      </c>
      <c r="B570" s="9">
        <v>36.299999999999997</v>
      </c>
      <c r="C570" s="7" t="s">
        <v>1496</v>
      </c>
      <c r="N570" s="183">
        <v>3</v>
      </c>
      <c r="O570" s="7">
        <v>2.5</v>
      </c>
    </row>
    <row r="571" spans="1:42" ht="14.25" customHeight="1">
      <c r="A571" s="117" t="s">
        <v>2449</v>
      </c>
      <c r="B571" s="9">
        <v>36.299999999999997</v>
      </c>
      <c r="C571" s="7" t="s">
        <v>1366</v>
      </c>
      <c r="N571" s="183">
        <v>3</v>
      </c>
      <c r="O571" s="7">
        <v>2.5</v>
      </c>
    </row>
    <row r="572" spans="1:42" ht="14.25" customHeight="1">
      <c r="A572" s="117" t="s">
        <v>2450</v>
      </c>
      <c r="B572" s="9">
        <v>36.299999999999997</v>
      </c>
      <c r="C572" s="7" t="s">
        <v>1497</v>
      </c>
      <c r="N572" s="183">
        <v>3</v>
      </c>
      <c r="O572" s="7">
        <v>2.5</v>
      </c>
    </row>
    <row r="573" spans="1:42" ht="14.25" customHeight="1">
      <c r="A573" s="117" t="s">
        <v>2451</v>
      </c>
      <c r="B573" s="9">
        <v>36.299999999999997</v>
      </c>
      <c r="C573" s="7" t="s">
        <v>1498</v>
      </c>
      <c r="N573" s="183">
        <v>3</v>
      </c>
      <c r="O573" s="7">
        <v>2.5</v>
      </c>
    </row>
    <row r="574" spans="1:42" ht="14.25" customHeight="1">
      <c r="A574" s="117" t="s">
        <v>2452</v>
      </c>
      <c r="B574" s="9">
        <v>36.299999999999997</v>
      </c>
      <c r="C574" s="7" t="s">
        <v>1499</v>
      </c>
      <c r="N574" s="183">
        <v>3</v>
      </c>
      <c r="O574" s="7">
        <v>2.5</v>
      </c>
    </row>
    <row r="575" spans="1:42" s="4" customFormat="1" ht="14.25" customHeight="1">
      <c r="A575" s="117" t="s">
        <v>2453</v>
      </c>
      <c r="B575" s="9">
        <v>36.299999999999997</v>
      </c>
      <c r="C575" s="7" t="s">
        <v>1500</v>
      </c>
      <c r="D575" s="183"/>
      <c r="E575" s="183"/>
      <c r="F575" s="188"/>
      <c r="G575" s="188"/>
      <c r="H575" s="183"/>
      <c r="I575" s="183"/>
      <c r="J575" s="188"/>
      <c r="K575" s="188"/>
      <c r="L575" s="9"/>
      <c r="M575" s="9"/>
      <c r="N575" s="183">
        <v>3</v>
      </c>
      <c r="O575" s="7">
        <v>2.5</v>
      </c>
      <c r="P575" s="9"/>
      <c r="Q575" s="9"/>
      <c r="R575" s="7"/>
      <c r="S575" s="126"/>
      <c r="T575" s="126"/>
      <c r="U575" s="237"/>
      <c r="V575" s="103"/>
      <c r="W575" s="9"/>
      <c r="X575" s="9"/>
      <c r="Y575" s="9"/>
      <c r="Z575" s="9"/>
      <c r="AA575" s="126"/>
      <c r="AB575" s="9"/>
      <c r="AC575" s="9"/>
      <c r="AD575" s="9"/>
      <c r="AE575" s="9"/>
      <c r="AF575" s="9"/>
      <c r="AG575" s="9"/>
      <c r="AH575" s="9"/>
      <c r="AI575" s="9"/>
      <c r="AJ575" s="7"/>
      <c r="AK575" s="7"/>
      <c r="AL575" s="7"/>
      <c r="AM575" s="7"/>
      <c r="AN575" s="7"/>
      <c r="AO575" s="7"/>
      <c r="AP575" s="7"/>
    </row>
    <row r="576" spans="1:42" ht="14.25" customHeight="1">
      <c r="A576" s="117" t="s">
        <v>2454</v>
      </c>
      <c r="B576" s="9">
        <v>36.299999999999997</v>
      </c>
      <c r="C576" s="7" t="s">
        <v>1501</v>
      </c>
      <c r="N576" s="183">
        <v>3</v>
      </c>
      <c r="O576" s="7">
        <v>2.5</v>
      </c>
    </row>
    <row r="577" spans="1:42" ht="14.25" customHeight="1">
      <c r="A577" s="117" t="s">
        <v>2455</v>
      </c>
      <c r="B577" s="9">
        <v>36.299999999999997</v>
      </c>
      <c r="C577" s="7" t="s">
        <v>1502</v>
      </c>
      <c r="N577" s="183">
        <v>3</v>
      </c>
      <c r="O577" s="7">
        <v>2.5</v>
      </c>
    </row>
    <row r="578" spans="1:42" ht="14.25" customHeight="1">
      <c r="A578" s="117" t="s">
        <v>2456</v>
      </c>
      <c r="B578" s="9">
        <v>36.299999999999997</v>
      </c>
      <c r="C578" s="7" t="s">
        <v>1503</v>
      </c>
      <c r="N578" s="183">
        <v>3</v>
      </c>
      <c r="O578" s="7">
        <v>2.5</v>
      </c>
    </row>
    <row r="579" spans="1:42" ht="14.25" customHeight="1">
      <c r="A579" s="117" t="s">
        <v>2457</v>
      </c>
      <c r="B579" s="9">
        <v>9.5</v>
      </c>
      <c r="C579" s="211" t="s">
        <v>1267</v>
      </c>
      <c r="N579" s="183">
        <v>5</v>
      </c>
      <c r="O579" s="7">
        <v>0.55000000000000004</v>
      </c>
      <c r="AJ579" s="211" t="s">
        <v>1267</v>
      </c>
    </row>
    <row r="580" spans="1:42" ht="14.25" customHeight="1">
      <c r="A580" s="117" t="s">
        <v>2458</v>
      </c>
      <c r="B580" s="9">
        <v>9.5</v>
      </c>
      <c r="C580" s="1" t="s">
        <v>1280</v>
      </c>
      <c r="N580" s="183">
        <v>5</v>
      </c>
      <c r="O580" s="7">
        <v>0.55000000000000004</v>
      </c>
    </row>
    <row r="581" spans="1:42" ht="14.25" customHeight="1">
      <c r="A581" s="117" t="s">
        <v>2459</v>
      </c>
      <c r="B581" s="9">
        <v>9.5</v>
      </c>
      <c r="C581" s="1" t="s">
        <v>1268</v>
      </c>
      <c r="N581" s="183">
        <v>5</v>
      </c>
      <c r="O581" s="7">
        <v>0.55000000000000004</v>
      </c>
    </row>
    <row r="582" spans="1:42" ht="14.25" customHeight="1">
      <c r="A582" s="117" t="s">
        <v>2460</v>
      </c>
      <c r="B582" s="9">
        <v>9.5</v>
      </c>
      <c r="C582" s="1" t="s">
        <v>1269</v>
      </c>
      <c r="N582" s="183">
        <v>5</v>
      </c>
      <c r="O582" s="7">
        <v>0.55000000000000004</v>
      </c>
    </row>
    <row r="583" spans="1:42" ht="14.25" customHeight="1">
      <c r="A583" s="117" t="s">
        <v>2461</v>
      </c>
      <c r="B583" s="9">
        <v>9.5</v>
      </c>
      <c r="C583" s="1" t="s">
        <v>1270</v>
      </c>
      <c r="N583" s="183">
        <v>5</v>
      </c>
      <c r="O583" s="7">
        <v>0.55000000000000004</v>
      </c>
      <c r="AP583" s="4"/>
    </row>
    <row r="584" spans="1:42" ht="14.25" customHeight="1">
      <c r="A584" s="117" t="s">
        <v>2462</v>
      </c>
      <c r="B584" s="9">
        <v>9.5</v>
      </c>
      <c r="C584" s="1" t="s">
        <v>1367</v>
      </c>
      <c r="N584" s="183">
        <v>5</v>
      </c>
      <c r="O584" s="7">
        <v>0.55000000000000004</v>
      </c>
    </row>
    <row r="585" spans="1:42" ht="14.25" customHeight="1">
      <c r="A585" s="117" t="s">
        <v>2463</v>
      </c>
      <c r="B585" s="9">
        <v>9.5</v>
      </c>
      <c r="C585" s="1" t="s">
        <v>1271</v>
      </c>
      <c r="N585" s="183">
        <v>5</v>
      </c>
      <c r="O585" s="7">
        <v>0.55000000000000004</v>
      </c>
    </row>
    <row r="586" spans="1:42" ht="14.25" customHeight="1">
      <c r="A586" s="117" t="s">
        <v>3130</v>
      </c>
      <c r="B586" s="9">
        <v>9.5</v>
      </c>
      <c r="C586" s="1" t="s">
        <v>1272</v>
      </c>
      <c r="N586" s="183">
        <v>5</v>
      </c>
      <c r="O586" s="7">
        <v>0.55000000000000004</v>
      </c>
    </row>
    <row r="587" spans="1:42" ht="14.25" customHeight="1">
      <c r="A587" s="117" t="s">
        <v>2464</v>
      </c>
      <c r="B587" s="9">
        <v>9.5</v>
      </c>
      <c r="C587" s="1" t="s">
        <v>1273</v>
      </c>
      <c r="N587" s="183">
        <v>5</v>
      </c>
      <c r="O587" s="7">
        <v>0.55000000000000004</v>
      </c>
    </row>
    <row r="588" spans="1:42" ht="14.25" customHeight="1">
      <c r="A588" s="117" t="s">
        <v>2465</v>
      </c>
      <c r="B588" s="9">
        <v>9.5</v>
      </c>
      <c r="C588" s="1" t="s">
        <v>1295</v>
      </c>
      <c r="N588" s="183">
        <v>5</v>
      </c>
      <c r="O588" s="7">
        <v>0.55000000000000004</v>
      </c>
    </row>
    <row r="589" spans="1:42" ht="14.25" customHeight="1">
      <c r="A589" s="117" t="s">
        <v>2466</v>
      </c>
      <c r="B589" s="9">
        <v>9.5</v>
      </c>
      <c r="C589" s="1" t="s">
        <v>1274</v>
      </c>
      <c r="N589" s="183">
        <v>5</v>
      </c>
      <c r="O589" s="7">
        <v>0.55000000000000004</v>
      </c>
    </row>
    <row r="590" spans="1:42" s="4" customFormat="1" ht="14.25" customHeight="1">
      <c r="A590" s="117" t="s">
        <v>2467</v>
      </c>
      <c r="B590" s="9">
        <v>9.5</v>
      </c>
      <c r="C590" s="1" t="s">
        <v>1275</v>
      </c>
      <c r="D590" s="183"/>
      <c r="E590" s="183"/>
      <c r="F590" s="188"/>
      <c r="G590" s="188"/>
      <c r="H590" s="183"/>
      <c r="I590" s="183"/>
      <c r="J590" s="188"/>
      <c r="K590" s="188"/>
      <c r="L590" s="9"/>
      <c r="M590" s="9"/>
      <c r="N590" s="183">
        <v>5</v>
      </c>
      <c r="O590" s="7">
        <v>0.55000000000000004</v>
      </c>
      <c r="P590" s="9"/>
      <c r="Q590" s="9"/>
      <c r="R590" s="7"/>
      <c r="S590" s="126"/>
      <c r="T590" s="126"/>
      <c r="U590" s="237"/>
      <c r="V590" s="103"/>
      <c r="W590" s="9"/>
      <c r="X590" s="9"/>
      <c r="Y590" s="9"/>
      <c r="Z590" s="9"/>
      <c r="AA590" s="126"/>
      <c r="AB590" s="9"/>
      <c r="AC590" s="9"/>
      <c r="AD590" s="9"/>
      <c r="AE590" s="9"/>
      <c r="AF590" s="9"/>
      <c r="AG590" s="9"/>
      <c r="AH590" s="9"/>
      <c r="AI590" s="9"/>
      <c r="AJ590" s="7"/>
      <c r="AK590" s="7"/>
      <c r="AL590" s="7"/>
      <c r="AM590" s="7"/>
      <c r="AN590" s="7"/>
      <c r="AO590" s="7"/>
      <c r="AP590" s="7"/>
    </row>
    <row r="591" spans="1:42" ht="14.25" customHeight="1">
      <c r="A591" s="117" t="s">
        <v>2468</v>
      </c>
      <c r="B591" s="9">
        <v>9.5</v>
      </c>
      <c r="C591" s="1" t="s">
        <v>1276</v>
      </c>
      <c r="N591" s="183">
        <v>5</v>
      </c>
      <c r="O591" s="7">
        <v>0.55000000000000004</v>
      </c>
    </row>
    <row r="592" spans="1:42" ht="14.25" customHeight="1">
      <c r="A592" s="117" t="s">
        <v>2469</v>
      </c>
      <c r="B592" s="9">
        <v>9.5</v>
      </c>
      <c r="C592" s="1" t="s">
        <v>1277</v>
      </c>
      <c r="N592" s="183">
        <v>5</v>
      </c>
      <c r="O592" s="7">
        <v>0.55000000000000004</v>
      </c>
    </row>
    <row r="593" spans="1:42" ht="14.25" customHeight="1">
      <c r="A593" s="117" t="s">
        <v>2470</v>
      </c>
      <c r="B593" s="9">
        <v>9.5</v>
      </c>
      <c r="C593" s="1" t="s">
        <v>1279</v>
      </c>
      <c r="N593" s="183">
        <v>5</v>
      </c>
      <c r="O593" s="7">
        <v>0.55000000000000004</v>
      </c>
    </row>
    <row r="594" spans="1:42" ht="14.25" customHeight="1">
      <c r="A594" s="117" t="s">
        <v>2471</v>
      </c>
      <c r="B594" s="9">
        <v>9.5</v>
      </c>
      <c r="C594" s="1" t="s">
        <v>1278</v>
      </c>
      <c r="N594" s="183">
        <v>5</v>
      </c>
      <c r="O594" s="7">
        <v>0.55000000000000004</v>
      </c>
    </row>
    <row r="595" spans="1:42" ht="14.25" customHeight="1">
      <c r="A595" s="117" t="s">
        <v>2472</v>
      </c>
      <c r="B595" s="9">
        <v>9.5</v>
      </c>
      <c r="C595" s="1" t="s">
        <v>1368</v>
      </c>
      <c r="N595" s="183">
        <v>5</v>
      </c>
      <c r="O595" s="7">
        <v>0.55000000000000004</v>
      </c>
    </row>
    <row r="596" spans="1:42" ht="14.25" customHeight="1">
      <c r="A596" s="117" t="s">
        <v>2473</v>
      </c>
      <c r="B596" s="9">
        <v>9.5</v>
      </c>
      <c r="C596" s="1" t="s">
        <v>1281</v>
      </c>
      <c r="N596" s="183">
        <v>5</v>
      </c>
      <c r="O596" s="7">
        <v>0.55000000000000004</v>
      </c>
    </row>
    <row r="597" spans="1:42" ht="14.25" customHeight="1">
      <c r="A597" s="117" t="s">
        <v>2474</v>
      </c>
      <c r="B597" s="9">
        <v>20</v>
      </c>
      <c r="C597" s="211" t="s">
        <v>1296</v>
      </c>
      <c r="N597" s="183">
        <v>3</v>
      </c>
      <c r="O597" s="7">
        <v>1.1000000000000001</v>
      </c>
      <c r="AJ597" s="211" t="s">
        <v>1296</v>
      </c>
    </row>
    <row r="598" spans="1:42" ht="14.25" customHeight="1">
      <c r="A598" s="117" t="s">
        <v>2475</v>
      </c>
      <c r="B598" s="9">
        <v>20</v>
      </c>
      <c r="C598" s="1" t="s">
        <v>3129</v>
      </c>
      <c r="N598" s="183">
        <v>3</v>
      </c>
      <c r="O598" s="7">
        <v>1.1000000000000001</v>
      </c>
      <c r="AP598" s="4"/>
    </row>
    <row r="599" spans="1:42" ht="14.25" customHeight="1">
      <c r="A599" s="117" t="s">
        <v>2476</v>
      </c>
      <c r="B599" s="9">
        <v>20</v>
      </c>
      <c r="C599" s="1" t="s">
        <v>1282</v>
      </c>
      <c r="N599" s="183">
        <v>3</v>
      </c>
      <c r="O599" s="7">
        <v>1.1000000000000001</v>
      </c>
    </row>
    <row r="600" spans="1:42" ht="14.25" customHeight="1">
      <c r="A600" s="117" t="s">
        <v>2477</v>
      </c>
      <c r="B600" s="9">
        <v>20</v>
      </c>
      <c r="C600" s="1" t="s">
        <v>1283</v>
      </c>
      <c r="N600" s="183">
        <v>3</v>
      </c>
      <c r="O600" s="7">
        <v>1.1000000000000001</v>
      </c>
    </row>
    <row r="601" spans="1:42" ht="14.25" customHeight="1">
      <c r="A601" s="117" t="s">
        <v>2478</v>
      </c>
      <c r="B601" s="9">
        <v>20</v>
      </c>
      <c r="C601" s="1" t="s">
        <v>1284</v>
      </c>
      <c r="N601" s="183">
        <v>3</v>
      </c>
      <c r="O601" s="7">
        <v>1.1000000000000001</v>
      </c>
    </row>
    <row r="602" spans="1:42" ht="14.25" customHeight="1">
      <c r="A602" s="117" t="s">
        <v>2479</v>
      </c>
      <c r="B602" s="9">
        <v>20</v>
      </c>
      <c r="C602" s="1" t="s">
        <v>1370</v>
      </c>
      <c r="N602" s="183">
        <v>3</v>
      </c>
      <c r="O602" s="7">
        <v>1.1000000000000001</v>
      </c>
    </row>
    <row r="603" spans="1:42" ht="14.25" customHeight="1">
      <c r="A603" s="117" t="s">
        <v>2480</v>
      </c>
      <c r="B603" s="9">
        <v>20</v>
      </c>
      <c r="C603" s="1" t="s">
        <v>1285</v>
      </c>
      <c r="N603" s="183">
        <v>3</v>
      </c>
      <c r="O603" s="7">
        <v>1.1000000000000001</v>
      </c>
    </row>
    <row r="604" spans="1:42" ht="14.25" customHeight="1">
      <c r="A604" s="117" t="s">
        <v>2481</v>
      </c>
      <c r="B604" s="9">
        <v>20</v>
      </c>
      <c r="C604" s="1" t="s">
        <v>1286</v>
      </c>
      <c r="N604" s="183">
        <v>3</v>
      </c>
      <c r="O604" s="7">
        <v>1.1000000000000001</v>
      </c>
    </row>
    <row r="605" spans="1:42" s="4" customFormat="1" ht="14.25" customHeight="1">
      <c r="A605" s="117" t="s">
        <v>2482</v>
      </c>
      <c r="B605" s="9">
        <v>20</v>
      </c>
      <c r="C605" s="1" t="s">
        <v>1287</v>
      </c>
      <c r="D605" s="183"/>
      <c r="E605" s="183"/>
      <c r="F605" s="188"/>
      <c r="G605" s="188"/>
      <c r="H605" s="183"/>
      <c r="I605" s="183"/>
      <c r="J605" s="188"/>
      <c r="K605" s="188"/>
      <c r="L605" s="9"/>
      <c r="M605" s="9"/>
      <c r="N605" s="183">
        <v>3</v>
      </c>
      <c r="O605" s="7">
        <v>1.1000000000000001</v>
      </c>
      <c r="P605" s="9"/>
      <c r="Q605" s="9"/>
      <c r="R605" s="7"/>
      <c r="S605" s="126"/>
      <c r="T605" s="126"/>
      <c r="U605" s="237"/>
      <c r="V605" s="103"/>
      <c r="W605" s="9"/>
      <c r="X605" s="9"/>
      <c r="Y605" s="9"/>
      <c r="Z605" s="9"/>
      <c r="AA605" s="126"/>
      <c r="AB605" s="9"/>
      <c r="AC605" s="9"/>
      <c r="AD605" s="9"/>
      <c r="AE605" s="9"/>
      <c r="AF605" s="9"/>
      <c r="AG605" s="9"/>
      <c r="AH605" s="9"/>
      <c r="AI605" s="9"/>
      <c r="AJ605" s="7"/>
      <c r="AK605" s="7"/>
      <c r="AL605" s="7"/>
      <c r="AM605" s="7"/>
      <c r="AN605" s="7"/>
      <c r="AO605" s="7"/>
      <c r="AP605" s="7"/>
    </row>
    <row r="606" spans="1:42" ht="14.25" customHeight="1">
      <c r="A606" s="117" t="s">
        <v>2483</v>
      </c>
      <c r="B606" s="9">
        <v>20</v>
      </c>
      <c r="C606" s="1" t="s">
        <v>1297</v>
      </c>
      <c r="N606" s="183">
        <v>3</v>
      </c>
      <c r="O606" s="7">
        <v>1.1000000000000001</v>
      </c>
    </row>
    <row r="607" spans="1:42" ht="14.25" customHeight="1">
      <c r="A607" s="117" t="s">
        <v>2484</v>
      </c>
      <c r="B607" s="9">
        <v>20</v>
      </c>
      <c r="C607" s="1" t="s">
        <v>1369</v>
      </c>
      <c r="N607" s="183">
        <v>3</v>
      </c>
      <c r="O607" s="7">
        <v>1.1000000000000001</v>
      </c>
    </row>
    <row r="608" spans="1:42" ht="14.25" customHeight="1">
      <c r="A608" s="117" t="s">
        <v>2485</v>
      </c>
      <c r="B608" s="9">
        <v>20</v>
      </c>
      <c r="C608" s="1" t="s">
        <v>1289</v>
      </c>
      <c r="N608" s="183">
        <v>3</v>
      </c>
      <c r="O608" s="7">
        <v>1.1000000000000001</v>
      </c>
      <c r="AP608" s="4"/>
    </row>
    <row r="609" spans="1:42" ht="14.25" customHeight="1">
      <c r="A609" s="117" t="s">
        <v>2486</v>
      </c>
      <c r="B609" s="9">
        <v>20</v>
      </c>
      <c r="C609" s="1" t="s">
        <v>1290</v>
      </c>
      <c r="N609" s="183">
        <v>3</v>
      </c>
      <c r="O609" s="7">
        <v>1.1000000000000001</v>
      </c>
    </row>
    <row r="610" spans="1:42" ht="14.25" customHeight="1">
      <c r="A610" s="117" t="s">
        <v>2487</v>
      </c>
      <c r="B610" s="9">
        <v>20</v>
      </c>
      <c r="C610" s="1" t="s">
        <v>1291</v>
      </c>
      <c r="N610" s="183">
        <v>3</v>
      </c>
      <c r="O610" s="7">
        <v>1.1000000000000001</v>
      </c>
      <c r="AP610" s="4"/>
    </row>
    <row r="611" spans="1:42" ht="14.25" customHeight="1">
      <c r="A611" s="117" t="s">
        <v>2488</v>
      </c>
      <c r="B611" s="9">
        <v>20</v>
      </c>
      <c r="C611" s="1" t="s">
        <v>1292</v>
      </c>
      <c r="N611" s="183">
        <v>3</v>
      </c>
      <c r="O611" s="7">
        <v>1.1000000000000001</v>
      </c>
    </row>
    <row r="612" spans="1:42" ht="14.25" customHeight="1">
      <c r="A612" s="117" t="s">
        <v>2489</v>
      </c>
      <c r="B612" s="9">
        <v>20</v>
      </c>
      <c r="C612" s="1" t="s">
        <v>1293</v>
      </c>
      <c r="N612" s="183">
        <v>3</v>
      </c>
      <c r="O612" s="7">
        <v>1.1000000000000001</v>
      </c>
    </row>
    <row r="613" spans="1:42" ht="14.25" customHeight="1">
      <c r="A613" s="117" t="s">
        <v>2490</v>
      </c>
      <c r="B613" s="9">
        <v>20</v>
      </c>
      <c r="C613" s="1" t="s">
        <v>1288</v>
      </c>
      <c r="N613" s="183">
        <v>3</v>
      </c>
      <c r="O613" s="7">
        <v>1.1000000000000001</v>
      </c>
    </row>
    <row r="614" spans="1:42" ht="14.25" customHeight="1">
      <c r="A614" s="117" t="s">
        <v>2491</v>
      </c>
      <c r="B614" s="9">
        <v>20</v>
      </c>
      <c r="C614" s="1" t="s">
        <v>1294</v>
      </c>
      <c r="N614" s="183">
        <v>3</v>
      </c>
      <c r="O614" s="7">
        <v>1.1000000000000001</v>
      </c>
    </row>
    <row r="615" spans="1:42" s="4" customFormat="1" ht="14.25" customHeight="1">
      <c r="A615" s="116" t="s">
        <v>2815</v>
      </c>
      <c r="B615" s="9">
        <v>16.5</v>
      </c>
      <c r="C615" s="211" t="s">
        <v>1877</v>
      </c>
      <c r="D615" s="184"/>
      <c r="E615" s="184"/>
      <c r="F615" s="188"/>
      <c r="G615" s="188"/>
      <c r="H615" s="184"/>
      <c r="I615" s="184"/>
      <c r="J615" s="188"/>
      <c r="K615" s="188"/>
      <c r="L615" s="3"/>
      <c r="M615" s="3"/>
      <c r="N615" s="184">
        <v>5</v>
      </c>
      <c r="O615" s="6">
        <v>1.2</v>
      </c>
      <c r="P615" s="222"/>
      <c r="Q615" s="222"/>
      <c r="R615" s="7"/>
      <c r="S615" s="126"/>
      <c r="T615" s="126"/>
      <c r="U615" s="237"/>
      <c r="V615" s="103"/>
      <c r="W615" s="9"/>
      <c r="X615" s="9"/>
      <c r="Y615" s="9"/>
      <c r="Z615" s="9"/>
      <c r="AA615" s="126"/>
      <c r="AB615" s="9"/>
      <c r="AC615" s="9"/>
      <c r="AD615" s="9"/>
      <c r="AE615" s="9"/>
      <c r="AF615" s="9"/>
      <c r="AG615" s="9"/>
      <c r="AH615" s="9"/>
      <c r="AI615" s="9"/>
      <c r="AJ615" s="211" t="s">
        <v>1877</v>
      </c>
      <c r="AK615" s="7"/>
      <c r="AL615" s="7"/>
      <c r="AM615" s="7"/>
      <c r="AN615" s="7"/>
      <c r="AO615" s="7"/>
      <c r="AP615" s="7"/>
    </row>
    <row r="616" spans="1:42" ht="14.25" customHeight="1">
      <c r="A616" s="116" t="s">
        <v>2816</v>
      </c>
      <c r="B616" s="9">
        <v>11.7</v>
      </c>
      <c r="C616" s="1" t="s">
        <v>1878</v>
      </c>
      <c r="D616" s="184"/>
      <c r="E616" s="184"/>
      <c r="H616" s="184"/>
      <c r="I616" s="184"/>
      <c r="L616" s="3"/>
      <c r="M616" s="3"/>
      <c r="N616" s="184">
        <v>5</v>
      </c>
      <c r="O616" s="6">
        <v>1.7</v>
      </c>
      <c r="P616" s="222"/>
      <c r="Q616" s="222"/>
    </row>
    <row r="617" spans="1:42" s="4" customFormat="1" ht="14.25" customHeight="1">
      <c r="A617" s="116" t="s">
        <v>3134</v>
      </c>
      <c r="B617" s="9">
        <v>60.8</v>
      </c>
      <c r="C617" s="211" t="s">
        <v>1873</v>
      </c>
      <c r="D617" s="184"/>
      <c r="E617" s="184"/>
      <c r="F617" s="188"/>
      <c r="G617" s="188"/>
      <c r="H617" s="184"/>
      <c r="I617" s="184"/>
      <c r="J617" s="188"/>
      <c r="K617" s="188"/>
      <c r="L617" s="3"/>
      <c r="M617" s="3"/>
      <c r="N617" s="184">
        <v>3</v>
      </c>
      <c r="O617" s="6">
        <v>2.15</v>
      </c>
      <c r="P617" s="222"/>
      <c r="Q617" s="222"/>
      <c r="R617" s="7"/>
      <c r="S617" s="126"/>
      <c r="T617" s="126"/>
      <c r="U617" s="237"/>
      <c r="V617" s="103"/>
      <c r="W617" s="9"/>
      <c r="X617" s="9"/>
      <c r="Y617" s="9"/>
      <c r="Z617" s="9"/>
      <c r="AA617" s="126"/>
      <c r="AB617" s="9"/>
      <c r="AC617" s="9"/>
      <c r="AD617" s="9"/>
      <c r="AE617" s="9"/>
      <c r="AF617" s="9"/>
      <c r="AG617" s="9"/>
      <c r="AH617" s="9"/>
      <c r="AI617" s="9"/>
      <c r="AJ617" s="211" t="s">
        <v>1873</v>
      </c>
      <c r="AK617" s="7"/>
      <c r="AL617" s="7"/>
      <c r="AM617" s="7"/>
      <c r="AN617" s="7"/>
      <c r="AO617" s="7"/>
      <c r="AP617" s="7"/>
    </row>
    <row r="618" spans="1:42" ht="14.25" customHeight="1">
      <c r="A618" s="116" t="s">
        <v>3135</v>
      </c>
      <c r="B618" s="9">
        <v>62.2</v>
      </c>
      <c r="C618" s="1" t="s">
        <v>1872</v>
      </c>
      <c r="D618" s="184"/>
      <c r="E618" s="184"/>
      <c r="H618" s="184"/>
      <c r="I618" s="184"/>
      <c r="L618" s="3"/>
      <c r="M618" s="3"/>
      <c r="N618" s="184">
        <v>3</v>
      </c>
      <c r="O618" s="6">
        <v>2.15</v>
      </c>
      <c r="P618" s="222"/>
      <c r="Q618" s="222"/>
    </row>
    <row r="619" spans="1:42" ht="14.25" customHeight="1">
      <c r="A619" s="116" t="s">
        <v>3133</v>
      </c>
      <c r="B619" s="9">
        <v>22.3</v>
      </c>
      <c r="C619" s="1" t="s">
        <v>1879</v>
      </c>
      <c r="D619" s="184"/>
      <c r="E619" s="184"/>
      <c r="H619" s="184"/>
      <c r="I619" s="184"/>
      <c r="L619" s="3"/>
      <c r="M619" s="3"/>
      <c r="N619" s="184">
        <v>5</v>
      </c>
      <c r="O619" s="6">
        <f>11.39*2.38/(1.19+1.68+2.38+2.97+3.56)</f>
        <v>2.3012054329371816</v>
      </c>
      <c r="P619" s="222"/>
      <c r="Q619" s="222"/>
    </row>
    <row r="620" spans="1:42" ht="14.25" customHeight="1">
      <c r="A620" s="116" t="s">
        <v>2817</v>
      </c>
      <c r="B620" s="9">
        <v>27.5</v>
      </c>
      <c r="C620" s="1" t="s">
        <v>1880</v>
      </c>
      <c r="D620" s="184"/>
      <c r="E620" s="184"/>
      <c r="H620" s="184"/>
      <c r="I620" s="184"/>
      <c r="L620" s="3"/>
      <c r="M620" s="3"/>
      <c r="N620" s="184">
        <v>5</v>
      </c>
      <c r="O620" s="6">
        <f>11.39*2.97/(1.19+1.68+2.38+2.97+3.56)</f>
        <v>2.8716723259762311</v>
      </c>
      <c r="P620" s="222"/>
      <c r="Q620" s="222"/>
    </row>
    <row r="621" spans="1:42" ht="14.25" customHeight="1">
      <c r="A621" s="116" t="s">
        <v>2818</v>
      </c>
      <c r="B621" s="9">
        <v>30.5</v>
      </c>
      <c r="C621" s="1" t="s">
        <v>1881</v>
      </c>
      <c r="D621" s="184"/>
      <c r="E621" s="184"/>
      <c r="H621" s="184"/>
      <c r="I621" s="184"/>
      <c r="L621" s="3"/>
      <c r="M621" s="3"/>
      <c r="N621" s="184">
        <v>5</v>
      </c>
      <c r="O621" s="6">
        <f>11.39*3.56/(1.19+1.68+2.38+2.97+3.56)</f>
        <v>3.4421392190152797</v>
      </c>
      <c r="P621" s="222"/>
      <c r="Q621" s="222"/>
    </row>
    <row r="622" spans="1:42" ht="14.25" customHeight="1">
      <c r="A622" s="116" t="s">
        <v>2819</v>
      </c>
      <c r="B622" s="9">
        <v>63</v>
      </c>
      <c r="C622" s="1" t="s">
        <v>1871</v>
      </c>
      <c r="D622" s="184"/>
      <c r="E622" s="184"/>
      <c r="H622" s="184"/>
      <c r="I622" s="184"/>
      <c r="L622" s="3"/>
      <c r="M622" s="3"/>
      <c r="N622" s="184">
        <v>3</v>
      </c>
      <c r="O622" s="6">
        <v>2.15</v>
      </c>
      <c r="P622" s="222"/>
      <c r="Q622" s="222"/>
    </row>
    <row r="623" spans="1:42" ht="14.25" customHeight="1">
      <c r="A623" s="116" t="s">
        <v>3136</v>
      </c>
      <c r="B623" s="9">
        <v>78.8</v>
      </c>
      <c r="C623" s="1" t="s">
        <v>1876</v>
      </c>
      <c r="D623" s="184"/>
      <c r="E623" s="184"/>
      <c r="H623" s="184"/>
      <c r="I623" s="184"/>
      <c r="L623" s="3"/>
      <c r="M623" s="3"/>
      <c r="N623" s="184">
        <v>3</v>
      </c>
      <c r="O623" s="6">
        <v>2.15</v>
      </c>
      <c r="P623" s="222"/>
      <c r="Q623" s="222"/>
    </row>
    <row r="624" spans="1:42" ht="14.25" customHeight="1">
      <c r="A624" s="116" t="s">
        <v>2820</v>
      </c>
      <c r="B624" s="9">
        <v>58.6</v>
      </c>
      <c r="C624" s="1" t="s">
        <v>1874</v>
      </c>
      <c r="D624" s="184"/>
      <c r="E624" s="184"/>
      <c r="H624" s="184"/>
      <c r="I624" s="184"/>
      <c r="L624" s="3"/>
      <c r="M624" s="3"/>
      <c r="N624" s="184">
        <v>3</v>
      </c>
      <c r="O624" s="6">
        <v>2.15</v>
      </c>
      <c r="P624" s="222"/>
      <c r="Q624" s="222"/>
    </row>
    <row r="625" spans="1:42" ht="14.25" customHeight="1">
      <c r="A625" s="116" t="s">
        <v>2821</v>
      </c>
      <c r="B625" s="9">
        <v>82.4</v>
      </c>
      <c r="C625" s="1" t="s">
        <v>1875</v>
      </c>
      <c r="D625" s="184"/>
      <c r="E625" s="184"/>
      <c r="H625" s="184"/>
      <c r="I625" s="184"/>
      <c r="L625" s="3"/>
      <c r="M625" s="3"/>
      <c r="N625" s="184">
        <v>3</v>
      </c>
      <c r="O625" s="6">
        <v>2.15</v>
      </c>
      <c r="P625" s="222"/>
      <c r="Q625" s="222"/>
    </row>
    <row r="626" spans="1:42" ht="14.25" customHeight="1">
      <c r="A626" s="133" t="s">
        <v>2492</v>
      </c>
      <c r="B626" s="9">
        <v>10</v>
      </c>
      <c r="C626" s="211" t="s">
        <v>1300</v>
      </c>
      <c r="N626" s="183">
        <v>20</v>
      </c>
      <c r="O626" s="7">
        <v>0.68</v>
      </c>
      <c r="AJ626" s="211" t="s">
        <v>1300</v>
      </c>
    </row>
    <row r="627" spans="1:42" ht="14.25" customHeight="1">
      <c r="A627" s="133" t="s">
        <v>2493</v>
      </c>
      <c r="B627" s="9">
        <v>10</v>
      </c>
      <c r="C627" s="7" t="s">
        <v>1301</v>
      </c>
      <c r="N627" s="183">
        <v>10</v>
      </c>
      <c r="O627" s="7">
        <v>0.68</v>
      </c>
    </row>
    <row r="628" spans="1:42" ht="14.25" customHeight="1">
      <c r="A628" s="133" t="s">
        <v>2494</v>
      </c>
      <c r="B628" s="9">
        <v>10</v>
      </c>
      <c r="C628" s="7" t="s">
        <v>1302</v>
      </c>
      <c r="N628" s="183">
        <v>10</v>
      </c>
      <c r="O628" s="7">
        <v>0.68</v>
      </c>
      <c r="AP628" s="4"/>
    </row>
    <row r="629" spans="1:42" ht="14.25" customHeight="1">
      <c r="A629" s="133" t="s">
        <v>2495</v>
      </c>
      <c r="B629" s="9">
        <v>10</v>
      </c>
      <c r="C629" s="7" t="s">
        <v>1303</v>
      </c>
      <c r="N629" s="183">
        <v>10</v>
      </c>
      <c r="O629" s="7">
        <v>0.68</v>
      </c>
    </row>
    <row r="630" spans="1:42" ht="14.25" customHeight="1">
      <c r="A630" s="133" t="s">
        <v>2496</v>
      </c>
      <c r="B630" s="9">
        <v>10</v>
      </c>
      <c r="C630" s="7" t="s">
        <v>1304</v>
      </c>
      <c r="N630" s="183">
        <v>10</v>
      </c>
      <c r="O630" s="7">
        <v>0.68</v>
      </c>
    </row>
    <row r="631" spans="1:42" ht="14.25" customHeight="1">
      <c r="A631" s="116" t="s">
        <v>2734</v>
      </c>
      <c r="B631" s="9">
        <f>60/30</f>
        <v>2</v>
      </c>
      <c r="C631" s="211" t="s">
        <v>1627</v>
      </c>
      <c r="N631" s="183">
        <v>60</v>
      </c>
      <c r="O631" s="56">
        <f>4.5/30</f>
        <v>0.15</v>
      </c>
      <c r="P631" s="107"/>
      <c r="Q631" s="107"/>
      <c r="AJ631" s="211" t="s">
        <v>1627</v>
      </c>
    </row>
    <row r="632" spans="1:42" ht="14.25" customHeight="1">
      <c r="A632" s="116" t="s">
        <v>2735</v>
      </c>
      <c r="B632" s="107">
        <f>57.8/30</f>
        <v>1.9266666666666665</v>
      </c>
      <c r="C632" s="7" t="s">
        <v>1626</v>
      </c>
      <c r="N632" s="183">
        <v>60</v>
      </c>
      <c r="O632" s="56">
        <f>4.5/30</f>
        <v>0.15</v>
      </c>
      <c r="P632" s="107"/>
      <c r="Q632" s="107"/>
    </row>
    <row r="633" spans="1:42" ht="14.25" customHeight="1">
      <c r="A633" s="116" t="s">
        <v>2736</v>
      </c>
      <c r="B633" s="107">
        <f>68.2/30</f>
        <v>2.2733333333333334</v>
      </c>
      <c r="C633" s="7" t="s">
        <v>1628</v>
      </c>
      <c r="N633" s="183">
        <v>60</v>
      </c>
      <c r="O633" s="56">
        <f>5.5/30</f>
        <v>0.18333333333333332</v>
      </c>
      <c r="P633" s="107"/>
      <c r="Q633" s="107"/>
    </row>
    <row r="634" spans="1:42" ht="14.25" customHeight="1">
      <c r="A634" s="116" t="s">
        <v>2737</v>
      </c>
      <c r="B634" s="107">
        <f>69.7/50</f>
        <v>1.3940000000000001</v>
      </c>
      <c r="C634" s="211" t="s">
        <v>1623</v>
      </c>
      <c r="N634" s="183">
        <v>50</v>
      </c>
      <c r="O634" s="56">
        <v>0.08</v>
      </c>
      <c r="P634" s="107"/>
      <c r="Q634" s="107"/>
      <c r="AJ634" s="211" t="s">
        <v>1623</v>
      </c>
    </row>
    <row r="635" spans="1:42" s="4" customFormat="1" ht="14.25" customHeight="1">
      <c r="A635" s="116" t="s">
        <v>2738</v>
      </c>
      <c r="B635" s="107">
        <f>70.6/50</f>
        <v>1.4119999999999999</v>
      </c>
      <c r="C635" s="7" t="s">
        <v>1624</v>
      </c>
      <c r="D635" s="183"/>
      <c r="E635" s="183"/>
      <c r="F635" s="188"/>
      <c r="G635" s="188"/>
      <c r="H635" s="183"/>
      <c r="I635" s="183"/>
      <c r="J635" s="188"/>
      <c r="K635" s="188"/>
      <c r="L635" s="9"/>
      <c r="M635" s="9"/>
      <c r="N635" s="183">
        <v>50</v>
      </c>
      <c r="O635" s="56">
        <v>0.08</v>
      </c>
      <c r="P635" s="107"/>
      <c r="Q635" s="107"/>
      <c r="R635" s="7"/>
      <c r="S635" s="126"/>
      <c r="T635" s="126"/>
      <c r="U635" s="237"/>
      <c r="V635" s="103"/>
      <c r="W635" s="9"/>
      <c r="X635" s="9"/>
      <c r="Y635" s="9"/>
      <c r="Z635" s="9"/>
      <c r="AA635" s="126"/>
      <c r="AB635" s="9"/>
      <c r="AC635" s="9"/>
      <c r="AD635" s="9"/>
      <c r="AE635" s="9"/>
      <c r="AF635" s="9"/>
      <c r="AG635" s="9"/>
      <c r="AH635" s="9"/>
      <c r="AI635" s="9"/>
      <c r="AJ635" s="7"/>
      <c r="AK635" s="7"/>
      <c r="AL635" s="7"/>
      <c r="AM635" s="7"/>
      <c r="AN635" s="7"/>
      <c r="AO635" s="7"/>
    </row>
    <row r="636" spans="1:42" ht="14.25" customHeight="1">
      <c r="A636" s="116" t="s">
        <v>2739</v>
      </c>
      <c r="B636" s="107">
        <f>123.4/50</f>
        <v>2.468</v>
      </c>
      <c r="C636" s="7" t="s">
        <v>1625</v>
      </c>
      <c r="N636" s="183">
        <v>50</v>
      </c>
      <c r="O636" s="56">
        <v>0.12</v>
      </c>
      <c r="P636" s="107"/>
      <c r="Q636" s="107"/>
    </row>
    <row r="637" spans="1:42" ht="14.25" customHeight="1">
      <c r="A637" s="116" t="s">
        <v>2748</v>
      </c>
      <c r="B637" s="107">
        <f>232.5/1000</f>
        <v>0.23250000000000001</v>
      </c>
      <c r="C637" s="211" t="s">
        <v>1653</v>
      </c>
      <c r="N637" s="183">
        <v>1000</v>
      </c>
      <c r="O637" s="56">
        <f>15/N637</f>
        <v>1.4999999999999999E-2</v>
      </c>
      <c r="P637" s="107"/>
      <c r="Q637" s="107"/>
      <c r="AJ637" s="211" t="s">
        <v>1653</v>
      </c>
    </row>
    <row r="638" spans="1:42" ht="14.25" customHeight="1">
      <c r="A638" s="116" t="s">
        <v>2749</v>
      </c>
      <c r="B638" s="107">
        <f>262.8/1000</f>
        <v>0.26280000000000003</v>
      </c>
      <c r="C638" s="7" t="s">
        <v>1654</v>
      </c>
      <c r="N638" s="183">
        <v>1000</v>
      </c>
      <c r="O638" s="56">
        <f>15/N638</f>
        <v>1.4999999999999999E-2</v>
      </c>
      <c r="P638" s="107"/>
      <c r="Q638" s="107"/>
    </row>
    <row r="639" spans="1:42" ht="14.25" customHeight="1">
      <c r="A639" s="116" t="s">
        <v>2750</v>
      </c>
      <c r="B639" s="9">
        <f>5/10</f>
        <v>0.5</v>
      </c>
      <c r="C639" s="7" t="s">
        <v>1655</v>
      </c>
      <c r="N639" s="183">
        <v>1000</v>
      </c>
      <c r="O639" s="56">
        <f>28/N639</f>
        <v>2.8000000000000001E-2</v>
      </c>
      <c r="P639" s="107"/>
      <c r="Q639" s="107"/>
    </row>
    <row r="640" spans="1:42" ht="14.25" customHeight="1">
      <c r="A640" s="116" t="s">
        <v>2720</v>
      </c>
      <c r="B640" s="9">
        <f>3.9/5</f>
        <v>0.78</v>
      </c>
      <c r="C640" s="211" t="s">
        <v>1638</v>
      </c>
      <c r="N640" s="183">
        <v>1000</v>
      </c>
      <c r="O640" s="56">
        <f>40/N640</f>
        <v>0.04</v>
      </c>
      <c r="P640" s="107"/>
      <c r="Q640" s="107"/>
      <c r="AJ640" s="211" t="s">
        <v>1638</v>
      </c>
    </row>
    <row r="641" spans="1:42" ht="14.25" customHeight="1">
      <c r="A641" s="116" t="s">
        <v>2721</v>
      </c>
      <c r="B641" s="9">
        <f>3.6/5</f>
        <v>0.72</v>
      </c>
      <c r="C641" s="7" t="s">
        <v>1639</v>
      </c>
      <c r="N641" s="183">
        <v>1000</v>
      </c>
      <c r="O641" s="56">
        <f>47/N641</f>
        <v>4.7E-2</v>
      </c>
      <c r="P641" s="107"/>
      <c r="Q641" s="107"/>
    </row>
    <row r="642" spans="1:42" s="4" customFormat="1" ht="14.25" customHeight="1">
      <c r="A642" s="116" t="s">
        <v>2722</v>
      </c>
      <c r="B642" s="9">
        <f>4.7/5</f>
        <v>0.94000000000000006</v>
      </c>
      <c r="C642" s="7" t="s">
        <v>1640</v>
      </c>
      <c r="D642" s="183"/>
      <c r="E642" s="183"/>
      <c r="F642" s="188"/>
      <c r="G642" s="188"/>
      <c r="H642" s="183"/>
      <c r="I642" s="183"/>
      <c r="J642" s="188"/>
      <c r="K642" s="188"/>
      <c r="L642" s="9"/>
      <c r="M642" s="9"/>
      <c r="N642" s="183">
        <v>500</v>
      </c>
      <c r="O642" s="56">
        <f>42.5/N642</f>
        <v>8.5000000000000006E-2</v>
      </c>
      <c r="P642" s="107"/>
      <c r="Q642" s="107"/>
      <c r="R642" s="7"/>
      <c r="S642" s="126"/>
      <c r="T642" s="126"/>
      <c r="U642" s="237"/>
      <c r="V642" s="103"/>
      <c r="W642" s="9"/>
      <c r="X642" s="9"/>
      <c r="Y642" s="9"/>
      <c r="Z642" s="9"/>
      <c r="AA642" s="126"/>
      <c r="AB642" s="9"/>
      <c r="AC642" s="9"/>
      <c r="AD642" s="9"/>
      <c r="AE642" s="9"/>
      <c r="AF642" s="9"/>
      <c r="AG642" s="9"/>
      <c r="AH642" s="9"/>
      <c r="AI642" s="9"/>
      <c r="AJ642" s="7"/>
      <c r="AK642" s="7"/>
      <c r="AL642" s="7"/>
      <c r="AM642" s="7"/>
      <c r="AN642" s="7"/>
      <c r="AO642" s="7"/>
      <c r="AP642" s="7"/>
    </row>
    <row r="643" spans="1:42" ht="14.25" customHeight="1">
      <c r="A643" s="116" t="s">
        <v>2723</v>
      </c>
      <c r="B643" s="107">
        <f>12.9/50</f>
        <v>0.25800000000000001</v>
      </c>
      <c r="C643" s="211" t="s">
        <v>1642</v>
      </c>
      <c r="N643" s="183">
        <v>50</v>
      </c>
      <c r="O643" s="7">
        <v>0.14000000000000001</v>
      </c>
      <c r="AJ643" s="211" t="s">
        <v>1642</v>
      </c>
    </row>
    <row r="644" spans="1:42" ht="14.25" customHeight="1">
      <c r="A644" s="116" t="s">
        <v>2724</v>
      </c>
      <c r="B644" s="107">
        <f>41.2/50</f>
        <v>0.82400000000000007</v>
      </c>
      <c r="C644" s="7" t="s">
        <v>1641</v>
      </c>
      <c r="N644" s="183">
        <v>50</v>
      </c>
      <c r="O644" s="7">
        <v>0.11</v>
      </c>
    </row>
    <row r="645" spans="1:42" ht="14.25" customHeight="1">
      <c r="A645" s="116" t="s">
        <v>2725</v>
      </c>
      <c r="B645" s="107">
        <f>48.9/50</f>
        <v>0.97799999999999998</v>
      </c>
      <c r="C645" s="7" t="s">
        <v>1643</v>
      </c>
      <c r="N645" s="183">
        <v>50</v>
      </c>
      <c r="O645" s="7">
        <v>0.14000000000000001</v>
      </c>
    </row>
    <row r="646" spans="1:42" ht="14.25" customHeight="1">
      <c r="A646" s="116" t="s">
        <v>2726</v>
      </c>
      <c r="B646" s="107">
        <f>84.9/50</f>
        <v>1.6980000000000002</v>
      </c>
      <c r="C646" s="7" t="s">
        <v>1644</v>
      </c>
      <c r="N646" s="183">
        <v>50</v>
      </c>
      <c r="O646" s="7">
        <v>0.2</v>
      </c>
    </row>
    <row r="647" spans="1:42" ht="14.25" customHeight="1">
      <c r="A647" s="116" t="s">
        <v>2727</v>
      </c>
      <c r="B647" s="107">
        <f>5/30</f>
        <v>0.16666666666666666</v>
      </c>
      <c r="C647" s="211" t="s">
        <v>1645</v>
      </c>
      <c r="N647" s="183">
        <v>30</v>
      </c>
      <c r="O647" s="7">
        <v>0.27</v>
      </c>
      <c r="AJ647" s="211" t="s">
        <v>1645</v>
      </c>
    </row>
    <row r="648" spans="1:42" ht="14.25" customHeight="1">
      <c r="A648" s="116" t="s">
        <v>2728</v>
      </c>
      <c r="B648" s="107">
        <f>9.6/30</f>
        <v>0.32</v>
      </c>
      <c r="C648" s="7" t="s">
        <v>1646</v>
      </c>
      <c r="N648" s="183">
        <v>30</v>
      </c>
      <c r="O648" s="7">
        <v>0.33</v>
      </c>
    </row>
    <row r="649" spans="1:42" ht="14.25" customHeight="1">
      <c r="A649" s="116" t="s">
        <v>2729</v>
      </c>
      <c r="B649" s="107">
        <f>18.7/30</f>
        <v>0.62333333333333329</v>
      </c>
      <c r="C649" s="7" t="s">
        <v>1647</v>
      </c>
      <c r="N649" s="183">
        <v>30</v>
      </c>
      <c r="O649" s="7">
        <v>0.36</v>
      </c>
    </row>
    <row r="650" spans="1:42" ht="14.25" customHeight="1">
      <c r="A650" s="116" t="s">
        <v>2730</v>
      </c>
      <c r="B650" s="107">
        <f>24.5/30</f>
        <v>0.81666666666666665</v>
      </c>
      <c r="C650" s="7" t="s">
        <v>1648</v>
      </c>
      <c r="N650" s="183">
        <v>30</v>
      </c>
      <c r="O650" s="7">
        <v>0.43</v>
      </c>
    </row>
    <row r="651" spans="1:42" ht="14.25" customHeight="1">
      <c r="A651" s="116" t="s">
        <v>2731</v>
      </c>
      <c r="B651" s="9">
        <f>7.2/5</f>
        <v>1.44</v>
      </c>
      <c r="C651" s="211" t="s">
        <v>1649</v>
      </c>
      <c r="N651" s="183">
        <v>50</v>
      </c>
      <c r="O651" s="56">
        <f>5/N651</f>
        <v>0.1</v>
      </c>
      <c r="P651" s="107"/>
      <c r="Q651" s="107"/>
      <c r="AJ651" s="211" t="s">
        <v>1649</v>
      </c>
      <c r="AP651" s="4"/>
    </row>
    <row r="652" spans="1:42" ht="14.25" customHeight="1">
      <c r="A652" s="116" t="s">
        <v>2732</v>
      </c>
      <c r="B652" s="9">
        <f>7.8/5</f>
        <v>1.56</v>
      </c>
      <c r="C652" s="7" t="s">
        <v>1650</v>
      </c>
      <c r="N652" s="183">
        <v>50</v>
      </c>
      <c r="O652" s="56">
        <f>5/N652</f>
        <v>0.1</v>
      </c>
      <c r="P652" s="107"/>
      <c r="Q652" s="107"/>
    </row>
    <row r="653" spans="1:42" ht="14.25" customHeight="1">
      <c r="A653" s="116" t="s">
        <v>2733</v>
      </c>
      <c r="B653" s="9">
        <f>9.6/5</f>
        <v>1.92</v>
      </c>
      <c r="C653" s="7" t="s">
        <v>1651</v>
      </c>
      <c r="N653" s="183">
        <v>50</v>
      </c>
      <c r="O653" s="56">
        <f>10/N653</f>
        <v>0.2</v>
      </c>
      <c r="P653" s="107"/>
      <c r="Q653" s="107"/>
    </row>
    <row r="654" spans="1:42" ht="14.25" customHeight="1">
      <c r="A654" s="116" t="s">
        <v>2751</v>
      </c>
      <c r="B654" s="9">
        <f>7.8/5</f>
        <v>1.56</v>
      </c>
      <c r="C654" s="211" t="s">
        <v>1656</v>
      </c>
      <c r="N654" s="183">
        <v>60</v>
      </c>
      <c r="O654" s="7">
        <v>0.35</v>
      </c>
      <c r="AJ654" s="211" t="s">
        <v>1656</v>
      </c>
    </row>
    <row r="655" spans="1:42" ht="14.25" customHeight="1">
      <c r="A655" s="116" t="s">
        <v>2752</v>
      </c>
      <c r="B655" s="9">
        <f>8.4/5</f>
        <v>1.6800000000000002</v>
      </c>
      <c r="C655" s="7" t="s">
        <v>1657</v>
      </c>
      <c r="N655" s="183">
        <v>60</v>
      </c>
      <c r="O655" s="7">
        <v>0.35</v>
      </c>
    </row>
    <row r="656" spans="1:42" ht="14.25" customHeight="1">
      <c r="A656" s="116" t="s">
        <v>2753</v>
      </c>
      <c r="B656" s="9">
        <f>11/5</f>
        <v>2.2000000000000002</v>
      </c>
      <c r="C656" s="7" t="s">
        <v>1658</v>
      </c>
      <c r="N656" s="183">
        <v>30</v>
      </c>
      <c r="O656" s="7">
        <v>0.6</v>
      </c>
    </row>
    <row r="657" spans="1:42" ht="14.25" customHeight="1">
      <c r="A657" s="116" t="s">
        <v>3157</v>
      </c>
      <c r="B657" s="9">
        <f>8.6/5</f>
        <v>1.72</v>
      </c>
      <c r="C657" s="211" t="s">
        <v>1659</v>
      </c>
      <c r="N657" s="183">
        <v>60</v>
      </c>
      <c r="O657" s="7">
        <v>0.35</v>
      </c>
      <c r="AJ657" s="211" t="s">
        <v>1659</v>
      </c>
    </row>
    <row r="658" spans="1:42" s="4" customFormat="1" ht="14.25" customHeight="1">
      <c r="A658" s="116" t="s">
        <v>2754</v>
      </c>
      <c r="B658" s="9">
        <f>9/5</f>
        <v>1.8</v>
      </c>
      <c r="C658" s="7" t="s">
        <v>1660</v>
      </c>
      <c r="D658" s="183"/>
      <c r="E658" s="183"/>
      <c r="F658" s="188"/>
      <c r="G658" s="188"/>
      <c r="H658" s="183"/>
      <c r="I658" s="183"/>
      <c r="J658" s="188"/>
      <c r="K658" s="188"/>
      <c r="L658" s="9"/>
      <c r="M658" s="9"/>
      <c r="N658" s="183">
        <v>60</v>
      </c>
      <c r="O658" s="7">
        <v>0.35</v>
      </c>
      <c r="P658" s="9"/>
      <c r="Q658" s="9"/>
      <c r="R658" s="7"/>
      <c r="S658" s="126"/>
      <c r="T658" s="126"/>
      <c r="U658" s="237"/>
      <c r="V658" s="103"/>
      <c r="W658" s="9"/>
      <c r="X658" s="9"/>
      <c r="Y658" s="9"/>
      <c r="Z658" s="9"/>
      <c r="AA658" s="126"/>
      <c r="AB658" s="9"/>
      <c r="AC658" s="9"/>
      <c r="AD658" s="9"/>
      <c r="AE658" s="9"/>
      <c r="AF658" s="9"/>
      <c r="AG658" s="9"/>
      <c r="AH658" s="9"/>
      <c r="AI658" s="9"/>
      <c r="AJ658" s="7"/>
      <c r="AK658" s="7"/>
      <c r="AL658" s="7"/>
      <c r="AM658" s="7"/>
      <c r="AN658" s="7"/>
      <c r="AO658" s="7"/>
      <c r="AP658" s="7"/>
    </row>
    <row r="659" spans="1:42" ht="14.25" customHeight="1">
      <c r="A659" s="116" t="s">
        <v>3158</v>
      </c>
      <c r="B659" s="9">
        <f>10.5/5</f>
        <v>2.1</v>
      </c>
      <c r="C659" s="7" t="s">
        <v>1661</v>
      </c>
      <c r="N659" s="183">
        <v>30</v>
      </c>
      <c r="O659" s="7">
        <v>0.6</v>
      </c>
      <c r="AP659" s="4"/>
    </row>
    <row r="660" spans="1:42" ht="14.25" customHeight="1">
      <c r="A660" s="116" t="s">
        <v>2740</v>
      </c>
      <c r="B660" s="107">
        <f>56.8/30</f>
        <v>1.8933333333333333</v>
      </c>
      <c r="C660" s="211" t="s">
        <v>1629</v>
      </c>
      <c r="N660" s="183">
        <v>30</v>
      </c>
      <c r="O660" s="56">
        <v>0.25</v>
      </c>
      <c r="P660" s="107"/>
      <c r="Q660" s="107"/>
      <c r="AJ660" s="211" t="s">
        <v>1629</v>
      </c>
    </row>
    <row r="661" spans="1:42" ht="14.25" customHeight="1">
      <c r="A661" s="116" t="s">
        <v>2741</v>
      </c>
      <c r="B661" s="107">
        <f>50.5/30</f>
        <v>1.6833333333333333</v>
      </c>
      <c r="C661" s="7" t="s">
        <v>1630</v>
      </c>
      <c r="N661" s="183">
        <v>30</v>
      </c>
      <c r="O661" s="56">
        <v>0.25</v>
      </c>
      <c r="P661" s="107"/>
      <c r="Q661" s="107"/>
    </row>
    <row r="662" spans="1:42" ht="14.25" customHeight="1">
      <c r="A662" s="116" t="s">
        <v>2742</v>
      </c>
      <c r="B662" s="9">
        <f>92.1/30</f>
        <v>3.07</v>
      </c>
      <c r="C662" s="7" t="s">
        <v>1631</v>
      </c>
      <c r="N662" s="183">
        <v>30</v>
      </c>
      <c r="O662" s="56">
        <v>0.26</v>
      </c>
      <c r="P662" s="107"/>
      <c r="Q662" s="107"/>
    </row>
    <row r="663" spans="1:42" ht="14.25" customHeight="1">
      <c r="A663" s="116" t="s">
        <v>2743</v>
      </c>
      <c r="B663" s="107">
        <f>83.2/30</f>
        <v>2.7733333333333334</v>
      </c>
      <c r="C663" s="7" t="s">
        <v>1632</v>
      </c>
      <c r="N663" s="183">
        <v>30</v>
      </c>
      <c r="O663" s="56">
        <v>0.26</v>
      </c>
      <c r="P663" s="107"/>
      <c r="Q663" s="107"/>
    </row>
    <row r="664" spans="1:42" ht="14.25" customHeight="1">
      <c r="A664" s="116" t="s">
        <v>2744</v>
      </c>
      <c r="B664" s="107">
        <f>144.4/30</f>
        <v>4.8133333333333335</v>
      </c>
      <c r="C664" s="7" t="s">
        <v>1633</v>
      </c>
      <c r="N664" s="183">
        <v>30</v>
      </c>
      <c r="O664" s="56">
        <v>0.35</v>
      </c>
      <c r="P664" s="107"/>
      <c r="Q664" s="107"/>
    </row>
    <row r="665" spans="1:42" ht="14.25" customHeight="1">
      <c r="A665" s="116" t="s">
        <v>2745</v>
      </c>
      <c r="B665" s="9">
        <f>133.5/30</f>
        <v>4.45</v>
      </c>
      <c r="C665" s="7" t="s">
        <v>1634</v>
      </c>
      <c r="N665" s="183">
        <v>30</v>
      </c>
      <c r="O665" s="56">
        <v>0.35</v>
      </c>
      <c r="P665" s="107"/>
      <c r="Q665" s="107"/>
    </row>
    <row r="666" spans="1:42" s="4" customFormat="1" ht="14.25" customHeight="1">
      <c r="A666" s="116" t="s">
        <v>2746</v>
      </c>
      <c r="B666" s="9">
        <f>201.3/30</f>
        <v>6.71</v>
      </c>
      <c r="C666" s="7" t="s">
        <v>1635</v>
      </c>
      <c r="D666" s="183"/>
      <c r="E666" s="183"/>
      <c r="F666" s="188"/>
      <c r="G666" s="188"/>
      <c r="H666" s="183"/>
      <c r="I666" s="183"/>
      <c r="J666" s="188"/>
      <c r="K666" s="188"/>
      <c r="L666" s="9"/>
      <c r="M666" s="9"/>
      <c r="N666" s="183">
        <v>30</v>
      </c>
      <c r="O666" s="56">
        <v>0.5</v>
      </c>
      <c r="P666" s="107"/>
      <c r="Q666" s="107"/>
      <c r="R666" s="7"/>
      <c r="S666" s="126"/>
      <c r="T666" s="126"/>
      <c r="U666" s="237"/>
      <c r="V666" s="103"/>
      <c r="W666" s="9"/>
      <c r="X666" s="9"/>
      <c r="Y666" s="9"/>
      <c r="Z666" s="9"/>
      <c r="AA666" s="126"/>
      <c r="AB666" s="9"/>
      <c r="AC666" s="9"/>
      <c r="AD666" s="9"/>
      <c r="AE666" s="9"/>
      <c r="AF666" s="9"/>
      <c r="AG666" s="9"/>
      <c r="AH666" s="9"/>
      <c r="AI666" s="9"/>
      <c r="AJ666" s="7"/>
      <c r="AK666" s="7"/>
      <c r="AL666" s="7"/>
      <c r="AM666" s="7"/>
      <c r="AN666" s="7"/>
      <c r="AO666" s="7"/>
      <c r="AP666" s="7"/>
    </row>
    <row r="667" spans="1:42" ht="14.25" customHeight="1">
      <c r="A667" s="116" t="s">
        <v>2747</v>
      </c>
      <c r="B667" s="107">
        <f>190.3/30</f>
        <v>6.3433333333333337</v>
      </c>
      <c r="C667" s="7" t="s">
        <v>1636</v>
      </c>
      <c r="N667" s="183">
        <v>30</v>
      </c>
      <c r="O667" s="56">
        <v>0.5</v>
      </c>
      <c r="P667" s="107"/>
      <c r="Q667" s="107"/>
      <c r="AP667" s="4"/>
    </row>
    <row r="668" spans="1:42" ht="14.25" customHeight="1">
      <c r="A668" s="116" t="s">
        <v>3039</v>
      </c>
      <c r="B668" s="9">
        <f>26.7</f>
        <v>26.7</v>
      </c>
      <c r="C668" s="211" t="s">
        <v>3164</v>
      </c>
      <c r="D668" s="184"/>
      <c r="E668" s="184"/>
      <c r="H668" s="184"/>
      <c r="I668" s="184"/>
      <c r="L668" s="3"/>
      <c r="M668" s="3"/>
      <c r="N668" s="184">
        <v>50</v>
      </c>
      <c r="O668" s="6">
        <v>0.12</v>
      </c>
      <c r="P668" s="222"/>
      <c r="Q668" s="222"/>
      <c r="AJ668" s="211" t="s">
        <v>3164</v>
      </c>
    </row>
    <row r="669" spans="1:42" ht="14.25" customHeight="1">
      <c r="A669" s="116" t="s">
        <v>3140</v>
      </c>
      <c r="B669" s="9">
        <v>24.7</v>
      </c>
      <c r="C669" s="1" t="s">
        <v>3165</v>
      </c>
      <c r="D669" s="184"/>
      <c r="E669" s="184"/>
      <c r="H669" s="184"/>
      <c r="I669" s="184"/>
      <c r="L669" s="3"/>
      <c r="M669" s="3"/>
      <c r="N669" s="184">
        <v>50</v>
      </c>
      <c r="O669" s="6">
        <v>0.12</v>
      </c>
      <c r="P669" s="222"/>
      <c r="Q669" s="222"/>
    </row>
    <row r="670" spans="1:42" ht="14.25" customHeight="1">
      <c r="A670" s="116" t="s">
        <v>3141</v>
      </c>
      <c r="B670" s="9">
        <v>25.2</v>
      </c>
      <c r="C670" s="1" t="s">
        <v>3166</v>
      </c>
      <c r="D670" s="184"/>
      <c r="E670" s="184"/>
      <c r="H670" s="184"/>
      <c r="I670" s="184"/>
      <c r="L670" s="3"/>
      <c r="M670" s="3"/>
      <c r="N670" s="184">
        <v>20</v>
      </c>
      <c r="O670" s="6">
        <v>0.12</v>
      </c>
      <c r="P670" s="222"/>
      <c r="Q670" s="222"/>
      <c r="AP670" s="4"/>
    </row>
    <row r="671" spans="1:42" ht="14.25" customHeight="1">
      <c r="A671" s="116" t="s">
        <v>3142</v>
      </c>
      <c r="B671" s="9">
        <v>23.6</v>
      </c>
      <c r="C671" s="1" t="s">
        <v>3167</v>
      </c>
      <c r="D671" s="184"/>
      <c r="E671" s="184"/>
      <c r="H671" s="184"/>
      <c r="I671" s="184"/>
      <c r="L671" s="3"/>
      <c r="M671" s="3"/>
      <c r="N671" s="184">
        <v>50</v>
      </c>
      <c r="O671" s="6">
        <v>0.12</v>
      </c>
      <c r="P671" s="222"/>
      <c r="Q671" s="222"/>
    </row>
    <row r="672" spans="1:42" ht="14.25" customHeight="1">
      <c r="A672" s="116" t="s">
        <v>3143</v>
      </c>
      <c r="B672" s="9">
        <v>25.1</v>
      </c>
      <c r="C672" s="1" t="s">
        <v>3168</v>
      </c>
      <c r="D672" s="184"/>
      <c r="E672" s="184"/>
      <c r="H672" s="184"/>
      <c r="I672" s="184"/>
      <c r="L672" s="3"/>
      <c r="M672" s="3"/>
      <c r="N672" s="184">
        <v>50</v>
      </c>
      <c r="O672" s="6">
        <v>0.12</v>
      </c>
      <c r="P672" s="222"/>
      <c r="Q672" s="222"/>
    </row>
    <row r="673" spans="1:42" ht="14.25" customHeight="1">
      <c r="A673" s="116" t="s">
        <v>3144</v>
      </c>
      <c r="B673" s="9">
        <v>24.4</v>
      </c>
      <c r="C673" s="1" t="s">
        <v>3169</v>
      </c>
      <c r="D673" s="184"/>
      <c r="E673" s="184"/>
      <c r="H673" s="184"/>
      <c r="I673" s="184"/>
      <c r="L673" s="3"/>
      <c r="M673" s="3"/>
      <c r="N673" s="184">
        <v>20</v>
      </c>
      <c r="O673" s="6">
        <v>0.12</v>
      </c>
      <c r="P673" s="222"/>
      <c r="Q673" s="222"/>
    </row>
    <row r="674" spans="1:42" s="4" customFormat="1" ht="14.25" customHeight="1">
      <c r="A674" s="116" t="s">
        <v>3145</v>
      </c>
      <c r="B674" s="9">
        <v>23.3</v>
      </c>
      <c r="C674" s="1" t="s">
        <v>3170</v>
      </c>
      <c r="D674" s="184"/>
      <c r="E674" s="184"/>
      <c r="F674" s="188"/>
      <c r="G674" s="188"/>
      <c r="H674" s="184"/>
      <c r="I674" s="184"/>
      <c r="J674" s="188"/>
      <c r="K674" s="188"/>
      <c r="L674" s="3"/>
      <c r="M674" s="3"/>
      <c r="N674" s="184">
        <v>50</v>
      </c>
      <c r="O674" s="6">
        <v>0.12</v>
      </c>
      <c r="P674" s="222"/>
      <c r="Q674" s="222"/>
      <c r="R674" s="7"/>
      <c r="S674" s="126"/>
      <c r="T674" s="126"/>
      <c r="U674" s="237"/>
      <c r="V674" s="103"/>
      <c r="W674" s="9"/>
      <c r="X674" s="9"/>
      <c r="Y674" s="9"/>
      <c r="Z674" s="9"/>
      <c r="AA674" s="126"/>
      <c r="AB674" s="9"/>
      <c r="AC674" s="9"/>
      <c r="AD674" s="9"/>
      <c r="AE674" s="9"/>
      <c r="AF674" s="9"/>
      <c r="AG674" s="9"/>
      <c r="AH674" s="9"/>
      <c r="AI674" s="9"/>
      <c r="AJ674" s="7"/>
      <c r="AK674" s="7"/>
      <c r="AL674" s="7"/>
      <c r="AM674" s="7"/>
      <c r="AN674" s="7"/>
      <c r="AO674" s="7"/>
      <c r="AP674" s="7"/>
    </row>
    <row r="675" spans="1:42" ht="14.25" customHeight="1">
      <c r="A675" s="116" t="s">
        <v>3146</v>
      </c>
      <c r="B675" s="9">
        <v>10.9</v>
      </c>
      <c r="C675" s="1" t="s">
        <v>3171</v>
      </c>
      <c r="D675" s="184"/>
      <c r="E675" s="184"/>
      <c r="H675" s="184"/>
      <c r="I675" s="184"/>
      <c r="L675" s="3"/>
      <c r="M675" s="3"/>
      <c r="N675" s="184">
        <v>50</v>
      </c>
      <c r="O675" s="6">
        <v>0.12</v>
      </c>
      <c r="P675" s="222"/>
      <c r="Q675" s="222"/>
    </row>
    <row r="676" spans="1:42" ht="14.25" customHeight="1">
      <c r="A676" s="116" t="s">
        <v>3147</v>
      </c>
      <c r="B676" s="9">
        <v>10.5</v>
      </c>
      <c r="C676" s="1" t="s">
        <v>3172</v>
      </c>
      <c r="D676" s="184"/>
      <c r="E676" s="184"/>
      <c r="H676" s="184"/>
      <c r="I676" s="184"/>
      <c r="L676" s="3"/>
      <c r="M676" s="3"/>
      <c r="N676" s="184">
        <v>50</v>
      </c>
      <c r="O676" s="6">
        <v>0.12</v>
      </c>
      <c r="P676" s="222"/>
      <c r="Q676" s="222"/>
    </row>
    <row r="677" spans="1:42" s="4" customFormat="1" ht="14.25" customHeight="1">
      <c r="A677" s="116" t="s">
        <v>3149</v>
      </c>
      <c r="B677" s="9">
        <v>26.7</v>
      </c>
      <c r="C677" s="211" t="s">
        <v>3184</v>
      </c>
      <c r="D677" s="184"/>
      <c r="E677" s="184"/>
      <c r="F677" s="188"/>
      <c r="G677" s="188"/>
      <c r="H677" s="184"/>
      <c r="I677" s="184"/>
      <c r="J677" s="188"/>
      <c r="K677" s="188"/>
      <c r="L677" s="3"/>
      <c r="M677" s="3"/>
      <c r="N677" s="184">
        <v>20</v>
      </c>
      <c r="O677" s="6">
        <v>0.13</v>
      </c>
      <c r="P677" s="222"/>
      <c r="Q677" s="222"/>
      <c r="R677" s="7"/>
      <c r="S677" s="126"/>
      <c r="T677" s="126"/>
      <c r="U677" s="237"/>
      <c r="V677" s="103"/>
      <c r="W677" s="9"/>
      <c r="X677" s="9"/>
      <c r="Y677" s="9"/>
      <c r="Z677" s="9"/>
      <c r="AA677" s="126"/>
      <c r="AB677" s="9"/>
      <c r="AC677" s="9"/>
      <c r="AD677" s="9"/>
      <c r="AE677" s="9"/>
      <c r="AF677" s="9"/>
      <c r="AG677" s="9"/>
      <c r="AH677" s="9"/>
      <c r="AI677" s="9"/>
      <c r="AJ677" s="211" t="s">
        <v>3184</v>
      </c>
      <c r="AK677" s="7"/>
      <c r="AL677" s="7"/>
      <c r="AM677" s="7"/>
      <c r="AN677" s="7"/>
      <c r="AO677" s="7"/>
      <c r="AP677" s="7"/>
    </row>
    <row r="678" spans="1:42" ht="14.25" customHeight="1">
      <c r="A678" s="116" t="s">
        <v>3150</v>
      </c>
      <c r="B678" s="9">
        <v>28.2</v>
      </c>
      <c r="C678" s="1" t="s">
        <v>3185</v>
      </c>
      <c r="D678" s="184"/>
      <c r="E678" s="184"/>
      <c r="H678" s="184"/>
      <c r="I678" s="184"/>
      <c r="L678" s="3"/>
      <c r="M678" s="3"/>
      <c r="N678" s="184">
        <v>20</v>
      </c>
      <c r="O678" s="6">
        <v>0.1</v>
      </c>
      <c r="P678" s="222"/>
      <c r="Q678" s="222"/>
    </row>
    <row r="679" spans="1:42" ht="14.25" customHeight="1">
      <c r="A679" s="116" t="s">
        <v>3151</v>
      </c>
      <c r="B679" s="9">
        <v>64</v>
      </c>
      <c r="C679" s="1" t="s">
        <v>3186</v>
      </c>
      <c r="D679" s="184"/>
      <c r="E679" s="184"/>
      <c r="H679" s="184"/>
      <c r="I679" s="184"/>
      <c r="L679" s="3"/>
      <c r="M679" s="3"/>
      <c r="N679" s="184">
        <v>50</v>
      </c>
      <c r="O679" s="6">
        <v>0.1</v>
      </c>
      <c r="P679" s="222"/>
      <c r="Q679" s="222"/>
    </row>
    <row r="680" spans="1:42" ht="14.25" customHeight="1">
      <c r="A680" s="116" t="s">
        <v>3040</v>
      </c>
      <c r="B680" s="9">
        <v>13.2</v>
      </c>
      <c r="C680" s="211" t="s">
        <v>3173</v>
      </c>
      <c r="D680" s="184"/>
      <c r="E680" s="184"/>
      <c r="H680" s="184"/>
      <c r="I680" s="184"/>
      <c r="L680" s="3"/>
      <c r="M680" s="3"/>
      <c r="N680" s="184">
        <v>20</v>
      </c>
      <c r="O680" s="6">
        <v>0.13</v>
      </c>
      <c r="P680" s="222"/>
      <c r="Q680" s="222"/>
      <c r="AJ680" s="211" t="s">
        <v>3173</v>
      </c>
      <c r="AP680" s="4"/>
    </row>
    <row r="681" spans="1:42" ht="14.25" customHeight="1">
      <c r="A681" s="116" t="s">
        <v>3041</v>
      </c>
      <c r="B681" s="9">
        <v>13.7</v>
      </c>
      <c r="C681" s="1" t="s">
        <v>3174</v>
      </c>
      <c r="D681" s="184"/>
      <c r="E681" s="184"/>
      <c r="H681" s="184"/>
      <c r="I681" s="184"/>
      <c r="L681" s="3"/>
      <c r="M681" s="3"/>
      <c r="N681" s="184">
        <v>20</v>
      </c>
      <c r="O681" s="6">
        <v>0.1</v>
      </c>
      <c r="P681" s="222"/>
      <c r="Q681" s="222"/>
    </row>
    <row r="682" spans="1:42" ht="14.25" customHeight="1">
      <c r="A682" s="116" t="s">
        <v>3042</v>
      </c>
      <c r="B682" s="9">
        <v>32.9</v>
      </c>
      <c r="C682" s="1" t="s">
        <v>3175</v>
      </c>
      <c r="D682" s="184"/>
      <c r="E682" s="184"/>
      <c r="H682" s="184"/>
      <c r="I682" s="184"/>
      <c r="L682" s="3"/>
      <c r="M682" s="3"/>
      <c r="N682" s="184">
        <v>50</v>
      </c>
      <c r="O682" s="6">
        <v>0.1</v>
      </c>
      <c r="P682" s="222"/>
      <c r="Q682" s="222"/>
    </row>
    <row r="683" spans="1:42" ht="14.25" customHeight="1">
      <c r="A683" s="116" t="s">
        <v>3043</v>
      </c>
      <c r="B683" s="9">
        <v>27.9</v>
      </c>
      <c r="C683" s="1" t="s">
        <v>3176</v>
      </c>
      <c r="D683" s="184"/>
      <c r="E683" s="184"/>
      <c r="H683" s="184"/>
      <c r="I683" s="184"/>
      <c r="L683" s="3"/>
      <c r="M683" s="3"/>
      <c r="N683" s="184">
        <v>50</v>
      </c>
      <c r="O683" s="6">
        <v>0.1</v>
      </c>
      <c r="P683" s="222"/>
      <c r="Q683" s="222"/>
    </row>
    <row r="684" spans="1:42" ht="14.25" customHeight="1">
      <c r="A684" s="116" t="s">
        <v>3044</v>
      </c>
      <c r="B684" s="9">
        <v>36.1</v>
      </c>
      <c r="C684" s="1" t="s">
        <v>3177</v>
      </c>
      <c r="D684" s="184"/>
      <c r="E684" s="184"/>
      <c r="H684" s="184"/>
      <c r="I684" s="184"/>
      <c r="L684" s="3"/>
      <c r="M684" s="3"/>
      <c r="N684" s="184">
        <v>50</v>
      </c>
      <c r="O684" s="6">
        <v>0.1</v>
      </c>
      <c r="P684" s="222"/>
      <c r="Q684" s="222"/>
    </row>
    <row r="685" spans="1:42" ht="14.25" customHeight="1">
      <c r="A685" s="116" t="s">
        <v>3045</v>
      </c>
      <c r="B685" s="9">
        <v>33.9</v>
      </c>
      <c r="C685" s="1" t="s">
        <v>3178</v>
      </c>
      <c r="D685" s="184"/>
      <c r="E685" s="184"/>
      <c r="H685" s="184"/>
      <c r="I685" s="184"/>
      <c r="L685" s="3"/>
      <c r="M685" s="3"/>
      <c r="N685" s="184">
        <v>50</v>
      </c>
      <c r="O685" s="6">
        <v>0.1</v>
      </c>
      <c r="P685" s="222"/>
      <c r="Q685" s="222"/>
    </row>
    <row r="686" spans="1:42" ht="14.25" customHeight="1">
      <c r="A686" s="116" t="s">
        <v>3046</v>
      </c>
      <c r="B686" s="9">
        <v>30.7</v>
      </c>
      <c r="C686" s="1" t="s">
        <v>3179</v>
      </c>
      <c r="D686" s="184"/>
      <c r="E686" s="184"/>
      <c r="H686" s="184"/>
      <c r="I686" s="184"/>
      <c r="L686" s="3"/>
      <c r="M686" s="3"/>
      <c r="N686" s="184">
        <v>50</v>
      </c>
      <c r="O686" s="6">
        <v>0.1</v>
      </c>
      <c r="P686" s="222"/>
      <c r="Q686" s="222"/>
    </row>
    <row r="687" spans="1:42" s="4" customFormat="1" ht="14.25" customHeight="1">
      <c r="A687" s="116" t="s">
        <v>3047</v>
      </c>
      <c r="B687" s="9">
        <v>29.4</v>
      </c>
      <c r="C687" s="1" t="s">
        <v>3180</v>
      </c>
      <c r="D687" s="184"/>
      <c r="E687" s="184"/>
      <c r="F687" s="188"/>
      <c r="G687" s="188"/>
      <c r="H687" s="184"/>
      <c r="I687" s="184"/>
      <c r="J687" s="188"/>
      <c r="K687" s="188"/>
      <c r="L687" s="3"/>
      <c r="M687" s="3"/>
      <c r="N687" s="184">
        <v>20</v>
      </c>
      <c r="O687" s="6">
        <v>0.1</v>
      </c>
      <c r="P687" s="222"/>
      <c r="Q687" s="222"/>
      <c r="R687" s="7"/>
      <c r="S687" s="126"/>
      <c r="T687" s="126"/>
      <c r="U687" s="237"/>
      <c r="V687" s="103"/>
      <c r="W687" s="9"/>
      <c r="X687" s="9"/>
      <c r="Y687" s="9"/>
      <c r="Z687" s="9"/>
      <c r="AA687" s="126"/>
      <c r="AB687" s="9"/>
      <c r="AC687" s="9"/>
      <c r="AD687" s="9"/>
      <c r="AE687" s="9"/>
      <c r="AF687" s="9"/>
      <c r="AG687" s="9"/>
      <c r="AH687" s="9"/>
      <c r="AI687" s="9"/>
      <c r="AJ687" s="7"/>
      <c r="AK687" s="7"/>
      <c r="AL687" s="7"/>
      <c r="AM687" s="7"/>
      <c r="AN687" s="7"/>
      <c r="AO687" s="7"/>
      <c r="AP687" s="7"/>
    </row>
    <row r="688" spans="1:42" ht="14.25" customHeight="1">
      <c r="A688" s="116" t="s">
        <v>3048</v>
      </c>
      <c r="B688" s="9">
        <v>34.1</v>
      </c>
      <c r="C688" s="1" t="s">
        <v>3181</v>
      </c>
      <c r="D688" s="184"/>
      <c r="E688" s="184"/>
      <c r="H688" s="184"/>
      <c r="I688" s="184"/>
      <c r="L688" s="3"/>
      <c r="M688" s="3"/>
      <c r="N688" s="184">
        <v>50</v>
      </c>
      <c r="O688" s="6">
        <v>0.1</v>
      </c>
      <c r="P688" s="222"/>
      <c r="Q688" s="222"/>
    </row>
    <row r="689" spans="1:42" ht="14.25" customHeight="1">
      <c r="A689" s="116" t="s">
        <v>3148</v>
      </c>
      <c r="B689" s="9">
        <v>15.9</v>
      </c>
      <c r="C689" s="1" t="s">
        <v>3182</v>
      </c>
      <c r="D689" s="184"/>
      <c r="E689" s="184"/>
      <c r="H689" s="184"/>
      <c r="I689" s="184"/>
      <c r="L689" s="3"/>
      <c r="M689" s="3"/>
      <c r="N689" s="184">
        <v>50</v>
      </c>
      <c r="O689" s="6">
        <v>0.1</v>
      </c>
      <c r="P689" s="222"/>
      <c r="Q689" s="222"/>
    </row>
    <row r="690" spans="1:42" ht="14.25" customHeight="1">
      <c r="A690" s="116" t="s">
        <v>2763</v>
      </c>
      <c r="B690" s="9">
        <v>17.3</v>
      </c>
      <c r="C690" s="1" t="s">
        <v>3183</v>
      </c>
      <c r="D690" s="184"/>
      <c r="E690" s="184"/>
      <c r="H690" s="184"/>
      <c r="I690" s="184"/>
      <c r="L690" s="3"/>
      <c r="M690" s="3"/>
      <c r="N690" s="184">
        <v>20</v>
      </c>
      <c r="O690" s="6">
        <v>0.1</v>
      </c>
      <c r="P690" s="222"/>
      <c r="Q690" s="222"/>
      <c r="AP690" s="4"/>
    </row>
    <row r="691" spans="1:42" ht="14.25" customHeight="1">
      <c r="A691" s="116" t="s">
        <v>3152</v>
      </c>
      <c r="B691" s="9">
        <v>68.900000000000006</v>
      </c>
      <c r="C691" s="1" t="s">
        <v>3187</v>
      </c>
      <c r="D691" s="184"/>
      <c r="E691" s="184"/>
      <c r="H691" s="184"/>
      <c r="I691" s="184"/>
      <c r="L691" s="3"/>
      <c r="M691" s="3"/>
      <c r="N691" s="184">
        <v>50</v>
      </c>
      <c r="O691" s="6">
        <v>0.1</v>
      </c>
      <c r="P691" s="222"/>
      <c r="Q691" s="222"/>
    </row>
    <row r="692" spans="1:42" ht="14.25" customHeight="1">
      <c r="A692" s="116" t="s">
        <v>2764</v>
      </c>
      <c r="B692" s="9">
        <v>71.900000000000006</v>
      </c>
      <c r="C692" s="1" t="s">
        <v>3188</v>
      </c>
      <c r="D692" s="184"/>
      <c r="E692" s="184"/>
      <c r="H692" s="184"/>
      <c r="I692" s="184"/>
      <c r="L692" s="3"/>
      <c r="M692" s="3"/>
      <c r="N692" s="184">
        <v>50</v>
      </c>
      <c r="O692" s="6">
        <v>0.1</v>
      </c>
      <c r="P692" s="222"/>
      <c r="Q692" s="222"/>
    </row>
    <row r="693" spans="1:42" ht="14.25" customHeight="1">
      <c r="A693" s="116" t="s">
        <v>2765</v>
      </c>
      <c r="B693" s="9">
        <v>71</v>
      </c>
      <c r="C693" s="1" t="s">
        <v>3189</v>
      </c>
      <c r="D693" s="184"/>
      <c r="E693" s="184"/>
      <c r="H693" s="184"/>
      <c r="I693" s="184"/>
      <c r="L693" s="3"/>
      <c r="M693" s="3"/>
      <c r="N693" s="184">
        <v>50</v>
      </c>
      <c r="O693" s="6">
        <v>0.1</v>
      </c>
      <c r="P693" s="222"/>
      <c r="Q693" s="222"/>
    </row>
    <row r="694" spans="1:42" ht="14.25" customHeight="1">
      <c r="A694" s="116" t="s">
        <v>2766</v>
      </c>
      <c r="B694" s="9">
        <v>73.400000000000006</v>
      </c>
      <c r="C694" s="1" t="s">
        <v>3190</v>
      </c>
      <c r="D694" s="184"/>
      <c r="E694" s="184"/>
      <c r="H694" s="184"/>
      <c r="I694" s="184"/>
      <c r="L694" s="3"/>
      <c r="M694" s="3"/>
      <c r="N694" s="184">
        <v>50</v>
      </c>
      <c r="O694" s="6">
        <v>0.1</v>
      </c>
      <c r="P694" s="222"/>
      <c r="Q694" s="222"/>
    </row>
    <row r="695" spans="1:42" ht="14.25" customHeight="1">
      <c r="A695" s="116" t="s">
        <v>2767</v>
      </c>
      <c r="B695" s="9">
        <v>70.400000000000006</v>
      </c>
      <c r="C695" s="1" t="s">
        <v>3191</v>
      </c>
      <c r="D695" s="184"/>
      <c r="E695" s="184"/>
      <c r="H695" s="184"/>
      <c r="I695" s="184"/>
      <c r="L695" s="3"/>
      <c r="M695" s="3"/>
      <c r="N695" s="184">
        <v>50</v>
      </c>
      <c r="O695" s="6">
        <v>0.1</v>
      </c>
      <c r="P695" s="222"/>
      <c r="Q695" s="222"/>
    </row>
    <row r="696" spans="1:42" ht="14.25" customHeight="1">
      <c r="A696" s="116" t="s">
        <v>2768</v>
      </c>
      <c r="B696" s="9">
        <v>69.3</v>
      </c>
      <c r="C696" s="1" t="s">
        <v>3192</v>
      </c>
      <c r="D696" s="184"/>
      <c r="E696" s="184"/>
      <c r="H696" s="184"/>
      <c r="I696" s="184"/>
      <c r="L696" s="3"/>
      <c r="M696" s="3"/>
      <c r="N696" s="184">
        <v>50</v>
      </c>
      <c r="O696" s="6">
        <v>0.1</v>
      </c>
      <c r="P696" s="222"/>
      <c r="Q696" s="222"/>
    </row>
    <row r="697" spans="1:42" s="4" customFormat="1" ht="14.25" customHeight="1">
      <c r="A697" s="116" t="s">
        <v>2769</v>
      </c>
      <c r="B697" s="9">
        <v>28.1</v>
      </c>
      <c r="C697" s="1" t="s">
        <v>3193</v>
      </c>
      <c r="D697" s="184"/>
      <c r="E697" s="184"/>
      <c r="F697" s="188"/>
      <c r="G697" s="188"/>
      <c r="H697" s="184"/>
      <c r="I697" s="184"/>
      <c r="J697" s="188"/>
      <c r="K697" s="188"/>
      <c r="L697" s="3"/>
      <c r="M697" s="3"/>
      <c r="N697" s="184">
        <v>20</v>
      </c>
      <c r="O697" s="6">
        <v>0.1</v>
      </c>
      <c r="P697" s="222"/>
      <c r="Q697" s="222"/>
      <c r="R697" s="7"/>
      <c r="S697" s="126"/>
      <c r="T697" s="126"/>
      <c r="U697" s="237"/>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2770</v>
      </c>
      <c r="B698" s="9">
        <v>28.7</v>
      </c>
      <c r="C698" s="1" t="s">
        <v>3194</v>
      </c>
      <c r="D698" s="184"/>
      <c r="E698" s="184"/>
      <c r="H698" s="184"/>
      <c r="I698" s="184"/>
      <c r="L698" s="3"/>
      <c r="M698" s="3"/>
      <c r="N698" s="184">
        <v>20</v>
      </c>
      <c r="O698" s="6">
        <v>0.1</v>
      </c>
      <c r="P698" s="222"/>
      <c r="Q698" s="222"/>
    </row>
    <row r="699" spans="1:42" ht="14.25" customHeight="1">
      <c r="A699" s="116" t="s">
        <v>2771</v>
      </c>
      <c r="B699" s="9">
        <v>26.5</v>
      </c>
      <c r="C699" s="1" t="s">
        <v>3195</v>
      </c>
      <c r="D699" s="184"/>
      <c r="E699" s="184"/>
      <c r="H699" s="184"/>
      <c r="I699" s="184"/>
      <c r="L699" s="3"/>
      <c r="M699" s="3"/>
      <c r="N699" s="184">
        <v>20</v>
      </c>
      <c r="O699" s="6">
        <v>0.12</v>
      </c>
      <c r="P699" s="222"/>
      <c r="Q699" s="222"/>
    </row>
    <row r="700" spans="1:42" ht="14.25" customHeight="1">
      <c r="A700" s="116" t="s">
        <v>2785</v>
      </c>
      <c r="B700" s="107">
        <f>16.9/3</f>
        <v>5.6333333333333329</v>
      </c>
      <c r="C700" s="211" t="s">
        <v>3196</v>
      </c>
      <c r="D700" s="184"/>
      <c r="E700" s="184"/>
      <c r="H700" s="184"/>
      <c r="I700" s="184"/>
      <c r="L700" s="3"/>
      <c r="M700" s="3"/>
      <c r="N700" s="184">
        <v>3</v>
      </c>
      <c r="O700" s="6">
        <v>1</v>
      </c>
      <c r="P700" s="222"/>
      <c r="Q700" s="222"/>
      <c r="AJ700" s="211" t="s">
        <v>3196</v>
      </c>
    </row>
    <row r="701" spans="1:42" ht="14.25" customHeight="1">
      <c r="A701" s="116" t="s">
        <v>2786</v>
      </c>
      <c r="B701" s="107">
        <f>17.1/3</f>
        <v>5.7</v>
      </c>
      <c r="C701" s="1" t="s">
        <v>3197</v>
      </c>
      <c r="D701" s="184"/>
      <c r="E701" s="184"/>
      <c r="H701" s="184"/>
      <c r="I701" s="184"/>
      <c r="L701" s="3"/>
      <c r="M701" s="3"/>
      <c r="N701" s="184">
        <v>3</v>
      </c>
      <c r="O701" s="6">
        <v>1</v>
      </c>
      <c r="P701" s="222"/>
      <c r="Q701" s="222"/>
    </row>
    <row r="702" spans="1:42" ht="14.25" customHeight="1">
      <c r="A702" s="116" t="s">
        <v>2787</v>
      </c>
      <c r="B702" s="107">
        <f>20/3</f>
        <v>6.666666666666667</v>
      </c>
      <c r="C702" s="1" t="s">
        <v>3198</v>
      </c>
      <c r="D702" s="184"/>
      <c r="E702" s="184"/>
      <c r="H702" s="184"/>
      <c r="I702" s="184"/>
      <c r="L702" s="3"/>
      <c r="M702" s="3"/>
      <c r="N702" s="184">
        <v>3</v>
      </c>
      <c r="O702" s="6">
        <v>1</v>
      </c>
      <c r="P702" s="222"/>
      <c r="Q702" s="222"/>
    </row>
    <row r="703" spans="1:42" ht="14.25" customHeight="1">
      <c r="A703" s="116" t="s">
        <v>2788</v>
      </c>
      <c r="B703" s="107">
        <f>19.2/3</f>
        <v>6.3999999999999995</v>
      </c>
      <c r="C703" s="1" t="s">
        <v>3199</v>
      </c>
      <c r="D703" s="184"/>
      <c r="E703" s="184"/>
      <c r="H703" s="184"/>
      <c r="I703" s="184"/>
      <c r="L703" s="3"/>
      <c r="M703" s="3"/>
      <c r="N703" s="184">
        <v>3</v>
      </c>
      <c r="O703" s="6">
        <v>1</v>
      </c>
      <c r="P703" s="222"/>
      <c r="Q703" s="222"/>
    </row>
    <row r="704" spans="1:42" ht="14.25" customHeight="1">
      <c r="A704" s="116" t="s">
        <v>2789</v>
      </c>
      <c r="B704" s="107">
        <f>20.2/3</f>
        <v>6.7333333333333334</v>
      </c>
      <c r="C704" s="1" t="s">
        <v>3200</v>
      </c>
      <c r="D704" s="184"/>
      <c r="E704" s="184"/>
      <c r="H704" s="184"/>
      <c r="I704" s="184"/>
      <c r="L704" s="3"/>
      <c r="M704" s="3"/>
      <c r="N704" s="184">
        <v>3</v>
      </c>
      <c r="O704" s="6">
        <v>1</v>
      </c>
      <c r="P704" s="222"/>
      <c r="Q704" s="222"/>
    </row>
    <row r="705" spans="1:42" ht="14.25" customHeight="1">
      <c r="A705" s="116" t="s">
        <v>2790</v>
      </c>
      <c r="B705" s="107">
        <f>18.8/3</f>
        <v>6.2666666666666666</v>
      </c>
      <c r="C705" s="1" t="s">
        <v>3201</v>
      </c>
      <c r="D705" s="184"/>
      <c r="E705" s="184"/>
      <c r="H705" s="184"/>
      <c r="I705" s="184"/>
      <c r="L705" s="3"/>
      <c r="M705" s="3"/>
      <c r="N705" s="184">
        <v>3</v>
      </c>
      <c r="O705" s="6">
        <v>1</v>
      </c>
      <c r="P705" s="222"/>
      <c r="Q705" s="222"/>
    </row>
    <row r="706" spans="1:42" ht="14.25" customHeight="1">
      <c r="A706" s="116" t="s">
        <v>2791</v>
      </c>
      <c r="B706" s="107">
        <f>20/3</f>
        <v>6.666666666666667</v>
      </c>
      <c r="C706" s="1" t="s">
        <v>3202</v>
      </c>
      <c r="D706" s="184"/>
      <c r="E706" s="184"/>
      <c r="H706" s="184"/>
      <c r="I706" s="184"/>
      <c r="L706" s="3"/>
      <c r="M706" s="3"/>
      <c r="N706" s="184">
        <v>3</v>
      </c>
      <c r="O706" s="6">
        <v>1</v>
      </c>
      <c r="P706" s="222"/>
      <c r="Q706" s="222"/>
    </row>
    <row r="707" spans="1:42" ht="14.25" customHeight="1">
      <c r="A707" s="116" t="s">
        <v>2774</v>
      </c>
      <c r="B707" s="107">
        <f t="shared" ref="B707:B716" si="41">358/500</f>
        <v>0.71599999999999997</v>
      </c>
      <c r="C707" s="211" t="s">
        <v>3203</v>
      </c>
      <c r="D707" s="184"/>
      <c r="E707" s="184"/>
      <c r="H707" s="184"/>
      <c r="I707" s="184"/>
      <c r="L707" s="3"/>
      <c r="M707" s="3"/>
      <c r="N707" s="184">
        <v>100</v>
      </c>
      <c r="O707" s="6">
        <f t="shared" ref="O707:O716" si="42">6/100</f>
        <v>0.06</v>
      </c>
      <c r="P707" s="222"/>
      <c r="Q707" s="222"/>
      <c r="AJ707" s="211" t="s">
        <v>3203</v>
      </c>
      <c r="AP707" s="4"/>
    </row>
    <row r="708" spans="1:42" ht="14.25" customHeight="1">
      <c r="A708" s="116" t="s">
        <v>2775</v>
      </c>
      <c r="B708" s="107">
        <f t="shared" si="41"/>
        <v>0.71599999999999997</v>
      </c>
      <c r="C708" s="1" t="s">
        <v>3204</v>
      </c>
      <c r="D708" s="184"/>
      <c r="E708" s="184"/>
      <c r="H708" s="184"/>
      <c r="I708" s="184"/>
      <c r="L708" s="3"/>
      <c r="M708" s="3"/>
      <c r="N708" s="184">
        <v>100</v>
      </c>
      <c r="O708" s="6">
        <f t="shared" si="42"/>
        <v>0.06</v>
      </c>
      <c r="P708" s="222"/>
      <c r="Q708" s="222"/>
    </row>
    <row r="709" spans="1:42" ht="14.25" customHeight="1">
      <c r="A709" s="116" t="s">
        <v>2776</v>
      </c>
      <c r="B709" s="107">
        <f t="shared" si="41"/>
        <v>0.71599999999999997</v>
      </c>
      <c r="C709" s="1" t="s">
        <v>3205</v>
      </c>
      <c r="D709" s="184"/>
      <c r="E709" s="184"/>
      <c r="H709" s="184"/>
      <c r="I709" s="184"/>
      <c r="L709" s="3"/>
      <c r="M709" s="3"/>
      <c r="N709" s="184">
        <v>100</v>
      </c>
      <c r="O709" s="6">
        <f t="shared" si="42"/>
        <v>0.06</v>
      </c>
      <c r="P709" s="222"/>
      <c r="Q709" s="222"/>
    </row>
    <row r="710" spans="1:42" ht="14.25" customHeight="1">
      <c r="A710" s="116" t="s">
        <v>2777</v>
      </c>
      <c r="B710" s="107">
        <f t="shared" si="41"/>
        <v>0.71599999999999997</v>
      </c>
      <c r="C710" s="1" t="s">
        <v>3206</v>
      </c>
      <c r="D710" s="184"/>
      <c r="E710" s="184"/>
      <c r="H710" s="184"/>
      <c r="I710" s="184"/>
      <c r="L710" s="3"/>
      <c r="M710" s="3"/>
      <c r="N710" s="184">
        <v>100</v>
      </c>
      <c r="O710" s="6">
        <f t="shared" si="42"/>
        <v>0.06</v>
      </c>
      <c r="P710" s="222"/>
      <c r="Q710" s="222"/>
    </row>
    <row r="711" spans="1:42" ht="14.25" customHeight="1">
      <c r="A711" s="116" t="s">
        <v>2778</v>
      </c>
      <c r="B711" s="107">
        <f t="shared" si="41"/>
        <v>0.71599999999999997</v>
      </c>
      <c r="C711" s="1" t="s">
        <v>3207</v>
      </c>
      <c r="D711" s="184"/>
      <c r="E711" s="184"/>
      <c r="H711" s="184"/>
      <c r="I711" s="184"/>
      <c r="L711" s="3"/>
      <c r="M711" s="3"/>
      <c r="N711" s="184">
        <v>100</v>
      </c>
      <c r="O711" s="6">
        <f t="shared" si="42"/>
        <v>0.06</v>
      </c>
      <c r="P711" s="222"/>
      <c r="Q711" s="222"/>
    </row>
    <row r="712" spans="1:42" ht="14.25" customHeight="1">
      <c r="A712" s="116" t="s">
        <v>2779</v>
      </c>
      <c r="B712" s="107">
        <f t="shared" si="41"/>
        <v>0.71599999999999997</v>
      </c>
      <c r="C712" s="1" t="s">
        <v>3208</v>
      </c>
      <c r="D712" s="184"/>
      <c r="E712" s="184"/>
      <c r="H712" s="184"/>
      <c r="I712" s="184"/>
      <c r="L712" s="3"/>
      <c r="M712" s="3"/>
      <c r="N712" s="184">
        <v>100</v>
      </c>
      <c r="O712" s="6">
        <f t="shared" si="42"/>
        <v>0.06</v>
      </c>
      <c r="P712" s="222"/>
      <c r="Q712" s="222"/>
    </row>
    <row r="713" spans="1:42" ht="14.25" customHeight="1">
      <c r="A713" s="116" t="s">
        <v>2780</v>
      </c>
      <c r="B713" s="107">
        <f t="shared" si="41"/>
        <v>0.71599999999999997</v>
      </c>
      <c r="C713" s="1" t="s">
        <v>3209</v>
      </c>
      <c r="D713" s="184"/>
      <c r="E713" s="184"/>
      <c r="H713" s="184"/>
      <c r="I713" s="184"/>
      <c r="L713" s="3"/>
      <c r="M713" s="3"/>
      <c r="N713" s="184">
        <v>100</v>
      </c>
      <c r="O713" s="6">
        <f t="shared" si="42"/>
        <v>0.06</v>
      </c>
      <c r="P713" s="222"/>
      <c r="Q713" s="222"/>
    </row>
    <row r="714" spans="1:42" s="4" customFormat="1" ht="14.25" customHeight="1">
      <c r="A714" s="116" t="s">
        <v>2781</v>
      </c>
      <c r="B714" s="107">
        <f t="shared" si="41"/>
        <v>0.71599999999999997</v>
      </c>
      <c r="C714" s="1" t="s">
        <v>3210</v>
      </c>
      <c r="D714" s="184"/>
      <c r="E714" s="184"/>
      <c r="F714" s="188"/>
      <c r="G714" s="188"/>
      <c r="H714" s="184"/>
      <c r="I714" s="184"/>
      <c r="J714" s="188"/>
      <c r="K714" s="188"/>
      <c r="L714" s="3"/>
      <c r="M714" s="3"/>
      <c r="N714" s="184">
        <v>100</v>
      </c>
      <c r="O714" s="6">
        <f t="shared" si="42"/>
        <v>0.06</v>
      </c>
      <c r="P714" s="222"/>
      <c r="Q714" s="222"/>
      <c r="R714" s="7"/>
      <c r="S714" s="126"/>
      <c r="T714" s="126"/>
      <c r="U714" s="237"/>
      <c r="V714" s="103"/>
      <c r="W714" s="9"/>
      <c r="X714" s="9"/>
      <c r="Y714" s="9"/>
      <c r="Z714" s="9"/>
      <c r="AA714" s="126"/>
      <c r="AB714" s="9"/>
      <c r="AC714" s="9"/>
      <c r="AD714" s="9"/>
      <c r="AE714" s="9"/>
      <c r="AF714" s="9"/>
      <c r="AG714" s="9"/>
      <c r="AH714" s="9"/>
      <c r="AI714" s="9"/>
      <c r="AJ714" s="7"/>
      <c r="AK714" s="7"/>
      <c r="AL714" s="7"/>
      <c r="AM714" s="7"/>
      <c r="AN714" s="7"/>
      <c r="AO714" s="7"/>
      <c r="AP714" s="7"/>
    </row>
    <row r="715" spans="1:42" ht="14.25" customHeight="1">
      <c r="A715" s="116" t="s">
        <v>2782</v>
      </c>
      <c r="B715" s="107">
        <f t="shared" si="41"/>
        <v>0.71599999999999997</v>
      </c>
      <c r="C715" s="1" t="s">
        <v>3211</v>
      </c>
      <c r="D715" s="184"/>
      <c r="E715" s="184"/>
      <c r="H715" s="184"/>
      <c r="I715" s="184"/>
      <c r="L715" s="3"/>
      <c r="M715" s="3"/>
      <c r="N715" s="184">
        <v>100</v>
      </c>
      <c r="O715" s="6">
        <f t="shared" si="42"/>
        <v>0.06</v>
      </c>
      <c r="P715" s="222"/>
      <c r="Q715" s="222"/>
    </row>
    <row r="716" spans="1:42" ht="14.25" customHeight="1">
      <c r="A716" s="116" t="s">
        <v>2783</v>
      </c>
      <c r="B716" s="107">
        <f t="shared" si="41"/>
        <v>0.71599999999999997</v>
      </c>
      <c r="C716" s="1" t="s">
        <v>3212</v>
      </c>
      <c r="D716" s="184"/>
      <c r="E716" s="184"/>
      <c r="H716" s="184"/>
      <c r="I716" s="184"/>
      <c r="L716" s="3"/>
      <c r="M716" s="3"/>
      <c r="N716" s="184">
        <v>100</v>
      </c>
      <c r="O716" s="6">
        <f t="shared" si="42"/>
        <v>0.06</v>
      </c>
      <c r="P716" s="222"/>
      <c r="Q716" s="222"/>
    </row>
    <row r="717" spans="1:42" ht="14.25" customHeight="1">
      <c r="A717" s="116" t="s">
        <v>2792</v>
      </c>
      <c r="B717" s="107">
        <f t="shared" ref="B717:B725" si="43">497/400</f>
        <v>1.2424999999999999</v>
      </c>
      <c r="C717" s="211" t="s">
        <v>3213</v>
      </c>
      <c r="D717" s="184"/>
      <c r="E717" s="184"/>
      <c r="H717" s="184"/>
      <c r="I717" s="184"/>
      <c r="L717" s="3"/>
      <c r="M717" s="3"/>
      <c r="N717" s="184">
        <v>100</v>
      </c>
      <c r="O717" s="6">
        <f t="shared" ref="O717:O725" si="44">7/100</f>
        <v>7.0000000000000007E-2</v>
      </c>
      <c r="P717" s="222"/>
      <c r="Q717" s="222"/>
      <c r="AJ717" s="211" t="s">
        <v>3213</v>
      </c>
    </row>
    <row r="718" spans="1:42" ht="14.25" customHeight="1">
      <c r="A718" s="116" t="s">
        <v>2793</v>
      </c>
      <c r="B718" s="107">
        <f t="shared" si="43"/>
        <v>1.2424999999999999</v>
      </c>
      <c r="C718" s="1" t="s">
        <v>3214</v>
      </c>
      <c r="D718" s="184"/>
      <c r="E718" s="184"/>
      <c r="H718" s="184"/>
      <c r="I718" s="184"/>
      <c r="L718" s="3"/>
      <c r="M718" s="3"/>
      <c r="N718" s="184">
        <v>100</v>
      </c>
      <c r="O718" s="6">
        <f t="shared" si="44"/>
        <v>7.0000000000000007E-2</v>
      </c>
      <c r="P718" s="222"/>
      <c r="Q718" s="222"/>
    </row>
    <row r="719" spans="1:42" ht="14.25" customHeight="1">
      <c r="A719" s="116" t="s">
        <v>2794</v>
      </c>
      <c r="B719" s="107">
        <f t="shared" si="43"/>
        <v>1.2424999999999999</v>
      </c>
      <c r="C719" s="1" t="s">
        <v>3215</v>
      </c>
      <c r="D719" s="184"/>
      <c r="E719" s="184"/>
      <c r="H719" s="184"/>
      <c r="I719" s="184"/>
      <c r="L719" s="3"/>
      <c r="M719" s="3"/>
      <c r="N719" s="184">
        <v>100</v>
      </c>
      <c r="O719" s="6">
        <f t="shared" si="44"/>
        <v>7.0000000000000007E-2</v>
      </c>
      <c r="P719" s="222"/>
      <c r="Q719" s="222"/>
    </row>
    <row r="720" spans="1:42" ht="14.25" customHeight="1">
      <c r="A720" s="116" t="s">
        <v>2795</v>
      </c>
      <c r="B720" s="107">
        <f t="shared" si="43"/>
        <v>1.2424999999999999</v>
      </c>
      <c r="C720" s="1" t="s">
        <v>3216</v>
      </c>
      <c r="D720" s="184"/>
      <c r="E720" s="184"/>
      <c r="H720" s="184"/>
      <c r="I720" s="184"/>
      <c r="L720" s="3"/>
      <c r="M720" s="3"/>
      <c r="N720" s="184">
        <v>100</v>
      </c>
      <c r="O720" s="6">
        <f t="shared" si="44"/>
        <v>7.0000000000000007E-2</v>
      </c>
      <c r="P720" s="222"/>
      <c r="Q720" s="222"/>
    </row>
    <row r="721" spans="1:42" ht="14.25" customHeight="1">
      <c r="A721" s="116" t="s">
        <v>2796</v>
      </c>
      <c r="B721" s="107">
        <f t="shared" si="43"/>
        <v>1.2424999999999999</v>
      </c>
      <c r="C721" s="1" t="s">
        <v>3217</v>
      </c>
      <c r="D721" s="184"/>
      <c r="E721" s="184"/>
      <c r="H721" s="184"/>
      <c r="I721" s="184"/>
      <c r="L721" s="3"/>
      <c r="M721" s="3"/>
      <c r="N721" s="184">
        <v>100</v>
      </c>
      <c r="O721" s="6">
        <f t="shared" si="44"/>
        <v>7.0000000000000007E-2</v>
      </c>
      <c r="P721" s="222"/>
      <c r="Q721" s="222"/>
    </row>
    <row r="722" spans="1:42" ht="14.25" customHeight="1">
      <c r="A722" s="116" t="s">
        <v>2797</v>
      </c>
      <c r="B722" s="107">
        <f t="shared" si="43"/>
        <v>1.2424999999999999</v>
      </c>
      <c r="C722" s="1" t="s">
        <v>3218</v>
      </c>
      <c r="D722" s="184"/>
      <c r="E722" s="184"/>
      <c r="H722" s="184"/>
      <c r="I722" s="184"/>
      <c r="L722" s="3"/>
      <c r="M722" s="3"/>
      <c r="N722" s="184">
        <v>100</v>
      </c>
      <c r="O722" s="6">
        <f t="shared" si="44"/>
        <v>7.0000000000000007E-2</v>
      </c>
      <c r="P722" s="222"/>
      <c r="Q722" s="222"/>
    </row>
    <row r="723" spans="1:42" ht="14.25" customHeight="1">
      <c r="A723" s="116" t="s">
        <v>2798</v>
      </c>
      <c r="B723" s="107">
        <f t="shared" si="43"/>
        <v>1.2424999999999999</v>
      </c>
      <c r="C723" s="1" t="s">
        <v>3219</v>
      </c>
      <c r="D723" s="184"/>
      <c r="E723" s="184"/>
      <c r="H723" s="184"/>
      <c r="I723" s="184"/>
      <c r="L723" s="3"/>
      <c r="M723" s="3"/>
      <c r="N723" s="184">
        <v>100</v>
      </c>
      <c r="O723" s="6">
        <f t="shared" si="44"/>
        <v>7.0000000000000007E-2</v>
      </c>
      <c r="P723" s="222"/>
      <c r="Q723" s="222"/>
    </row>
    <row r="724" spans="1:42" ht="14.25" customHeight="1">
      <c r="A724" s="116" t="s">
        <v>2799</v>
      </c>
      <c r="B724" s="107">
        <f t="shared" si="43"/>
        <v>1.2424999999999999</v>
      </c>
      <c r="C724" s="1" t="s">
        <v>3220</v>
      </c>
      <c r="D724" s="184"/>
      <c r="E724" s="184"/>
      <c r="H724" s="184"/>
      <c r="I724" s="184"/>
      <c r="L724" s="3"/>
      <c r="M724" s="3"/>
      <c r="N724" s="184">
        <v>100</v>
      </c>
      <c r="O724" s="6">
        <f t="shared" si="44"/>
        <v>7.0000000000000007E-2</v>
      </c>
      <c r="P724" s="222"/>
      <c r="Q724" s="222"/>
    </row>
    <row r="725" spans="1:42" ht="14.25" customHeight="1">
      <c r="A725" s="116" t="s">
        <v>2800</v>
      </c>
      <c r="B725" s="107">
        <f t="shared" si="43"/>
        <v>1.2424999999999999</v>
      </c>
      <c r="C725" s="1" t="s">
        <v>3221</v>
      </c>
      <c r="D725" s="184"/>
      <c r="E725" s="184"/>
      <c r="H725" s="184"/>
      <c r="I725" s="184"/>
      <c r="L725" s="3"/>
      <c r="M725" s="3"/>
      <c r="N725" s="184">
        <v>100</v>
      </c>
      <c r="O725" s="6">
        <f t="shared" si="44"/>
        <v>7.0000000000000007E-2</v>
      </c>
      <c r="P725" s="222"/>
      <c r="Q725" s="222"/>
      <c r="V725" s="234"/>
      <c r="W725" s="20"/>
      <c r="X725" s="20"/>
      <c r="Y725" s="20"/>
      <c r="Z725" s="20"/>
      <c r="AB725" s="20"/>
      <c r="AC725" s="20"/>
      <c r="AD725" s="20"/>
      <c r="AE725" s="20"/>
      <c r="AF725" s="20"/>
      <c r="AG725" s="20"/>
      <c r="AH725" s="20"/>
      <c r="AI725" s="20"/>
    </row>
    <row r="726" spans="1:42" ht="14.25" customHeight="1">
      <c r="A726" s="116" t="s">
        <v>3139</v>
      </c>
      <c r="B726" s="9">
        <f>36.1/5</f>
        <v>7.2200000000000006</v>
      </c>
      <c r="C726" s="211" t="s">
        <v>5834</v>
      </c>
      <c r="D726" s="184"/>
      <c r="E726" s="184"/>
      <c r="H726" s="184"/>
      <c r="I726" s="184"/>
      <c r="L726" s="3"/>
      <c r="M726" s="3"/>
      <c r="N726" s="184">
        <v>5</v>
      </c>
      <c r="O726" s="6">
        <v>1.7</v>
      </c>
      <c r="P726" s="222"/>
      <c r="Q726" s="222"/>
      <c r="V726" s="234"/>
      <c r="W726" s="20"/>
      <c r="X726" s="20"/>
      <c r="Y726" s="20"/>
      <c r="Z726" s="20"/>
      <c r="AB726" s="20"/>
      <c r="AC726" s="20"/>
      <c r="AD726" s="20"/>
      <c r="AE726" s="20"/>
      <c r="AF726" s="20"/>
      <c r="AG726" s="20"/>
      <c r="AH726" s="20"/>
      <c r="AI726" s="20"/>
      <c r="AJ726" s="211" t="s">
        <v>5834</v>
      </c>
      <c r="AP726" s="4"/>
    </row>
    <row r="727" spans="1:42" ht="14.25" customHeight="1">
      <c r="A727" s="116" t="s">
        <v>2759</v>
      </c>
      <c r="B727" s="9">
        <f>39.8/5</f>
        <v>7.9599999999999991</v>
      </c>
      <c r="C727" s="1" t="s">
        <v>3223</v>
      </c>
      <c r="D727" s="184"/>
      <c r="E727" s="184"/>
      <c r="H727" s="184"/>
      <c r="I727" s="184"/>
      <c r="L727" s="3"/>
      <c r="M727" s="3"/>
      <c r="N727" s="184">
        <f>5+5</f>
        <v>10</v>
      </c>
      <c r="O727" s="6">
        <v>1.7</v>
      </c>
      <c r="P727" s="222"/>
      <c r="Q727" s="222"/>
      <c r="V727" s="234"/>
      <c r="W727" s="20"/>
      <c r="X727" s="20"/>
      <c r="Y727" s="20"/>
      <c r="Z727" s="20"/>
      <c r="AB727" s="20"/>
      <c r="AC727" s="20"/>
      <c r="AD727" s="20"/>
      <c r="AE727" s="20"/>
      <c r="AF727" s="20"/>
      <c r="AG727" s="20"/>
      <c r="AH727" s="20"/>
      <c r="AI727" s="20"/>
    </row>
    <row r="728" spans="1:42" ht="14.25" customHeight="1">
      <c r="A728" s="116" t="s">
        <v>2760</v>
      </c>
      <c r="B728" s="9">
        <f>35.3/5</f>
        <v>7.06</v>
      </c>
      <c r="C728" s="211" t="s">
        <v>5835</v>
      </c>
      <c r="D728" s="184"/>
      <c r="E728" s="184"/>
      <c r="H728" s="184"/>
      <c r="I728" s="184"/>
      <c r="L728" s="3"/>
      <c r="M728" s="3"/>
      <c r="N728" s="184">
        <v>5</v>
      </c>
      <c r="O728" s="6">
        <v>1.7</v>
      </c>
      <c r="P728" s="222"/>
      <c r="Q728" s="222"/>
      <c r="V728" s="234"/>
      <c r="W728" s="20"/>
      <c r="X728" s="20"/>
      <c r="Y728" s="20"/>
      <c r="Z728" s="20"/>
      <c r="AB728" s="20"/>
      <c r="AC728" s="20"/>
      <c r="AD728" s="20"/>
      <c r="AE728" s="20"/>
      <c r="AF728" s="20"/>
      <c r="AG728" s="20"/>
      <c r="AH728" s="20"/>
      <c r="AI728" s="20"/>
      <c r="AJ728" s="211" t="s">
        <v>5835</v>
      </c>
      <c r="AP728" s="4"/>
    </row>
    <row r="729" spans="1:42" ht="14.25" customHeight="1">
      <c r="A729" s="110" t="s">
        <v>3287</v>
      </c>
      <c r="B729" s="9">
        <f>39.5/5</f>
        <v>7.9</v>
      </c>
      <c r="C729" s="1" t="s">
        <v>3225</v>
      </c>
      <c r="D729" s="184"/>
      <c r="E729" s="184"/>
      <c r="H729" s="184"/>
      <c r="I729" s="184"/>
      <c r="L729" s="3"/>
      <c r="M729" s="3"/>
      <c r="N729" s="184">
        <v>10</v>
      </c>
      <c r="O729" s="6">
        <v>1.7</v>
      </c>
      <c r="P729" s="222"/>
      <c r="Q729" s="222"/>
      <c r="V729" s="234"/>
      <c r="W729" s="20"/>
      <c r="X729" s="20"/>
      <c r="Y729" s="20"/>
      <c r="Z729" s="20"/>
      <c r="AB729" s="20"/>
      <c r="AC729" s="20"/>
      <c r="AD729" s="20"/>
      <c r="AE729" s="20"/>
      <c r="AF729" s="20"/>
      <c r="AG729" s="20"/>
      <c r="AH729" s="20"/>
      <c r="AI729" s="20"/>
    </row>
    <row r="730" spans="1:42" ht="14.25" customHeight="1">
      <c r="A730" s="116" t="s">
        <v>2761</v>
      </c>
      <c r="B730" s="9">
        <f>48.6/5</f>
        <v>9.7200000000000006</v>
      </c>
      <c r="C730" s="211" t="s">
        <v>5836</v>
      </c>
      <c r="D730" s="184"/>
      <c r="E730" s="184"/>
      <c r="H730" s="184"/>
      <c r="I730" s="184"/>
      <c r="L730" s="3"/>
      <c r="M730" s="3"/>
      <c r="N730" s="184">
        <v>5</v>
      </c>
      <c r="O730" s="6">
        <v>1.7</v>
      </c>
      <c r="P730" s="222"/>
      <c r="Q730" s="222"/>
      <c r="V730" s="234"/>
      <c r="W730" s="20"/>
      <c r="X730" s="20"/>
      <c r="Y730" s="20"/>
      <c r="Z730" s="20"/>
      <c r="AB730" s="20"/>
      <c r="AC730" s="20"/>
      <c r="AD730" s="20"/>
      <c r="AE730" s="20"/>
      <c r="AF730" s="20"/>
      <c r="AG730" s="20"/>
      <c r="AH730" s="20"/>
      <c r="AI730" s="20"/>
      <c r="AJ730" s="211" t="s">
        <v>5836</v>
      </c>
    </row>
    <row r="731" spans="1:42" ht="14.25" customHeight="1">
      <c r="A731" s="116" t="s">
        <v>2762</v>
      </c>
      <c r="B731" s="9">
        <f>53.5/5</f>
        <v>10.7</v>
      </c>
      <c r="C731" s="1" t="s">
        <v>3227</v>
      </c>
      <c r="D731" s="184"/>
      <c r="E731" s="184"/>
      <c r="H731" s="184"/>
      <c r="I731" s="184"/>
      <c r="L731" s="3"/>
      <c r="M731" s="3"/>
      <c r="N731" s="184">
        <v>5</v>
      </c>
      <c r="O731" s="6">
        <v>1.7</v>
      </c>
      <c r="P731" s="222"/>
      <c r="Q731" s="222"/>
      <c r="V731" s="234"/>
      <c r="W731" s="20"/>
      <c r="X731" s="20"/>
      <c r="Y731" s="20"/>
      <c r="Z731" s="20"/>
      <c r="AB731" s="20"/>
      <c r="AC731" s="20"/>
      <c r="AD731" s="20"/>
      <c r="AE731" s="20"/>
      <c r="AF731" s="20"/>
      <c r="AG731" s="20"/>
      <c r="AH731" s="20"/>
      <c r="AI731" s="20"/>
    </row>
    <row r="732" spans="1:42" s="4" customFormat="1" ht="14.25" customHeight="1">
      <c r="A732" s="116" t="s">
        <v>2772</v>
      </c>
      <c r="B732" s="9">
        <f>11.3/10</f>
        <v>1.1300000000000001</v>
      </c>
      <c r="C732" s="1" t="s">
        <v>5837</v>
      </c>
      <c r="D732" s="184"/>
      <c r="E732" s="184"/>
      <c r="F732" s="188"/>
      <c r="G732" s="188"/>
      <c r="H732" s="184"/>
      <c r="I732" s="184"/>
      <c r="J732" s="188"/>
      <c r="K732" s="188"/>
      <c r="L732" s="3"/>
      <c r="M732" s="3"/>
      <c r="N732" s="184">
        <v>10</v>
      </c>
      <c r="O732" s="6">
        <v>0.9</v>
      </c>
      <c r="P732" s="222"/>
      <c r="Q732" s="222"/>
      <c r="R732" s="7"/>
      <c r="S732" s="126"/>
      <c r="T732" s="126"/>
      <c r="U732" s="237"/>
      <c r="V732" s="234"/>
      <c r="W732" s="20"/>
      <c r="X732" s="20"/>
      <c r="Y732" s="20"/>
      <c r="Z732" s="20"/>
      <c r="AA732" s="126"/>
      <c r="AB732" s="20"/>
      <c r="AC732" s="20"/>
      <c r="AD732" s="20"/>
      <c r="AE732" s="20"/>
      <c r="AF732" s="20"/>
      <c r="AG732" s="20"/>
      <c r="AH732" s="20"/>
      <c r="AI732" s="20"/>
      <c r="AJ732" s="7"/>
      <c r="AK732" s="7"/>
      <c r="AL732" s="7"/>
      <c r="AM732" s="7"/>
      <c r="AN732" s="7"/>
      <c r="AO732" s="7"/>
      <c r="AP732" s="7"/>
    </row>
    <row r="733" spans="1:42" s="4" customFormat="1" ht="14.25" customHeight="1">
      <c r="A733" s="116" t="s">
        <v>2773</v>
      </c>
      <c r="B733" s="9">
        <f>90.2/5</f>
        <v>18.04</v>
      </c>
      <c r="C733" s="134" t="s">
        <v>3302</v>
      </c>
      <c r="D733" s="184"/>
      <c r="E733" s="184"/>
      <c r="F733" s="188"/>
      <c r="G733" s="188"/>
      <c r="H733" s="184"/>
      <c r="I733" s="184"/>
      <c r="J733" s="188"/>
      <c r="K733" s="188"/>
      <c r="L733" s="3"/>
      <c r="M733" s="3"/>
      <c r="N733" s="184">
        <f>10+5</f>
        <v>15</v>
      </c>
      <c r="O733" s="6">
        <v>1.5</v>
      </c>
      <c r="P733" s="222"/>
      <c r="Q733" s="222"/>
      <c r="R733" s="7"/>
      <c r="S733" s="126"/>
      <c r="T733" s="126"/>
      <c r="U733" s="237"/>
      <c r="V733" s="234"/>
      <c r="W733" s="20"/>
      <c r="X733" s="20"/>
      <c r="Y733" s="20"/>
      <c r="Z733" s="20"/>
      <c r="AA733" s="126"/>
      <c r="AB733" s="20"/>
      <c r="AC733" s="20"/>
      <c r="AD733" s="20"/>
      <c r="AE733" s="20"/>
      <c r="AF733" s="20"/>
      <c r="AG733" s="20"/>
      <c r="AH733" s="20"/>
      <c r="AI733" s="20"/>
      <c r="AJ733" s="7"/>
      <c r="AK733" s="7"/>
      <c r="AL733" s="7"/>
      <c r="AM733" s="7"/>
      <c r="AN733" s="7"/>
      <c r="AO733" s="7"/>
      <c r="AP733" s="7"/>
    </row>
    <row r="734" spans="1:42" ht="14.25" customHeight="1">
      <c r="A734" s="116" t="s">
        <v>5868</v>
      </c>
      <c r="B734" s="107">
        <f>26.9/50</f>
        <v>0.53799999999999992</v>
      </c>
      <c r="C734" s="1" t="s">
        <v>5869</v>
      </c>
      <c r="D734" s="184"/>
      <c r="E734" s="184"/>
      <c r="H734" s="184"/>
      <c r="I734" s="184"/>
      <c r="L734" s="3"/>
      <c r="M734" s="3"/>
      <c r="N734" s="184">
        <v>50</v>
      </c>
      <c r="O734" s="6">
        <v>0.05</v>
      </c>
      <c r="P734" s="222"/>
      <c r="Q734" s="222"/>
      <c r="V734" s="234"/>
      <c r="W734" s="20"/>
      <c r="X734" s="20"/>
      <c r="Y734" s="20"/>
      <c r="Z734" s="20"/>
      <c r="AB734" s="20"/>
      <c r="AC734" s="20"/>
      <c r="AD734" s="20"/>
      <c r="AE734" s="20"/>
      <c r="AF734" s="20"/>
      <c r="AG734" s="20"/>
      <c r="AH734" s="20"/>
      <c r="AI734" s="20"/>
    </row>
    <row r="735" spans="1:42" ht="14.25" customHeight="1">
      <c r="A735" s="125" t="s">
        <v>3137</v>
      </c>
      <c r="B735" s="9">
        <f>24.7/5</f>
        <v>4.9399999999999995</v>
      </c>
      <c r="C735" s="211" t="s">
        <v>3229</v>
      </c>
      <c r="N735" s="183">
        <v>10</v>
      </c>
      <c r="O735" s="7">
        <f>5.92/10</f>
        <v>0.59199999999999997</v>
      </c>
      <c r="V735" s="234"/>
      <c r="W735" s="20"/>
      <c r="X735" s="20"/>
      <c r="Y735" s="20"/>
      <c r="Z735" s="20"/>
      <c r="AB735" s="20"/>
      <c r="AC735" s="20"/>
      <c r="AD735" s="20"/>
      <c r="AE735" s="20"/>
      <c r="AF735" s="20"/>
      <c r="AG735" s="20"/>
      <c r="AH735" s="20"/>
      <c r="AI735" s="20"/>
      <c r="AJ735" s="211" t="s">
        <v>3229</v>
      </c>
    </row>
    <row r="736" spans="1:42" ht="14.25" customHeight="1">
      <c r="A736" s="125" t="s">
        <v>3138</v>
      </c>
      <c r="B736" s="9">
        <f>45.7/5</f>
        <v>9.14</v>
      </c>
      <c r="C736" s="7" t="s">
        <v>3230</v>
      </c>
      <c r="N736" s="183">
        <v>10</v>
      </c>
      <c r="O736" s="7">
        <f>6.91/10</f>
        <v>0.69100000000000006</v>
      </c>
      <c r="V736" s="234"/>
      <c r="W736" s="20"/>
      <c r="X736" s="20"/>
      <c r="Y736" s="20"/>
      <c r="Z736" s="20"/>
      <c r="AB736" s="20"/>
      <c r="AC736" s="20"/>
      <c r="AD736" s="20"/>
      <c r="AE736" s="20"/>
      <c r="AF736" s="20"/>
      <c r="AG736" s="20"/>
      <c r="AH736" s="20"/>
      <c r="AI736" s="20"/>
    </row>
    <row r="737" spans="1:40" ht="14.25" customHeight="1">
      <c r="A737" s="167" t="s">
        <v>3504</v>
      </c>
      <c r="B737" s="191">
        <f>92.5/3</f>
        <v>30.833333333333332</v>
      </c>
      <c r="C737" s="216" t="s">
        <v>6084</v>
      </c>
      <c r="N737" s="183">
        <v>3</v>
      </c>
      <c r="O737" s="7">
        <v>0.5</v>
      </c>
      <c r="R737"/>
      <c r="S737" s="229"/>
      <c r="T737" s="229"/>
      <c r="U737" s="238"/>
      <c r="V737" s="234"/>
      <c r="W737" s="20"/>
      <c r="X737" s="20"/>
      <c r="Y737" s="20"/>
      <c r="Z737" s="20"/>
      <c r="AA737" s="229"/>
      <c r="AB737" s="20"/>
      <c r="AC737" s="20"/>
      <c r="AD737" s="20"/>
      <c r="AE737" s="20"/>
      <c r="AF737" s="20"/>
      <c r="AG737" s="20"/>
      <c r="AH737" s="20"/>
      <c r="AI737" s="20"/>
      <c r="AJ737" s="213" t="s">
        <v>3867</v>
      </c>
      <c r="AK737"/>
      <c r="AL737"/>
      <c r="AM737"/>
      <c r="AN737"/>
    </row>
    <row r="738" spans="1:40" ht="14.25" customHeight="1">
      <c r="A738" s="167" t="s">
        <v>3505</v>
      </c>
      <c r="B738" s="165">
        <v>81.3</v>
      </c>
      <c r="C738" s="169" t="s">
        <v>6085</v>
      </c>
      <c r="N738" s="183">
        <v>3</v>
      </c>
      <c r="O738" s="7">
        <v>2</v>
      </c>
      <c r="R738"/>
      <c r="S738" s="229"/>
      <c r="T738" s="229"/>
      <c r="U738" s="238"/>
      <c r="V738" s="234"/>
      <c r="W738" s="20"/>
      <c r="X738" s="20"/>
      <c r="Y738" s="20"/>
      <c r="Z738" s="20"/>
      <c r="AA738" s="229"/>
      <c r="AB738" s="20"/>
      <c r="AC738" s="20"/>
      <c r="AD738" s="20"/>
      <c r="AE738" s="20"/>
      <c r="AF738" s="20"/>
      <c r="AG738" s="20"/>
      <c r="AH738" s="20"/>
      <c r="AI738" s="20"/>
      <c r="AJ738" s="169" t="s">
        <v>6085</v>
      </c>
      <c r="AK738"/>
      <c r="AL738"/>
      <c r="AM738"/>
      <c r="AN738"/>
    </row>
    <row r="739" spans="1:40" ht="14.25" customHeight="1">
      <c r="A739" s="167" t="s">
        <v>3506</v>
      </c>
      <c r="B739" s="165">
        <v>84.5</v>
      </c>
      <c r="C739" s="169" t="s">
        <v>6086</v>
      </c>
      <c r="N739" s="183">
        <v>3</v>
      </c>
      <c r="O739" s="7">
        <v>2</v>
      </c>
      <c r="R739"/>
      <c r="S739" s="229"/>
      <c r="T739" s="229"/>
      <c r="U739" s="238"/>
      <c r="V739" s="234"/>
      <c r="W739" s="20"/>
      <c r="X739" s="20"/>
      <c r="Y739" s="20"/>
      <c r="Z739" s="20"/>
      <c r="AA739" s="229"/>
      <c r="AB739" s="20"/>
      <c r="AC739" s="20"/>
      <c r="AD739" s="20"/>
      <c r="AE739" s="20"/>
      <c r="AF739" s="20"/>
      <c r="AG739" s="20"/>
      <c r="AH739" s="20"/>
      <c r="AI739" s="20"/>
      <c r="AJ739"/>
      <c r="AK739"/>
      <c r="AL739"/>
      <c r="AM739"/>
      <c r="AN739"/>
    </row>
    <row r="740" spans="1:40" ht="14.25" customHeight="1">
      <c r="A740" s="171" t="s">
        <v>3885</v>
      </c>
      <c r="B740" s="165">
        <v>13</v>
      </c>
      <c r="C740" s="166" t="s">
        <v>6087</v>
      </c>
      <c r="N740" s="183">
        <v>3</v>
      </c>
      <c r="O740" s="7">
        <v>0.18</v>
      </c>
      <c r="R740"/>
      <c r="S740" s="229"/>
      <c r="T740" s="229"/>
      <c r="U740" s="238"/>
      <c r="V740" s="234"/>
      <c r="W740" s="20"/>
      <c r="X740" s="20"/>
      <c r="Y740" s="20"/>
      <c r="Z740" s="20"/>
      <c r="AA740" s="229"/>
      <c r="AB740" s="20"/>
      <c r="AC740" s="20"/>
      <c r="AD740" s="20"/>
      <c r="AE740" s="20"/>
      <c r="AF740" s="20"/>
      <c r="AG740" s="20"/>
      <c r="AH740" s="20"/>
      <c r="AI740" s="20"/>
      <c r="AJ740"/>
      <c r="AK740"/>
      <c r="AL740"/>
      <c r="AM740"/>
      <c r="AN740"/>
    </row>
    <row r="741" spans="1:40" ht="14.25" customHeight="1">
      <c r="A741" s="171" t="s">
        <v>3886</v>
      </c>
      <c r="B741" s="165">
        <v>22.2</v>
      </c>
      <c r="C741" s="166" t="s">
        <v>6088</v>
      </c>
      <c r="N741" s="183">
        <v>3</v>
      </c>
      <c r="O741" s="7">
        <v>0.3</v>
      </c>
      <c r="R741"/>
      <c r="S741" s="229"/>
      <c r="T741" s="229"/>
      <c r="U741" s="238"/>
      <c r="V741" s="233"/>
      <c r="W741" s="168"/>
      <c r="X741" s="168"/>
      <c r="Y741" s="168"/>
      <c r="Z741" s="168"/>
      <c r="AA741" s="229"/>
      <c r="AB741" s="168"/>
      <c r="AC741" s="168"/>
      <c r="AD741" s="168"/>
      <c r="AE741" s="168"/>
      <c r="AF741" s="168"/>
      <c r="AG741" s="168"/>
      <c r="AH741" s="168"/>
      <c r="AI741" s="168"/>
      <c r="AJ741"/>
      <c r="AK741"/>
      <c r="AL741"/>
      <c r="AM741"/>
      <c r="AN741"/>
    </row>
    <row r="742" spans="1:40" ht="14.25" customHeight="1">
      <c r="A742" s="171" t="s">
        <v>3507</v>
      </c>
      <c r="B742" s="165">
        <v>32.700000000000003</v>
      </c>
      <c r="C742" s="169" t="s">
        <v>6089</v>
      </c>
      <c r="N742" s="183">
        <v>3</v>
      </c>
      <c r="O742" s="7">
        <v>0.8</v>
      </c>
      <c r="R742"/>
      <c r="S742" s="229"/>
      <c r="T742" s="229"/>
      <c r="U742" s="238"/>
      <c r="AA742" s="229"/>
      <c r="AJ742" s="169" t="s">
        <v>6089</v>
      </c>
      <c r="AK742"/>
      <c r="AL742"/>
      <c r="AM742"/>
      <c r="AN742"/>
    </row>
    <row r="743" spans="1:40" ht="14.25" customHeight="1">
      <c r="A743" s="171" t="s">
        <v>3508</v>
      </c>
      <c r="B743" s="165">
        <v>32</v>
      </c>
      <c r="C743" s="169" t="s">
        <v>6090</v>
      </c>
      <c r="N743" s="183">
        <v>3</v>
      </c>
      <c r="O743" s="7">
        <v>0.8</v>
      </c>
      <c r="R743"/>
      <c r="S743" s="229"/>
      <c r="T743" s="229"/>
      <c r="U743" s="238"/>
      <c r="AA743" s="229"/>
      <c r="AJ743"/>
      <c r="AK743"/>
      <c r="AL743"/>
      <c r="AM743"/>
      <c r="AN743"/>
    </row>
    <row r="744" spans="1:40" ht="14.25" customHeight="1">
      <c r="A744" s="172" t="s">
        <v>3456</v>
      </c>
      <c r="B744" s="165">
        <f>29.4/5</f>
        <v>5.88</v>
      </c>
      <c r="C744" s="166" t="s">
        <v>3384</v>
      </c>
      <c r="N744" s="183">
        <v>5</v>
      </c>
      <c r="O744" s="7">
        <v>0.5</v>
      </c>
      <c r="R744"/>
      <c r="S744" s="229"/>
      <c r="T744" s="229"/>
      <c r="U744" s="238"/>
      <c r="AA744" s="229"/>
      <c r="AJ744"/>
      <c r="AK744"/>
      <c r="AL744"/>
      <c r="AM744"/>
      <c r="AN744"/>
    </row>
    <row r="745" spans="1:40" ht="14.25" customHeight="1">
      <c r="A745" s="172" t="s">
        <v>3457</v>
      </c>
      <c r="B745" s="165">
        <f>59/5</f>
        <v>11.8</v>
      </c>
      <c r="C745" s="166" t="s">
        <v>3443</v>
      </c>
      <c r="N745" s="183">
        <v>5</v>
      </c>
      <c r="O745" s="7">
        <v>0.75</v>
      </c>
      <c r="R745"/>
      <c r="S745" s="229"/>
      <c r="T745" s="229"/>
      <c r="U745" s="238"/>
      <c r="AA745" s="229"/>
      <c r="AJ745"/>
      <c r="AK745"/>
      <c r="AL745"/>
      <c r="AM745"/>
      <c r="AN745"/>
    </row>
    <row r="746" spans="1:40" ht="14.25" customHeight="1">
      <c r="A746" s="172" t="s">
        <v>3458</v>
      </c>
      <c r="B746" s="165">
        <f>42.2/5</f>
        <v>8.4400000000000013</v>
      </c>
      <c r="C746" s="166" t="s">
        <v>3419</v>
      </c>
      <c r="N746" s="183">
        <v>5</v>
      </c>
      <c r="O746" s="7">
        <v>0.68</v>
      </c>
      <c r="R746"/>
      <c r="S746" s="229"/>
      <c r="T746" s="229"/>
      <c r="U746" s="238"/>
      <c r="AA746" s="229"/>
      <c r="AJ746"/>
      <c r="AK746"/>
      <c r="AL746"/>
      <c r="AM746"/>
      <c r="AN746"/>
    </row>
    <row r="747" spans="1:40" ht="14.25" customHeight="1">
      <c r="A747" s="172" t="s">
        <v>3459</v>
      </c>
      <c r="B747" s="165">
        <f>51.8/5</f>
        <v>10.36</v>
      </c>
      <c r="C747" s="166" t="s">
        <v>3442</v>
      </c>
      <c r="N747" s="183">
        <v>5</v>
      </c>
      <c r="O747" s="7">
        <v>0.8</v>
      </c>
      <c r="R747"/>
      <c r="S747" s="229"/>
      <c r="T747" s="229"/>
      <c r="U747" s="238"/>
      <c r="AA747" s="229"/>
      <c r="AJ747"/>
      <c r="AK747"/>
      <c r="AL747"/>
      <c r="AM747"/>
      <c r="AN747"/>
    </row>
    <row r="748" spans="1:40" ht="14.25" customHeight="1">
      <c r="A748" s="172" t="s">
        <v>3460</v>
      </c>
      <c r="B748" s="165">
        <f>60.9/5</f>
        <v>12.18</v>
      </c>
      <c r="C748" s="135" t="s">
        <v>3408</v>
      </c>
      <c r="N748" s="183">
        <v>5</v>
      </c>
      <c r="O748" s="7">
        <v>1.4</v>
      </c>
      <c r="R748"/>
      <c r="S748" s="229"/>
      <c r="T748" s="229"/>
      <c r="U748" s="238"/>
      <c r="AA748" s="229"/>
      <c r="AJ748"/>
      <c r="AK748"/>
      <c r="AL748"/>
      <c r="AM748"/>
      <c r="AN748"/>
    </row>
    <row r="749" spans="1:40" ht="14.25" customHeight="1">
      <c r="A749" s="172" t="s">
        <v>3461</v>
      </c>
      <c r="B749" s="165">
        <f>55/5</f>
        <v>11</v>
      </c>
      <c r="C749" s="135" t="s">
        <v>3410</v>
      </c>
      <c r="N749" s="183">
        <v>5</v>
      </c>
      <c r="O749" s="7">
        <v>0.55000000000000004</v>
      </c>
      <c r="R749"/>
      <c r="S749" s="229"/>
      <c r="T749" s="229"/>
      <c r="U749" s="238"/>
      <c r="V749" s="234"/>
      <c r="W749" s="20"/>
      <c r="X749" s="20"/>
      <c r="Y749" s="20"/>
      <c r="Z749" s="20"/>
      <c r="AA749" s="229"/>
      <c r="AB749" s="20"/>
      <c r="AC749" s="20"/>
      <c r="AD749" s="20"/>
      <c r="AE749" s="20"/>
      <c r="AF749" s="20"/>
      <c r="AG749" s="20"/>
      <c r="AH749" s="20"/>
      <c r="AI749" s="20"/>
      <c r="AJ749"/>
      <c r="AK749"/>
      <c r="AL749"/>
      <c r="AM749"/>
      <c r="AN749"/>
    </row>
    <row r="750" spans="1:40" ht="14.25" customHeight="1">
      <c r="A750" s="172" t="s">
        <v>3462</v>
      </c>
      <c r="B750" s="165">
        <f>21.3/5</f>
        <v>4.26</v>
      </c>
      <c r="C750" s="166" t="s">
        <v>3416</v>
      </c>
      <c r="N750" s="183">
        <v>5</v>
      </c>
      <c r="O750" s="7">
        <v>0.3</v>
      </c>
      <c r="R750"/>
      <c r="S750" s="229"/>
      <c r="T750" s="229"/>
      <c r="U750" s="238"/>
      <c r="V750" s="234"/>
      <c r="W750" s="20"/>
      <c r="X750" s="20"/>
      <c r="Y750" s="20"/>
      <c r="Z750" s="20"/>
      <c r="AA750" s="229"/>
      <c r="AB750" s="20"/>
      <c r="AC750" s="20"/>
      <c r="AD750" s="20"/>
      <c r="AE750" s="20"/>
      <c r="AF750" s="20"/>
      <c r="AG750" s="20"/>
      <c r="AH750" s="20"/>
      <c r="AI750" s="20"/>
      <c r="AJ750"/>
      <c r="AK750"/>
      <c r="AL750"/>
      <c r="AM750"/>
      <c r="AN750"/>
    </row>
    <row r="751" spans="1:40" ht="14.25" customHeight="1">
      <c r="A751" s="172" t="s">
        <v>3463</v>
      </c>
      <c r="B751" s="165">
        <f>49.3/5</f>
        <v>9.86</v>
      </c>
      <c r="C751" s="135" t="s">
        <v>3409</v>
      </c>
      <c r="N751" s="183">
        <v>5</v>
      </c>
      <c r="O751" s="7">
        <v>1.5</v>
      </c>
      <c r="R751"/>
      <c r="S751" s="229"/>
      <c r="T751" s="229"/>
      <c r="U751" s="238"/>
      <c r="V751" s="234"/>
      <c r="W751" s="20"/>
      <c r="X751" s="20"/>
      <c r="Y751" s="20"/>
      <c r="Z751" s="20"/>
      <c r="AA751" s="229"/>
      <c r="AB751" s="20"/>
      <c r="AC751" s="20"/>
      <c r="AD751" s="20"/>
      <c r="AE751" s="20"/>
      <c r="AF751" s="20"/>
      <c r="AG751" s="20"/>
      <c r="AH751" s="20"/>
      <c r="AI751" s="20"/>
      <c r="AJ751"/>
      <c r="AK751"/>
      <c r="AL751"/>
      <c r="AM751"/>
      <c r="AN751"/>
    </row>
    <row r="752" spans="1:40" ht="14.25" customHeight="1">
      <c r="A752" s="172" t="s">
        <v>3464</v>
      </c>
      <c r="B752" s="165">
        <f>41.2/5</f>
        <v>8.24</v>
      </c>
      <c r="C752" s="135" t="s">
        <v>3411</v>
      </c>
      <c r="N752" s="183">
        <v>5</v>
      </c>
      <c r="O752" s="7">
        <v>0.6</v>
      </c>
      <c r="R752"/>
      <c r="S752" s="229"/>
      <c r="T752" s="229"/>
      <c r="U752" s="238"/>
      <c r="V752" s="234"/>
      <c r="W752" s="20"/>
      <c r="X752" s="20"/>
      <c r="Y752" s="20"/>
      <c r="Z752" s="20"/>
      <c r="AA752" s="229"/>
      <c r="AB752" s="20"/>
      <c r="AC752" s="20"/>
      <c r="AD752" s="20"/>
      <c r="AE752" s="20"/>
      <c r="AF752" s="20"/>
      <c r="AG752" s="20"/>
      <c r="AH752" s="20"/>
      <c r="AI752" s="20"/>
      <c r="AJ752"/>
      <c r="AK752"/>
      <c r="AL752"/>
      <c r="AM752"/>
      <c r="AN752"/>
    </row>
    <row r="753" spans="1:40" s="120" customFormat="1" ht="14.25" customHeight="1">
      <c r="A753" s="201" t="s">
        <v>6091</v>
      </c>
      <c r="B753" s="168">
        <f>37.8-4.2</f>
        <v>33.599999999999994</v>
      </c>
      <c r="C753" s="204" t="s">
        <v>5945</v>
      </c>
      <c r="D753" s="186"/>
      <c r="E753" s="186"/>
      <c r="F753" s="188"/>
      <c r="G753" s="188"/>
      <c r="H753" s="186"/>
      <c r="I753" s="186"/>
      <c r="J753" s="188"/>
      <c r="K753" s="188"/>
      <c r="L753" s="168"/>
      <c r="M753" s="168"/>
      <c r="N753" s="186">
        <v>5</v>
      </c>
      <c r="O753" s="120">
        <v>3.8</v>
      </c>
      <c r="P753" s="168"/>
      <c r="Q753" s="168"/>
      <c r="S753" s="228"/>
      <c r="T753" s="228"/>
      <c r="U753" s="237"/>
      <c r="V753" s="234"/>
      <c r="W753" s="20"/>
      <c r="X753" s="20"/>
      <c r="Y753" s="20"/>
      <c r="Z753" s="20"/>
      <c r="AA753" s="228"/>
      <c r="AB753" s="20"/>
      <c r="AC753" s="20"/>
      <c r="AD753" s="20"/>
      <c r="AE753" s="20"/>
      <c r="AF753" s="20"/>
      <c r="AG753" s="20"/>
      <c r="AH753" s="20"/>
      <c r="AI753" s="20"/>
    </row>
    <row r="754" spans="1:40" ht="14.25" customHeight="1">
      <c r="A754" s="125" t="s">
        <v>3263</v>
      </c>
      <c r="B754" s="9">
        <f>27.8/5</f>
        <v>5.5600000000000005</v>
      </c>
      <c r="C754" s="137" t="s">
        <v>5838</v>
      </c>
      <c r="N754" s="183">
        <v>20</v>
      </c>
      <c r="O754" s="7">
        <v>0.24</v>
      </c>
      <c r="V754" s="234"/>
      <c r="W754" s="20"/>
      <c r="X754" s="20"/>
      <c r="Y754" s="20"/>
      <c r="Z754" s="20"/>
      <c r="AB754" s="20"/>
      <c r="AC754" s="20"/>
      <c r="AD754" s="20"/>
      <c r="AE754" s="20"/>
      <c r="AF754" s="20"/>
      <c r="AG754" s="20"/>
      <c r="AH754" s="20"/>
      <c r="AI754" s="20"/>
    </row>
    <row r="755" spans="1:40" ht="14.25" customHeight="1">
      <c r="A755" s="125" t="s">
        <v>3264</v>
      </c>
      <c r="B755" s="9">
        <f>35.7/5</f>
        <v>7.1400000000000006</v>
      </c>
      <c r="C755" s="137" t="s">
        <v>5839</v>
      </c>
      <c r="N755" s="183">
        <v>20</v>
      </c>
      <c r="O755" s="7">
        <v>0.28000000000000003</v>
      </c>
      <c r="V755" s="234"/>
      <c r="W755" s="20"/>
      <c r="X755" s="20"/>
      <c r="Y755" s="20"/>
      <c r="Z755" s="20"/>
      <c r="AB755" s="20"/>
      <c r="AC755" s="20"/>
      <c r="AD755" s="20"/>
      <c r="AE755" s="20"/>
      <c r="AF755" s="20"/>
      <c r="AG755" s="20"/>
      <c r="AH755" s="20"/>
      <c r="AI755" s="20"/>
    </row>
    <row r="756" spans="1:40" ht="14.25" customHeight="1">
      <c r="A756" s="125" t="s">
        <v>3265</v>
      </c>
      <c r="B756" s="9">
        <f>37.6/5</f>
        <v>7.5200000000000005</v>
      </c>
      <c r="C756" s="137" t="s">
        <v>5840</v>
      </c>
      <c r="N756" s="183">
        <v>20</v>
      </c>
      <c r="O756" s="7">
        <v>1</v>
      </c>
      <c r="V756" s="234"/>
      <c r="W756" s="20"/>
      <c r="X756" s="20"/>
      <c r="Y756" s="20"/>
      <c r="Z756" s="20"/>
      <c r="AB756" s="20"/>
      <c r="AC756" s="20"/>
      <c r="AD756" s="20"/>
      <c r="AE756" s="20"/>
      <c r="AF756" s="20"/>
      <c r="AG756" s="20"/>
      <c r="AH756" s="20"/>
      <c r="AI756" s="20"/>
    </row>
    <row r="757" spans="1:40" ht="14.25" customHeight="1">
      <c r="A757" s="125" t="s">
        <v>3266</v>
      </c>
      <c r="B757" s="9">
        <f>40.4/5</f>
        <v>8.08</v>
      </c>
      <c r="C757" s="137" t="s">
        <v>5841</v>
      </c>
      <c r="N757" s="183">
        <v>20</v>
      </c>
      <c r="O757" s="7">
        <v>1.1000000000000001</v>
      </c>
      <c r="V757" s="234"/>
      <c r="W757" s="20"/>
      <c r="X757" s="20"/>
      <c r="Y757" s="20"/>
      <c r="Z757" s="20"/>
      <c r="AB757" s="20"/>
      <c r="AC757" s="20"/>
      <c r="AD757" s="20"/>
      <c r="AE757" s="20"/>
      <c r="AF757" s="20"/>
      <c r="AG757" s="20"/>
      <c r="AH757" s="20"/>
      <c r="AI757" s="20"/>
    </row>
    <row r="758" spans="1:40" ht="14.25" customHeight="1">
      <c r="A758" s="125" t="s">
        <v>3267</v>
      </c>
      <c r="B758" s="9">
        <f>30/5</f>
        <v>6</v>
      </c>
      <c r="C758" s="137" t="s">
        <v>5842</v>
      </c>
      <c r="N758" s="183">
        <f>10+5</f>
        <v>15</v>
      </c>
      <c r="O758" s="7">
        <v>0.3</v>
      </c>
      <c r="V758" s="234"/>
      <c r="W758" s="20"/>
      <c r="X758" s="20"/>
      <c r="Y758" s="20"/>
      <c r="Z758" s="20"/>
      <c r="AB758" s="20"/>
      <c r="AC758" s="20"/>
      <c r="AD758" s="20"/>
      <c r="AE758" s="20"/>
      <c r="AF758" s="20"/>
      <c r="AG758" s="20"/>
      <c r="AH758" s="20"/>
      <c r="AI758" s="20"/>
    </row>
    <row r="759" spans="1:40" ht="14.25" customHeight="1">
      <c r="A759" s="125" t="s">
        <v>3268</v>
      </c>
      <c r="B759" s="9">
        <f>39.5/5</f>
        <v>7.9</v>
      </c>
      <c r="C759" s="137" t="s">
        <v>5843</v>
      </c>
      <c r="N759" s="183">
        <f>10+5</f>
        <v>15</v>
      </c>
      <c r="O759" s="7">
        <v>0.24</v>
      </c>
      <c r="V759" s="234"/>
      <c r="W759" s="20"/>
      <c r="X759" s="20"/>
      <c r="Y759" s="20"/>
      <c r="Z759" s="20"/>
      <c r="AB759" s="20"/>
      <c r="AC759" s="20"/>
      <c r="AD759" s="20"/>
      <c r="AE759" s="20"/>
      <c r="AF759" s="20"/>
      <c r="AG759" s="20"/>
      <c r="AH759" s="20"/>
      <c r="AI759" s="20"/>
    </row>
    <row r="760" spans="1:40" ht="14.25" customHeight="1">
      <c r="A760" s="125" t="s">
        <v>3269</v>
      </c>
      <c r="B760" s="9">
        <f>217/10</f>
        <v>21.7</v>
      </c>
      <c r="C760" s="137" t="s">
        <v>3393</v>
      </c>
      <c r="N760" s="183">
        <v>10</v>
      </c>
      <c r="O760" s="7">
        <v>2</v>
      </c>
      <c r="V760" s="234"/>
      <c r="W760" s="20"/>
      <c r="X760" s="20"/>
      <c r="Y760" s="20"/>
      <c r="Z760" s="20"/>
      <c r="AB760" s="20"/>
      <c r="AC760" s="20"/>
      <c r="AD760" s="20"/>
      <c r="AE760" s="20"/>
      <c r="AF760" s="20"/>
      <c r="AG760" s="20"/>
      <c r="AH760" s="20"/>
      <c r="AI760" s="20"/>
    </row>
    <row r="761" spans="1:40" ht="14.25" customHeight="1">
      <c r="A761" s="171" t="s">
        <v>3872</v>
      </c>
      <c r="B761" s="191">
        <f>74.5/3</f>
        <v>24.833333333333332</v>
      </c>
      <c r="C761" s="166" t="s">
        <v>3450</v>
      </c>
      <c r="N761" s="183">
        <v>3</v>
      </c>
      <c r="O761" s="7">
        <v>0.99</v>
      </c>
      <c r="R761"/>
      <c r="S761" s="229"/>
      <c r="T761" s="229"/>
      <c r="U761" s="238"/>
      <c r="V761" s="234"/>
      <c r="W761" s="20"/>
      <c r="X761" s="20"/>
      <c r="Y761" s="20"/>
      <c r="Z761" s="20"/>
      <c r="AA761" s="229"/>
      <c r="AB761" s="20"/>
      <c r="AC761" s="20"/>
      <c r="AD761" s="20"/>
      <c r="AE761" s="20"/>
      <c r="AF761" s="20"/>
      <c r="AG761" s="20"/>
      <c r="AH761" s="20"/>
      <c r="AI761" s="20"/>
      <c r="AJ761"/>
      <c r="AK761"/>
      <c r="AL761"/>
      <c r="AM761"/>
      <c r="AN761"/>
    </row>
    <row r="762" spans="1:40" ht="14.25" customHeight="1">
      <c r="A762" s="171" t="s">
        <v>3873</v>
      </c>
      <c r="B762" s="191">
        <f>68.3/3</f>
        <v>22.766666666666666</v>
      </c>
      <c r="C762" s="166" t="s">
        <v>3451</v>
      </c>
      <c r="N762" s="183">
        <v>3</v>
      </c>
      <c r="O762" s="7">
        <v>0.72</v>
      </c>
      <c r="R762"/>
      <c r="S762" s="229"/>
      <c r="T762" s="229"/>
      <c r="U762" s="238"/>
      <c r="V762" s="234"/>
      <c r="W762" s="20"/>
      <c r="X762" s="20"/>
      <c r="Y762" s="20"/>
      <c r="Z762" s="20"/>
      <c r="AA762" s="229"/>
      <c r="AB762" s="20"/>
      <c r="AC762" s="20"/>
      <c r="AD762" s="20"/>
      <c r="AE762" s="20"/>
      <c r="AF762" s="20"/>
      <c r="AG762" s="20"/>
      <c r="AH762" s="20"/>
      <c r="AI762" s="20"/>
      <c r="AJ762"/>
      <c r="AK762"/>
      <c r="AL762"/>
      <c r="AM762"/>
      <c r="AN762"/>
    </row>
    <row r="763" spans="1:40" ht="14.25" customHeight="1">
      <c r="A763" s="171" t="s">
        <v>3874</v>
      </c>
      <c r="B763" s="165">
        <f>45.9/3</f>
        <v>15.299999999999999</v>
      </c>
      <c r="C763" s="166" t="s">
        <v>3452</v>
      </c>
      <c r="N763" s="183">
        <v>3</v>
      </c>
      <c r="O763" s="7">
        <v>1.43</v>
      </c>
      <c r="R763"/>
      <c r="S763" s="229"/>
      <c r="T763" s="229"/>
      <c r="U763" s="238"/>
      <c r="V763" s="234"/>
      <c r="W763" s="20"/>
      <c r="X763" s="20"/>
      <c r="Y763" s="20"/>
      <c r="Z763" s="20"/>
      <c r="AA763" s="229"/>
      <c r="AB763" s="20"/>
      <c r="AC763" s="20"/>
      <c r="AD763" s="20"/>
      <c r="AE763" s="20"/>
      <c r="AF763" s="20"/>
      <c r="AG763" s="20"/>
      <c r="AH763" s="20"/>
      <c r="AI763" s="20"/>
      <c r="AJ763"/>
      <c r="AK763"/>
      <c r="AL763"/>
      <c r="AM763"/>
      <c r="AN763"/>
    </row>
    <row r="764" spans="1:40" ht="14.25" customHeight="1">
      <c r="A764" s="171" t="s">
        <v>3875</v>
      </c>
      <c r="B764" s="191">
        <f>46.4/3</f>
        <v>15.466666666666667</v>
      </c>
      <c r="C764" s="166" t="s">
        <v>3453</v>
      </c>
      <c r="N764" s="183">
        <v>3</v>
      </c>
      <c r="O764" s="7">
        <v>1.54</v>
      </c>
      <c r="R764"/>
      <c r="S764" s="229"/>
      <c r="T764" s="229"/>
      <c r="U764" s="238"/>
      <c r="V764" s="234"/>
      <c r="W764" s="20"/>
      <c r="X764" s="20"/>
      <c r="Y764" s="20"/>
      <c r="Z764" s="20"/>
      <c r="AA764" s="229"/>
      <c r="AB764" s="20"/>
      <c r="AC764" s="20"/>
      <c r="AD764" s="20"/>
      <c r="AE764" s="20"/>
      <c r="AF764" s="20"/>
      <c r="AG764" s="20"/>
      <c r="AH764" s="20"/>
      <c r="AI764" s="20"/>
      <c r="AJ764"/>
      <c r="AK764"/>
      <c r="AL764"/>
      <c r="AM764"/>
      <c r="AN764"/>
    </row>
    <row r="765" spans="1:40" ht="14.25" customHeight="1">
      <c r="A765" s="171" t="s">
        <v>3876</v>
      </c>
      <c r="B765" s="165">
        <v>2.9</v>
      </c>
      <c r="C765" s="166" t="s">
        <v>3899</v>
      </c>
      <c r="N765" s="183">
        <v>3</v>
      </c>
      <c r="O765" s="7">
        <v>0.15</v>
      </c>
      <c r="R765"/>
      <c r="S765" s="229"/>
      <c r="T765" s="229"/>
      <c r="U765" s="238"/>
      <c r="V765" s="234"/>
      <c r="W765" s="20"/>
      <c r="X765" s="20"/>
      <c r="Y765" s="20"/>
      <c r="Z765" s="20"/>
      <c r="AA765" s="229"/>
      <c r="AB765" s="20"/>
      <c r="AC765" s="20"/>
      <c r="AD765" s="20"/>
      <c r="AE765" s="20"/>
      <c r="AF765" s="20"/>
      <c r="AG765" s="20"/>
      <c r="AH765" s="20"/>
      <c r="AI765" s="20"/>
      <c r="AJ765"/>
      <c r="AK765"/>
      <c r="AL765"/>
      <c r="AM765"/>
      <c r="AN765"/>
    </row>
    <row r="766" spans="1:40" ht="14.25" customHeight="1">
      <c r="A766" s="171" t="s">
        <v>3877</v>
      </c>
      <c r="B766" s="165">
        <v>5.4</v>
      </c>
      <c r="C766" s="166" t="s">
        <v>3898</v>
      </c>
      <c r="N766" s="183">
        <v>3</v>
      </c>
      <c r="O766" s="7">
        <v>0.22</v>
      </c>
      <c r="R766"/>
      <c r="S766" s="229"/>
      <c r="T766" s="229"/>
      <c r="U766" s="238"/>
      <c r="V766" s="234"/>
      <c r="W766" s="20"/>
      <c r="X766" s="20"/>
      <c r="Y766" s="20"/>
      <c r="Z766" s="20"/>
      <c r="AA766" s="229"/>
      <c r="AB766" s="20"/>
      <c r="AC766" s="20"/>
      <c r="AD766" s="20"/>
      <c r="AE766" s="20"/>
      <c r="AF766" s="20"/>
      <c r="AG766" s="20"/>
      <c r="AH766" s="20"/>
      <c r="AI766" s="20"/>
      <c r="AJ766"/>
      <c r="AK766"/>
      <c r="AL766"/>
      <c r="AM766"/>
      <c r="AN766"/>
    </row>
    <row r="767" spans="1:40" ht="14.25" customHeight="1">
      <c r="A767" s="171" t="s">
        <v>3465</v>
      </c>
      <c r="B767" s="165">
        <v>4.7</v>
      </c>
      <c r="C767" s="166" t="s">
        <v>3897</v>
      </c>
      <c r="N767" s="183">
        <v>3</v>
      </c>
      <c r="O767" s="7">
        <v>0.2</v>
      </c>
      <c r="R767"/>
      <c r="S767" s="229"/>
      <c r="T767" s="229"/>
      <c r="U767" s="238"/>
      <c r="V767" s="234"/>
      <c r="W767" s="20"/>
      <c r="X767" s="20"/>
      <c r="Y767" s="20"/>
      <c r="Z767" s="20"/>
      <c r="AA767" s="229"/>
      <c r="AB767" s="20"/>
      <c r="AC767" s="20"/>
      <c r="AD767" s="20"/>
      <c r="AE767" s="20"/>
      <c r="AF767" s="20"/>
      <c r="AG767" s="20"/>
      <c r="AH767" s="20"/>
      <c r="AI767" s="20"/>
      <c r="AJ767"/>
      <c r="AK767"/>
      <c r="AL767"/>
      <c r="AM767"/>
      <c r="AN767"/>
    </row>
    <row r="768" spans="1:40" ht="14.25" customHeight="1">
      <c r="A768" s="171" t="s">
        <v>3878</v>
      </c>
      <c r="B768" s="165">
        <v>6.8</v>
      </c>
      <c r="C768" s="166" t="s">
        <v>3896</v>
      </c>
      <c r="N768" s="183">
        <v>3</v>
      </c>
      <c r="O768" s="7">
        <v>0.18</v>
      </c>
      <c r="R768"/>
      <c r="S768" s="229"/>
      <c r="T768" s="229"/>
      <c r="U768" s="238"/>
      <c r="V768" s="234"/>
      <c r="W768" s="20"/>
      <c r="X768" s="20"/>
      <c r="Y768" s="20"/>
      <c r="Z768" s="20"/>
      <c r="AA768" s="229"/>
      <c r="AB768" s="20"/>
      <c r="AC768" s="20"/>
      <c r="AD768" s="20"/>
      <c r="AE768" s="20"/>
      <c r="AF768" s="20"/>
      <c r="AG768" s="20"/>
      <c r="AH768" s="20"/>
      <c r="AI768" s="20"/>
      <c r="AJ768"/>
      <c r="AK768"/>
      <c r="AL768"/>
      <c r="AM768"/>
      <c r="AN768"/>
    </row>
    <row r="769" spans="1:40" ht="14.25" customHeight="1">
      <c r="A769" s="171" t="s">
        <v>3888</v>
      </c>
      <c r="B769" s="165">
        <v>16.5</v>
      </c>
      <c r="C769" s="169" t="s">
        <v>3870</v>
      </c>
      <c r="N769" s="183">
        <v>3</v>
      </c>
      <c r="O769" s="7">
        <v>0.85</v>
      </c>
      <c r="R769"/>
      <c r="S769" s="229"/>
      <c r="T769" s="229"/>
      <c r="U769" s="238"/>
      <c r="V769" s="234"/>
      <c r="W769" s="20"/>
      <c r="X769" s="20"/>
      <c r="Y769" s="20"/>
      <c r="Z769" s="20"/>
      <c r="AA769" s="229"/>
      <c r="AB769" s="20"/>
      <c r="AC769" s="20"/>
      <c r="AD769" s="20"/>
      <c r="AE769" s="20"/>
      <c r="AF769" s="20"/>
      <c r="AG769" s="20"/>
      <c r="AH769" s="20"/>
      <c r="AI769" s="20"/>
      <c r="AJ769" s="169" t="s">
        <v>3870</v>
      </c>
      <c r="AK769"/>
      <c r="AL769"/>
      <c r="AM769"/>
      <c r="AN769"/>
    </row>
    <row r="770" spans="1:40" ht="14.25" customHeight="1">
      <c r="A770" s="171" t="s">
        <v>3889</v>
      </c>
      <c r="B770" s="165">
        <v>18.2</v>
      </c>
      <c r="C770" s="169" t="s">
        <v>3871</v>
      </c>
      <c r="N770" s="183">
        <v>3</v>
      </c>
      <c r="O770" s="7">
        <v>0.85</v>
      </c>
      <c r="R770"/>
      <c r="S770" s="229"/>
      <c r="T770" s="229"/>
      <c r="U770" s="238"/>
      <c r="V770" s="234"/>
      <c r="W770" s="20"/>
      <c r="X770" s="20"/>
      <c r="Y770" s="20"/>
      <c r="Z770" s="20"/>
      <c r="AA770" s="229"/>
      <c r="AB770" s="20"/>
      <c r="AC770" s="20"/>
      <c r="AD770" s="20"/>
      <c r="AE770" s="20"/>
      <c r="AF770" s="20"/>
      <c r="AG770" s="20"/>
      <c r="AH770" s="20"/>
      <c r="AI770" s="20"/>
      <c r="AJ770"/>
      <c r="AK770"/>
      <c r="AL770"/>
      <c r="AM770"/>
      <c r="AN770"/>
    </row>
    <row r="771" spans="1:40" ht="14.25" customHeight="1">
      <c r="A771" s="171" t="s">
        <v>3890</v>
      </c>
      <c r="B771" s="165">
        <v>26.9</v>
      </c>
      <c r="C771" s="166" t="s">
        <v>3509</v>
      </c>
      <c r="N771" s="183">
        <v>4</v>
      </c>
      <c r="O771" s="7">
        <v>0.3</v>
      </c>
      <c r="R771"/>
      <c r="S771" s="229"/>
      <c r="T771" s="229"/>
      <c r="U771" s="238"/>
      <c r="V771" s="234"/>
      <c r="W771" s="20"/>
      <c r="X771" s="20"/>
      <c r="Y771" s="20"/>
      <c r="Z771" s="20"/>
      <c r="AA771" s="229"/>
      <c r="AB771" s="20"/>
      <c r="AC771" s="20"/>
      <c r="AD771" s="20"/>
      <c r="AE771" s="20"/>
      <c r="AF771" s="20"/>
      <c r="AG771" s="20"/>
      <c r="AH771" s="20"/>
      <c r="AI771" s="20"/>
      <c r="AJ771"/>
      <c r="AK771"/>
      <c r="AL771"/>
      <c r="AM771"/>
      <c r="AN771"/>
    </row>
    <row r="772" spans="1:40" ht="14.25" customHeight="1">
      <c r="A772" s="171" t="s">
        <v>3879</v>
      </c>
      <c r="B772" s="165">
        <v>30.2</v>
      </c>
      <c r="C772" s="166" t="s">
        <v>3510</v>
      </c>
      <c r="N772" s="183">
        <v>4</v>
      </c>
      <c r="O772" s="7">
        <v>0.44</v>
      </c>
      <c r="R772"/>
      <c r="S772" s="229"/>
      <c r="T772" s="229"/>
      <c r="U772" s="238"/>
      <c r="V772" s="234"/>
      <c r="W772" s="20"/>
      <c r="X772" s="20"/>
      <c r="Y772" s="20"/>
      <c r="Z772" s="20"/>
      <c r="AA772" s="229"/>
      <c r="AB772" s="20"/>
      <c r="AC772" s="20"/>
      <c r="AD772" s="20"/>
      <c r="AE772" s="20"/>
      <c r="AF772" s="20"/>
      <c r="AG772" s="20"/>
      <c r="AH772" s="20"/>
      <c r="AI772" s="20"/>
      <c r="AJ772"/>
      <c r="AK772"/>
      <c r="AL772"/>
      <c r="AM772"/>
      <c r="AN772"/>
    </row>
    <row r="773" spans="1:40" ht="14.25" customHeight="1">
      <c r="A773" s="171" t="s">
        <v>3880</v>
      </c>
      <c r="B773" s="165">
        <v>7.4</v>
      </c>
      <c r="C773" s="166" t="s">
        <v>3893</v>
      </c>
      <c r="N773" s="183">
        <v>5</v>
      </c>
      <c r="O773" s="7">
        <v>0.13</v>
      </c>
      <c r="R773"/>
      <c r="S773" s="229"/>
      <c r="T773" s="229"/>
      <c r="U773" s="238"/>
      <c r="V773" s="234"/>
      <c r="W773" s="20"/>
      <c r="X773" s="20"/>
      <c r="Y773" s="20"/>
      <c r="Z773" s="20"/>
      <c r="AA773" s="229"/>
      <c r="AB773" s="20"/>
      <c r="AC773" s="20"/>
      <c r="AD773" s="20"/>
      <c r="AE773" s="20"/>
      <c r="AF773" s="20"/>
      <c r="AG773" s="20"/>
      <c r="AH773" s="20"/>
      <c r="AI773" s="20"/>
      <c r="AJ773"/>
      <c r="AK773"/>
      <c r="AL773"/>
      <c r="AM773"/>
      <c r="AN773"/>
    </row>
    <row r="774" spans="1:40" ht="14.25" customHeight="1">
      <c r="A774" s="171" t="s">
        <v>3881</v>
      </c>
      <c r="B774" s="165">
        <v>3</v>
      </c>
      <c r="C774" s="166" t="s">
        <v>3895</v>
      </c>
      <c r="N774" s="183">
        <v>5</v>
      </c>
      <c r="O774" s="7">
        <v>0.1</v>
      </c>
      <c r="R774"/>
      <c r="S774" s="229"/>
      <c r="T774" s="229"/>
      <c r="U774" s="238"/>
      <c r="V774" s="234"/>
      <c r="W774" s="20"/>
      <c r="X774" s="20"/>
      <c r="Y774" s="20"/>
      <c r="Z774" s="20"/>
      <c r="AA774" s="229"/>
      <c r="AB774" s="20"/>
      <c r="AC774" s="20"/>
      <c r="AD774" s="20"/>
      <c r="AE774" s="20"/>
      <c r="AF774" s="20"/>
      <c r="AG774" s="20"/>
      <c r="AH774" s="20"/>
      <c r="AI774" s="20"/>
      <c r="AJ774"/>
      <c r="AK774"/>
      <c r="AL774"/>
      <c r="AM774"/>
      <c r="AN774"/>
    </row>
    <row r="775" spans="1:40" ht="14.25" customHeight="1">
      <c r="A775" s="171" t="s">
        <v>3882</v>
      </c>
      <c r="B775" s="165">
        <v>4.0999999999999996</v>
      </c>
      <c r="C775" s="166" t="s">
        <v>3894</v>
      </c>
      <c r="N775" s="183">
        <v>5</v>
      </c>
      <c r="O775" s="7">
        <v>0.08</v>
      </c>
      <c r="R775"/>
      <c r="S775" s="229"/>
      <c r="T775" s="229"/>
      <c r="U775" s="238"/>
      <c r="V775" s="234"/>
      <c r="W775" s="20"/>
      <c r="X775" s="20"/>
      <c r="Y775" s="20"/>
      <c r="Z775" s="20"/>
      <c r="AA775" s="229"/>
      <c r="AB775" s="20"/>
      <c r="AC775" s="20"/>
      <c r="AD775" s="20"/>
      <c r="AE775" s="20"/>
      <c r="AF775" s="20"/>
      <c r="AG775" s="20"/>
      <c r="AH775" s="20"/>
      <c r="AI775" s="20"/>
      <c r="AJ775"/>
      <c r="AK775"/>
      <c r="AL775"/>
      <c r="AM775"/>
      <c r="AN775"/>
    </row>
    <row r="776" spans="1:40" ht="14.25" customHeight="1">
      <c r="A776" s="171" t="s">
        <v>3883</v>
      </c>
      <c r="B776" s="165">
        <v>7.6</v>
      </c>
      <c r="C776" s="166" t="s">
        <v>3390</v>
      </c>
      <c r="N776" s="183">
        <v>3</v>
      </c>
      <c r="O776" s="7">
        <v>0.5</v>
      </c>
      <c r="R776"/>
      <c r="S776" s="229"/>
      <c r="T776" s="229"/>
      <c r="U776" s="238"/>
      <c r="V776" s="234"/>
      <c r="W776" s="20"/>
      <c r="X776" s="20"/>
      <c r="Y776" s="20"/>
      <c r="Z776" s="20"/>
      <c r="AA776" s="229"/>
      <c r="AB776" s="20"/>
      <c r="AC776" s="20"/>
      <c r="AD776" s="20"/>
      <c r="AE776" s="20"/>
      <c r="AF776" s="20"/>
      <c r="AG776" s="20"/>
      <c r="AH776" s="20"/>
      <c r="AI776" s="20"/>
      <c r="AJ776"/>
      <c r="AK776"/>
      <c r="AL776"/>
      <c r="AM776"/>
      <c r="AN776"/>
    </row>
    <row r="777" spans="1:40" ht="14.25" customHeight="1">
      <c r="A777" s="167" t="s">
        <v>3498</v>
      </c>
      <c r="B777" s="165">
        <f>186.2/5</f>
        <v>37.239999999999995</v>
      </c>
      <c r="C777" s="166" t="s">
        <v>5844</v>
      </c>
      <c r="N777" s="183">
        <v>5</v>
      </c>
      <c r="O777" s="7">
        <v>2.04</v>
      </c>
      <c r="R777"/>
      <c r="S777" s="229"/>
      <c r="T777" s="229"/>
      <c r="U777" s="238"/>
      <c r="V777" s="234"/>
      <c r="W777" s="20"/>
      <c r="X777" s="20"/>
      <c r="Y777" s="20"/>
      <c r="Z777" s="20"/>
      <c r="AA777" s="229"/>
      <c r="AB777" s="20"/>
      <c r="AC777" s="20"/>
      <c r="AD777" s="20"/>
      <c r="AE777" s="20"/>
      <c r="AF777" s="20"/>
      <c r="AG777" s="20"/>
      <c r="AH777" s="20"/>
      <c r="AI777" s="20"/>
      <c r="AJ777"/>
      <c r="AK777"/>
      <c r="AL777"/>
      <c r="AM777"/>
      <c r="AN777"/>
    </row>
    <row r="778" spans="1:40" ht="14.25" customHeight="1">
      <c r="A778" s="167" t="s">
        <v>3499</v>
      </c>
      <c r="B778" s="165">
        <f>190.2/5</f>
        <v>38.04</v>
      </c>
      <c r="C778" s="166" t="s">
        <v>5845</v>
      </c>
      <c r="N778" s="183">
        <v>5</v>
      </c>
      <c r="O778" s="7">
        <v>1.85</v>
      </c>
      <c r="R778"/>
      <c r="S778" s="229"/>
      <c r="T778" s="229"/>
      <c r="U778" s="238"/>
      <c r="V778" s="234"/>
      <c r="W778" s="20"/>
      <c r="X778" s="20"/>
      <c r="Y778" s="20"/>
      <c r="Z778" s="20"/>
      <c r="AA778" s="229"/>
      <c r="AB778" s="20"/>
      <c r="AC778" s="20"/>
      <c r="AD778" s="20"/>
      <c r="AE778" s="20"/>
      <c r="AF778" s="20"/>
      <c r="AG778" s="20"/>
      <c r="AH778" s="20"/>
      <c r="AI778" s="20"/>
      <c r="AJ778"/>
      <c r="AK778"/>
      <c r="AL778"/>
      <c r="AM778"/>
      <c r="AN778"/>
    </row>
    <row r="779" spans="1:40" ht="14.25" customHeight="1">
      <c r="A779" s="167" t="s">
        <v>3500</v>
      </c>
      <c r="B779" s="165">
        <f>154.6/5</f>
        <v>30.919999999999998</v>
      </c>
      <c r="C779" s="166" t="s">
        <v>5846</v>
      </c>
      <c r="N779" s="183">
        <v>5</v>
      </c>
      <c r="O779" s="7">
        <v>1.6</v>
      </c>
      <c r="R779"/>
      <c r="S779" s="229"/>
      <c r="T779" s="229"/>
      <c r="U779" s="238"/>
      <c r="AA779" s="229"/>
      <c r="AJ779"/>
      <c r="AK779"/>
      <c r="AL779"/>
      <c r="AM779"/>
      <c r="AN779"/>
    </row>
    <row r="780" spans="1:40" s="4" customFormat="1" ht="14.25" customHeight="1">
      <c r="A780" s="167" t="s">
        <v>3501</v>
      </c>
      <c r="B780" s="165">
        <f>108/5</f>
        <v>21.6</v>
      </c>
      <c r="C780" s="166" t="s">
        <v>5951</v>
      </c>
      <c r="D780" s="183"/>
      <c r="E780" s="183"/>
      <c r="F780" s="188"/>
      <c r="G780" s="188"/>
      <c r="H780" s="183"/>
      <c r="I780" s="183"/>
      <c r="J780" s="188"/>
      <c r="K780" s="188"/>
      <c r="L780" s="9"/>
      <c r="M780" s="9"/>
      <c r="N780" s="183">
        <v>5</v>
      </c>
      <c r="O780" s="7">
        <v>1.65</v>
      </c>
      <c r="P780" s="9"/>
      <c r="Q780" s="9"/>
      <c r="R780"/>
      <c r="S780" s="229"/>
      <c r="T780" s="229"/>
      <c r="U780" s="238"/>
      <c r="V780" s="103"/>
      <c r="W780" s="9"/>
      <c r="X780" s="9"/>
      <c r="Y780" s="9"/>
      <c r="Z780" s="9"/>
      <c r="AA780" s="229"/>
      <c r="AB780" s="9"/>
      <c r="AC780" s="9"/>
      <c r="AD780" s="9"/>
      <c r="AE780" s="9"/>
      <c r="AF780" s="9"/>
      <c r="AG780" s="9"/>
      <c r="AH780" s="9"/>
      <c r="AI780" s="9"/>
      <c r="AJ780"/>
      <c r="AK780"/>
      <c r="AL780"/>
      <c r="AM780"/>
      <c r="AN780"/>
    </row>
    <row r="781" spans="1:40" ht="14.25" customHeight="1">
      <c r="A781" s="167" t="s">
        <v>3502</v>
      </c>
      <c r="B781" s="165">
        <v>77.900000000000006</v>
      </c>
      <c r="C781" s="166" t="s">
        <v>5847</v>
      </c>
      <c r="N781" s="183">
        <v>5</v>
      </c>
      <c r="O781" s="7">
        <v>3</v>
      </c>
      <c r="R781"/>
      <c r="S781" s="229"/>
      <c r="T781" s="229"/>
      <c r="U781" s="238"/>
      <c r="AA781" s="229"/>
      <c r="AJ781"/>
      <c r="AK781"/>
      <c r="AL781"/>
      <c r="AM781"/>
      <c r="AN781"/>
    </row>
    <row r="782" spans="1:40" ht="14.25" customHeight="1">
      <c r="A782" s="167" t="s">
        <v>3503</v>
      </c>
      <c r="B782" s="165">
        <f>156.2/5</f>
        <v>31.24</v>
      </c>
      <c r="C782" s="166" t="s">
        <v>5848</v>
      </c>
      <c r="N782" s="183">
        <v>5</v>
      </c>
      <c r="O782" s="7">
        <v>1.76</v>
      </c>
      <c r="R782"/>
      <c r="S782" s="229"/>
      <c r="T782" s="229"/>
      <c r="U782" s="238"/>
      <c r="AA782" s="229"/>
      <c r="AJ782"/>
      <c r="AK782"/>
      <c r="AL782"/>
      <c r="AM782"/>
      <c r="AN782"/>
    </row>
    <row r="783" spans="1:40" ht="14.25" customHeight="1">
      <c r="A783" s="167" t="s">
        <v>3531</v>
      </c>
      <c r="B783" s="165">
        <f>100.3/5</f>
        <v>20.059999999999999</v>
      </c>
      <c r="C783" s="166" t="s">
        <v>3422</v>
      </c>
      <c r="N783" s="183">
        <v>5</v>
      </c>
      <c r="O783" s="7">
        <v>0.6</v>
      </c>
      <c r="R783"/>
      <c r="S783" s="229"/>
      <c r="T783" s="229"/>
      <c r="U783" s="238"/>
      <c r="V783" s="234"/>
      <c r="W783" s="20"/>
      <c r="X783" s="20"/>
      <c r="Y783" s="20"/>
      <c r="Z783" s="20"/>
      <c r="AA783" s="229"/>
      <c r="AB783" s="20"/>
      <c r="AC783" s="20"/>
      <c r="AD783" s="20"/>
      <c r="AE783" s="20"/>
      <c r="AF783" s="20"/>
      <c r="AG783" s="20"/>
      <c r="AH783" s="20"/>
      <c r="AI783" s="20"/>
      <c r="AJ783"/>
      <c r="AK783"/>
      <c r="AL783"/>
      <c r="AM783"/>
      <c r="AN783"/>
    </row>
    <row r="784" spans="1:40" ht="14.25" customHeight="1">
      <c r="A784" s="167" t="s">
        <v>3532</v>
      </c>
      <c r="B784" s="165">
        <f>107.5/5</f>
        <v>21.5</v>
      </c>
      <c r="C784" s="166" t="s">
        <v>3421</v>
      </c>
      <c r="N784" s="183">
        <v>5</v>
      </c>
      <c r="O784" s="7">
        <v>0.72</v>
      </c>
      <c r="R784"/>
      <c r="S784" s="229"/>
      <c r="T784" s="229"/>
      <c r="U784" s="238"/>
      <c r="AA784" s="229"/>
      <c r="AJ784"/>
      <c r="AK784"/>
      <c r="AL784"/>
      <c r="AM784"/>
      <c r="AN784"/>
    </row>
    <row r="785" spans="1:40" ht="14.25" customHeight="1">
      <c r="A785" s="167" t="s">
        <v>3533</v>
      </c>
      <c r="B785" s="165">
        <f>99.4/5</f>
        <v>19.880000000000003</v>
      </c>
      <c r="C785" s="166" t="s">
        <v>3402</v>
      </c>
      <c r="N785" s="183">
        <v>5</v>
      </c>
      <c r="O785" s="7">
        <v>0.53</v>
      </c>
      <c r="R785"/>
      <c r="S785" s="229"/>
      <c r="T785" s="229"/>
      <c r="U785" s="238"/>
      <c r="AA785" s="229"/>
      <c r="AJ785"/>
      <c r="AK785"/>
      <c r="AL785"/>
      <c r="AM785"/>
      <c r="AN785"/>
    </row>
    <row r="786" spans="1:40" ht="14.25" customHeight="1">
      <c r="A786" s="167" t="s">
        <v>3534</v>
      </c>
      <c r="B786" s="165">
        <f>104.7/5</f>
        <v>20.94</v>
      </c>
      <c r="C786" s="173" t="s">
        <v>3389</v>
      </c>
      <c r="N786" s="183">
        <v>10</v>
      </c>
      <c r="O786" s="7">
        <v>2.75</v>
      </c>
      <c r="R786"/>
      <c r="S786" s="229"/>
      <c r="T786" s="229"/>
      <c r="U786" s="238"/>
      <c r="AA786" s="229"/>
      <c r="AJ786"/>
      <c r="AK786"/>
      <c r="AL786"/>
      <c r="AM786"/>
      <c r="AN786"/>
    </row>
    <row r="787" spans="1:40" ht="14.25" customHeight="1">
      <c r="A787" s="167" t="s">
        <v>3535</v>
      </c>
      <c r="B787" s="165">
        <v>80.7</v>
      </c>
      <c r="C787" s="166" t="s">
        <v>3861</v>
      </c>
      <c r="N787" s="183">
        <v>3</v>
      </c>
      <c r="O787" s="7">
        <v>4.2</v>
      </c>
      <c r="R787"/>
      <c r="S787" s="229"/>
      <c r="T787" s="229"/>
      <c r="U787" s="238"/>
      <c r="AA787" s="229"/>
      <c r="AJ787"/>
      <c r="AK787"/>
      <c r="AL787"/>
      <c r="AM787"/>
      <c r="AN787"/>
    </row>
    <row r="788" spans="1:40" ht="14.25" customHeight="1">
      <c r="A788" s="167" t="s">
        <v>3536</v>
      </c>
      <c r="B788" s="165">
        <f>91.9/5</f>
        <v>18.380000000000003</v>
      </c>
      <c r="C788" s="166" t="s">
        <v>3417</v>
      </c>
      <c r="N788" s="183">
        <v>5</v>
      </c>
      <c r="O788" s="7">
        <v>0.76</v>
      </c>
      <c r="R788"/>
      <c r="S788" s="229"/>
      <c r="T788" s="229"/>
      <c r="U788" s="238"/>
      <c r="AA788" s="229"/>
      <c r="AJ788"/>
      <c r="AK788"/>
      <c r="AL788"/>
      <c r="AM788"/>
      <c r="AN788"/>
    </row>
    <row r="789" spans="1:40" ht="14.25" customHeight="1">
      <c r="A789" s="167" t="s">
        <v>3537</v>
      </c>
      <c r="B789" s="165">
        <f>108/5</f>
        <v>21.6</v>
      </c>
      <c r="C789" s="166" t="s">
        <v>3418</v>
      </c>
      <c r="N789" s="183">
        <v>5</v>
      </c>
      <c r="O789" s="7">
        <v>0.73</v>
      </c>
      <c r="R789"/>
      <c r="S789" s="229"/>
      <c r="T789" s="229"/>
      <c r="U789" s="238"/>
      <c r="AA789" s="229"/>
      <c r="AJ789"/>
      <c r="AK789"/>
      <c r="AL789"/>
      <c r="AM789"/>
      <c r="AN789"/>
    </row>
    <row r="790" spans="1:40" s="4" customFormat="1" ht="14.25" customHeight="1">
      <c r="A790" s="167" t="s">
        <v>3538</v>
      </c>
      <c r="B790" s="165">
        <f>109/5</f>
        <v>21.8</v>
      </c>
      <c r="C790" s="166" t="s">
        <v>3385</v>
      </c>
      <c r="D790" s="183"/>
      <c r="E790" s="183"/>
      <c r="F790" s="188"/>
      <c r="G790" s="188"/>
      <c r="H790" s="183"/>
      <c r="I790" s="183"/>
      <c r="J790" s="188"/>
      <c r="K790" s="188"/>
      <c r="L790" s="9"/>
      <c r="M790" s="9"/>
      <c r="N790" s="183">
        <v>5</v>
      </c>
      <c r="O790" s="7">
        <v>0.95</v>
      </c>
      <c r="P790" s="9"/>
      <c r="Q790" s="9"/>
      <c r="R790"/>
      <c r="S790" s="229"/>
      <c r="T790" s="229"/>
      <c r="U790" s="238"/>
      <c r="V790" s="103"/>
      <c r="W790" s="9"/>
      <c r="X790" s="9"/>
      <c r="Y790" s="9"/>
      <c r="Z790" s="9"/>
      <c r="AA790" s="229"/>
      <c r="AB790" s="9"/>
      <c r="AC790" s="9"/>
      <c r="AD790" s="9"/>
      <c r="AE790" s="9"/>
      <c r="AF790" s="9"/>
      <c r="AG790" s="9"/>
      <c r="AH790" s="9"/>
      <c r="AI790" s="9"/>
      <c r="AJ790"/>
      <c r="AK790"/>
      <c r="AL790"/>
      <c r="AM790"/>
      <c r="AN790"/>
    </row>
    <row r="791" spans="1:40" ht="14.25" customHeight="1">
      <c r="A791" s="148" t="s">
        <v>3120</v>
      </c>
      <c r="B791" s="9">
        <f>15.2/10</f>
        <v>1.52</v>
      </c>
      <c r="C791" s="1" t="s">
        <v>5875</v>
      </c>
      <c r="D791" s="184"/>
      <c r="E791" s="184"/>
      <c r="H791" s="184"/>
      <c r="I791" s="184"/>
      <c r="L791" s="3"/>
      <c r="M791" s="3"/>
      <c r="N791" s="184">
        <v>1000</v>
      </c>
      <c r="O791" s="25">
        <f>72/1000</f>
        <v>7.1999999999999995E-2</v>
      </c>
      <c r="P791" s="224"/>
      <c r="Q791" s="224"/>
    </row>
    <row r="792" spans="1:40" ht="14.25" customHeight="1">
      <c r="A792" s="148" t="s">
        <v>3121</v>
      </c>
      <c r="B792" s="9">
        <f>13.3/10</f>
        <v>1.33</v>
      </c>
      <c r="C792" s="1" t="s">
        <v>5878</v>
      </c>
      <c r="D792" s="184"/>
      <c r="E792" s="184"/>
      <c r="H792" s="184"/>
      <c r="I792" s="184"/>
      <c r="L792" s="3"/>
      <c r="M792" s="3"/>
      <c r="N792" s="184">
        <v>1000</v>
      </c>
      <c r="O792" s="25">
        <f>80/1000</f>
        <v>0.08</v>
      </c>
      <c r="P792" s="224"/>
      <c r="Q792" s="224"/>
    </row>
    <row r="793" spans="1:40" ht="14.25" customHeight="1">
      <c r="A793" s="148" t="s">
        <v>3122</v>
      </c>
      <c r="B793" s="9">
        <f>14.8/10</f>
        <v>1.48</v>
      </c>
      <c r="C793" s="1" t="s">
        <v>5877</v>
      </c>
      <c r="D793" s="184"/>
      <c r="E793" s="184"/>
      <c r="H793" s="184"/>
      <c r="I793" s="184"/>
      <c r="L793" s="3"/>
      <c r="M793" s="3"/>
      <c r="N793" s="184">
        <v>100</v>
      </c>
      <c r="O793" s="25">
        <f>13/100</f>
        <v>0.13</v>
      </c>
      <c r="P793" s="224"/>
      <c r="Q793" s="224"/>
    </row>
    <row r="794" spans="1:40" ht="14.25" customHeight="1">
      <c r="A794" s="148" t="s">
        <v>3123</v>
      </c>
      <c r="B794" s="9">
        <f>15.1/10</f>
        <v>1.51</v>
      </c>
      <c r="C794" s="1" t="s">
        <v>5876</v>
      </c>
      <c r="D794" s="184"/>
      <c r="E794" s="184"/>
      <c r="H794" s="184"/>
      <c r="I794" s="184"/>
      <c r="L794" s="3"/>
      <c r="M794" s="3"/>
      <c r="N794" s="184">
        <v>1000</v>
      </c>
      <c r="O794" s="25">
        <f>75/1000</f>
        <v>7.4999999999999997E-2</v>
      </c>
      <c r="P794" s="224"/>
      <c r="Q794" s="224"/>
    </row>
    <row r="795" spans="1:40" ht="14.25" customHeight="1">
      <c r="A795" s="112" t="s">
        <v>3839</v>
      </c>
      <c r="B795" s="165">
        <f>7.4/5</f>
        <v>1.48</v>
      </c>
      <c r="C795" s="1" t="s">
        <v>5874</v>
      </c>
      <c r="N795" s="183">
        <v>500</v>
      </c>
      <c r="O795" s="7">
        <f>4.8/100</f>
        <v>4.8000000000000001E-2</v>
      </c>
      <c r="R795"/>
      <c r="S795" s="229"/>
      <c r="T795" s="229"/>
      <c r="U795" s="238"/>
      <c r="AA795" s="229"/>
      <c r="AJ795"/>
      <c r="AK795"/>
      <c r="AL795"/>
      <c r="AM795"/>
      <c r="AN795"/>
    </row>
    <row r="796" spans="1:40" ht="14.25" customHeight="1">
      <c r="A796" s="147" t="s">
        <v>3578</v>
      </c>
      <c r="B796" s="9">
        <v>1.2</v>
      </c>
      <c r="C796" s="1" t="s">
        <v>5879</v>
      </c>
      <c r="D796" s="184"/>
      <c r="E796" s="184"/>
      <c r="H796" s="184"/>
      <c r="I796" s="184"/>
      <c r="L796" s="3"/>
      <c r="M796" s="3"/>
      <c r="N796" s="184">
        <v>99</v>
      </c>
      <c r="O796" s="6">
        <v>0.1</v>
      </c>
      <c r="P796" s="222"/>
      <c r="Q796" s="222"/>
    </row>
    <row r="797" spans="1:40" s="4" customFormat="1" ht="14.25" customHeight="1">
      <c r="A797" s="147" t="s">
        <v>3579</v>
      </c>
      <c r="B797" s="9">
        <f>13.5/10</f>
        <v>1.35</v>
      </c>
      <c r="C797" s="211" t="s">
        <v>5880</v>
      </c>
      <c r="D797" s="184"/>
      <c r="E797" s="184"/>
      <c r="F797" s="188"/>
      <c r="G797" s="188"/>
      <c r="H797" s="184"/>
      <c r="I797" s="184"/>
      <c r="J797" s="188"/>
      <c r="K797" s="188"/>
      <c r="L797" s="3"/>
      <c r="M797" s="3"/>
      <c r="N797" s="184">
        <f t="shared" ref="N797:N802" si="45">600/6</f>
        <v>100</v>
      </c>
      <c r="O797" s="6">
        <v>0.09</v>
      </c>
      <c r="P797" s="222"/>
      <c r="Q797" s="222"/>
      <c r="R797" s="7"/>
      <c r="S797" s="126"/>
      <c r="T797" s="126"/>
      <c r="U797" s="237"/>
      <c r="V797" s="103"/>
      <c r="W797" s="9"/>
      <c r="X797" s="9"/>
      <c r="Y797" s="9"/>
      <c r="Z797" s="9"/>
      <c r="AA797" s="126"/>
      <c r="AB797" s="9"/>
      <c r="AC797" s="9"/>
      <c r="AD797" s="9"/>
      <c r="AE797" s="9"/>
      <c r="AF797" s="9"/>
      <c r="AG797" s="9"/>
      <c r="AH797" s="9"/>
      <c r="AI797" s="9"/>
      <c r="AJ797" s="211" t="s">
        <v>5880</v>
      </c>
      <c r="AK797" s="7"/>
      <c r="AL797" s="7"/>
      <c r="AM797" s="7"/>
      <c r="AN797" s="7"/>
    </row>
    <row r="798" spans="1:40" ht="14.25" customHeight="1">
      <c r="A798" s="147" t="s">
        <v>3580</v>
      </c>
      <c r="B798" s="9">
        <f>13.6/10</f>
        <v>1.3599999999999999</v>
      </c>
      <c r="C798" s="1" t="s">
        <v>5881</v>
      </c>
      <c r="D798" s="184"/>
      <c r="E798" s="184"/>
      <c r="H798" s="184"/>
      <c r="I798" s="184"/>
      <c r="L798" s="3"/>
      <c r="M798" s="3"/>
      <c r="N798" s="184">
        <f t="shared" si="45"/>
        <v>100</v>
      </c>
      <c r="O798" s="6">
        <v>0.09</v>
      </c>
      <c r="P798" s="222"/>
      <c r="Q798" s="222"/>
    </row>
    <row r="799" spans="1:40" ht="14.25" customHeight="1">
      <c r="A799" s="147" t="s">
        <v>3581</v>
      </c>
      <c r="B799" s="9">
        <f>13.6/10</f>
        <v>1.3599999999999999</v>
      </c>
      <c r="C799" s="1" t="s">
        <v>5882</v>
      </c>
      <c r="D799" s="184"/>
      <c r="E799" s="184"/>
      <c r="H799" s="184"/>
      <c r="I799" s="184"/>
      <c r="L799" s="3"/>
      <c r="M799" s="3"/>
      <c r="N799" s="184">
        <f t="shared" si="45"/>
        <v>100</v>
      </c>
      <c r="O799" s="6">
        <v>0.09</v>
      </c>
      <c r="P799" s="222"/>
      <c r="Q799" s="222"/>
    </row>
    <row r="800" spans="1:40" ht="14.25" customHeight="1">
      <c r="A800" s="147" t="s">
        <v>3582</v>
      </c>
      <c r="B800" s="9">
        <f>13.6/10</f>
        <v>1.3599999999999999</v>
      </c>
      <c r="C800" s="1" t="s">
        <v>5883</v>
      </c>
      <c r="D800" s="184"/>
      <c r="E800" s="184"/>
      <c r="H800" s="184"/>
      <c r="I800" s="184"/>
      <c r="L800" s="3"/>
      <c r="M800" s="3"/>
      <c r="N800" s="184">
        <f t="shared" si="45"/>
        <v>100</v>
      </c>
      <c r="O800" s="6">
        <v>0.09</v>
      </c>
      <c r="P800" s="222"/>
      <c r="Q800" s="222"/>
    </row>
    <row r="801" spans="1:40" ht="14.25" customHeight="1">
      <c r="A801" s="147" t="s">
        <v>3583</v>
      </c>
      <c r="B801" s="9">
        <f>13.6/10</f>
        <v>1.3599999999999999</v>
      </c>
      <c r="C801" s="1" t="s">
        <v>5884</v>
      </c>
      <c r="D801" s="184"/>
      <c r="E801" s="184"/>
      <c r="H801" s="184"/>
      <c r="I801" s="184"/>
      <c r="L801" s="3"/>
      <c r="M801" s="3"/>
      <c r="N801" s="184">
        <f t="shared" si="45"/>
        <v>100</v>
      </c>
      <c r="O801" s="6">
        <v>0.09</v>
      </c>
      <c r="P801" s="222"/>
      <c r="Q801" s="222"/>
    </row>
    <row r="802" spans="1:40" ht="14.25" customHeight="1">
      <c r="A802" s="147" t="s">
        <v>3584</v>
      </c>
      <c r="B802" s="9">
        <f>13.6/10</f>
        <v>1.3599999999999999</v>
      </c>
      <c r="C802" s="1" t="s">
        <v>5885</v>
      </c>
      <c r="D802" s="184"/>
      <c r="E802" s="184"/>
      <c r="H802" s="184"/>
      <c r="I802" s="184"/>
      <c r="L802" s="3"/>
      <c r="M802" s="3"/>
      <c r="N802" s="184">
        <f t="shared" si="45"/>
        <v>100</v>
      </c>
      <c r="O802" s="6">
        <v>0.09</v>
      </c>
      <c r="P802" s="222"/>
      <c r="Q802" s="222"/>
    </row>
    <row r="803" spans="1:40" ht="14.25" customHeight="1">
      <c r="A803" s="147" t="s">
        <v>3585</v>
      </c>
      <c r="B803" s="9">
        <f t="shared" ref="B803:B808" si="46">80.5/50</f>
        <v>1.61</v>
      </c>
      <c r="C803" s="211" t="s">
        <v>5886</v>
      </c>
      <c r="D803" s="184"/>
      <c r="E803" s="184"/>
      <c r="H803" s="184"/>
      <c r="I803" s="184"/>
      <c r="L803" s="3"/>
      <c r="M803" s="3"/>
      <c r="N803" s="184">
        <v>50</v>
      </c>
      <c r="O803" s="6">
        <v>0.15</v>
      </c>
      <c r="P803" s="222"/>
      <c r="Q803" s="222"/>
      <c r="V803" s="234"/>
      <c r="W803" s="20"/>
      <c r="X803" s="20"/>
      <c r="Y803" s="20"/>
      <c r="Z803" s="20"/>
      <c r="AB803" s="20"/>
      <c r="AC803" s="20"/>
      <c r="AD803" s="20"/>
      <c r="AE803" s="20"/>
      <c r="AF803" s="20"/>
      <c r="AG803" s="20"/>
      <c r="AH803" s="20"/>
      <c r="AI803" s="20"/>
      <c r="AJ803" s="211" t="s">
        <v>5886</v>
      </c>
    </row>
    <row r="804" spans="1:40" ht="14.25" customHeight="1">
      <c r="A804" s="147" t="s">
        <v>3586</v>
      </c>
      <c r="B804" s="9">
        <f t="shared" si="46"/>
        <v>1.61</v>
      </c>
      <c r="C804" s="1" t="s">
        <v>5887</v>
      </c>
      <c r="D804" s="184"/>
      <c r="E804" s="184"/>
      <c r="H804" s="184"/>
      <c r="I804" s="184"/>
      <c r="L804" s="3"/>
      <c r="M804" s="3"/>
      <c r="N804" s="184">
        <v>50</v>
      </c>
      <c r="O804" s="6">
        <v>0.15</v>
      </c>
      <c r="P804" s="222"/>
      <c r="Q804" s="222"/>
      <c r="V804" s="234"/>
      <c r="W804" s="20"/>
      <c r="X804" s="20"/>
      <c r="Y804" s="20"/>
      <c r="Z804" s="20"/>
      <c r="AB804" s="20"/>
      <c r="AC804" s="20"/>
      <c r="AD804" s="20"/>
      <c r="AE804" s="20"/>
      <c r="AF804" s="20"/>
      <c r="AG804" s="20"/>
      <c r="AH804" s="20"/>
      <c r="AI804" s="20"/>
    </row>
    <row r="805" spans="1:40" ht="14.25" customHeight="1">
      <c r="A805" s="147" t="s">
        <v>3587</v>
      </c>
      <c r="B805" s="9">
        <f t="shared" si="46"/>
        <v>1.61</v>
      </c>
      <c r="C805" s="1" t="s">
        <v>5888</v>
      </c>
      <c r="D805" s="184"/>
      <c r="E805" s="184"/>
      <c r="H805" s="184"/>
      <c r="I805" s="184"/>
      <c r="L805" s="3"/>
      <c r="M805" s="3"/>
      <c r="N805" s="184">
        <v>50</v>
      </c>
      <c r="O805" s="6">
        <v>0.15</v>
      </c>
      <c r="P805" s="222"/>
      <c r="Q805" s="222"/>
    </row>
    <row r="806" spans="1:40" ht="14.25" customHeight="1">
      <c r="A806" s="147" t="s">
        <v>3588</v>
      </c>
      <c r="B806" s="9">
        <f t="shared" si="46"/>
        <v>1.61</v>
      </c>
      <c r="C806" s="1" t="s">
        <v>5889</v>
      </c>
      <c r="D806" s="184"/>
      <c r="E806" s="184"/>
      <c r="H806" s="184"/>
      <c r="I806" s="184"/>
      <c r="L806" s="3"/>
      <c r="M806" s="3"/>
      <c r="N806" s="184">
        <v>50</v>
      </c>
      <c r="O806" s="6">
        <v>0.15</v>
      </c>
      <c r="P806" s="222"/>
      <c r="Q806" s="222"/>
    </row>
    <row r="807" spans="1:40" ht="14.25" customHeight="1">
      <c r="A807" s="147" t="s">
        <v>3589</v>
      </c>
      <c r="B807" s="9">
        <f t="shared" si="46"/>
        <v>1.61</v>
      </c>
      <c r="C807" s="1" t="s">
        <v>5890</v>
      </c>
      <c r="D807" s="184"/>
      <c r="E807" s="184"/>
      <c r="H807" s="184"/>
      <c r="I807" s="184"/>
      <c r="L807" s="3"/>
      <c r="M807" s="3"/>
      <c r="N807" s="184">
        <v>53</v>
      </c>
      <c r="O807" s="6">
        <v>0.15</v>
      </c>
      <c r="P807" s="222"/>
      <c r="Q807" s="222"/>
    </row>
    <row r="808" spans="1:40" ht="14.25" customHeight="1">
      <c r="A808" s="147" t="s">
        <v>3590</v>
      </c>
      <c r="B808" s="9">
        <f t="shared" si="46"/>
        <v>1.61</v>
      </c>
      <c r="C808" s="1" t="s">
        <v>5891</v>
      </c>
      <c r="D808" s="184"/>
      <c r="E808" s="184"/>
      <c r="H808" s="184"/>
      <c r="I808" s="184"/>
      <c r="L808" s="3"/>
      <c r="M808" s="3"/>
      <c r="N808" s="184">
        <v>50</v>
      </c>
      <c r="O808" s="6">
        <v>0.15</v>
      </c>
      <c r="P808" s="222"/>
      <c r="Q808" s="222"/>
    </row>
    <row r="809" spans="1:40" ht="14.25" customHeight="1">
      <c r="A809" s="147" t="s">
        <v>3591</v>
      </c>
      <c r="B809" s="9">
        <f>11.4/10</f>
        <v>1.1400000000000001</v>
      </c>
      <c r="C809" s="211" t="s">
        <v>5892</v>
      </c>
      <c r="D809" s="184"/>
      <c r="E809" s="184"/>
      <c r="H809" s="184"/>
      <c r="I809" s="184"/>
      <c r="L809" s="3"/>
      <c r="M809" s="3"/>
      <c r="N809" s="184">
        <v>100</v>
      </c>
      <c r="O809" s="6">
        <v>0.08</v>
      </c>
      <c r="P809" s="222"/>
      <c r="Q809" s="222"/>
      <c r="V809" s="233"/>
      <c r="W809" s="168"/>
      <c r="X809" s="168"/>
      <c r="Y809" s="168"/>
      <c r="Z809" s="168"/>
      <c r="AB809" s="168"/>
      <c r="AC809" s="168"/>
      <c r="AD809" s="168"/>
      <c r="AE809" s="168"/>
      <c r="AF809" s="168"/>
      <c r="AG809" s="168"/>
      <c r="AH809" s="168"/>
      <c r="AI809" s="168"/>
      <c r="AJ809" s="211" t="s">
        <v>5892</v>
      </c>
    </row>
    <row r="810" spans="1:40" ht="14.25" customHeight="1">
      <c r="A810" s="147" t="s">
        <v>3598</v>
      </c>
      <c r="B810" s="9">
        <f>13/10</f>
        <v>1.3</v>
      </c>
      <c r="C810" s="1" t="s">
        <v>5893</v>
      </c>
      <c r="D810" s="184"/>
      <c r="E810" s="184"/>
      <c r="H810" s="184"/>
      <c r="I810" s="184"/>
      <c r="L810" s="3"/>
      <c r="M810" s="3"/>
      <c r="N810" s="184">
        <f>600/5</f>
        <v>120</v>
      </c>
      <c r="O810" s="6">
        <v>7.0000000000000007E-2</v>
      </c>
      <c r="P810" s="222"/>
      <c r="Q810" s="222"/>
      <c r="V810" s="234"/>
      <c r="W810" s="20"/>
      <c r="X810" s="20"/>
      <c r="Y810" s="20"/>
      <c r="Z810" s="20"/>
      <c r="AB810" s="20"/>
      <c r="AC810" s="20"/>
      <c r="AD810" s="20"/>
      <c r="AE810" s="20"/>
      <c r="AF810" s="20"/>
      <c r="AG810" s="20"/>
      <c r="AH810" s="20"/>
      <c r="AI810" s="20"/>
    </row>
    <row r="811" spans="1:40" ht="14.25" customHeight="1">
      <c r="A811" s="147" t="s">
        <v>3599</v>
      </c>
      <c r="B811" s="9">
        <f>14/10</f>
        <v>1.4</v>
      </c>
      <c r="C811" s="1" t="s">
        <v>5894</v>
      </c>
      <c r="D811" s="184"/>
      <c r="E811" s="184"/>
      <c r="H811" s="184"/>
      <c r="I811" s="184"/>
      <c r="L811" s="3"/>
      <c r="M811" s="3"/>
      <c r="N811" s="184">
        <f>600/5</f>
        <v>120</v>
      </c>
      <c r="O811" s="6">
        <v>7.0000000000000007E-2</v>
      </c>
      <c r="P811" s="222"/>
      <c r="Q811" s="222"/>
    </row>
    <row r="812" spans="1:40" ht="14.25" customHeight="1">
      <c r="A812" s="147" t="s">
        <v>3600</v>
      </c>
      <c r="B812" s="9">
        <f>14/10</f>
        <v>1.4</v>
      </c>
      <c r="C812" s="1" t="s">
        <v>5895</v>
      </c>
      <c r="D812" s="184"/>
      <c r="E812" s="184"/>
      <c r="H812" s="184"/>
      <c r="I812" s="184"/>
      <c r="L812" s="3"/>
      <c r="M812" s="3"/>
      <c r="N812" s="184">
        <f>600/5</f>
        <v>120</v>
      </c>
      <c r="O812" s="6">
        <v>7.0000000000000007E-2</v>
      </c>
      <c r="P812" s="222"/>
      <c r="Q812" s="222"/>
      <c r="V812" s="234"/>
      <c r="W812" s="20"/>
      <c r="X812" s="20"/>
      <c r="Y812" s="20"/>
      <c r="Z812" s="20"/>
      <c r="AB812" s="20"/>
      <c r="AC812" s="20"/>
      <c r="AD812" s="20"/>
      <c r="AE812" s="20"/>
      <c r="AF812" s="20"/>
      <c r="AG812" s="20"/>
      <c r="AH812" s="20"/>
      <c r="AI812" s="20"/>
    </row>
    <row r="813" spans="1:40" ht="14.25" customHeight="1">
      <c r="A813" s="147" t="s">
        <v>3601</v>
      </c>
      <c r="B813" s="9">
        <f>14/10</f>
        <v>1.4</v>
      </c>
      <c r="C813" s="1" t="s">
        <v>5896</v>
      </c>
      <c r="D813" s="184"/>
      <c r="E813" s="184"/>
      <c r="H813" s="184"/>
      <c r="I813" s="184"/>
      <c r="L813" s="3"/>
      <c r="M813" s="3"/>
      <c r="N813" s="184">
        <f>600/5</f>
        <v>120</v>
      </c>
      <c r="O813" s="6">
        <v>7.0000000000000007E-2</v>
      </c>
      <c r="P813" s="222"/>
      <c r="Q813" s="222"/>
      <c r="V813" s="234"/>
      <c r="W813" s="20"/>
      <c r="X813" s="20"/>
      <c r="Y813" s="20"/>
      <c r="Z813" s="20"/>
      <c r="AB813" s="20"/>
      <c r="AC813" s="20"/>
      <c r="AD813" s="20"/>
      <c r="AE813" s="20"/>
      <c r="AF813" s="20"/>
      <c r="AG813" s="20"/>
      <c r="AH813" s="20"/>
      <c r="AI813" s="20"/>
    </row>
    <row r="814" spans="1:40" ht="14.25" customHeight="1">
      <c r="A814" s="147" t="s">
        <v>3602</v>
      </c>
      <c r="B814" s="9">
        <f>14/10</f>
        <v>1.4</v>
      </c>
      <c r="C814" s="1" t="s">
        <v>5897</v>
      </c>
      <c r="D814" s="184"/>
      <c r="E814" s="184"/>
      <c r="H814" s="184"/>
      <c r="I814" s="184"/>
      <c r="L814" s="3"/>
      <c r="M814" s="3"/>
      <c r="N814" s="184">
        <f>600/5</f>
        <v>120</v>
      </c>
      <c r="O814" s="6">
        <v>7.0000000000000007E-2</v>
      </c>
      <c r="P814" s="222"/>
      <c r="Q814" s="222"/>
      <c r="V814" s="234"/>
      <c r="W814" s="20"/>
      <c r="X814" s="20"/>
      <c r="Y814" s="20"/>
      <c r="Z814" s="20"/>
      <c r="AB814" s="20"/>
      <c r="AC814" s="20"/>
      <c r="AD814" s="20"/>
      <c r="AE814" s="20"/>
      <c r="AF814" s="20"/>
      <c r="AG814" s="20"/>
      <c r="AH814" s="20"/>
      <c r="AI814" s="20"/>
    </row>
    <row r="815" spans="1:40" s="4" customFormat="1" ht="14.25" customHeight="1">
      <c r="A815" s="112" t="s">
        <v>3840</v>
      </c>
      <c r="B815" s="165">
        <f>7.7/5</f>
        <v>1.54</v>
      </c>
      <c r="C815" s="211" t="s">
        <v>5898</v>
      </c>
      <c r="D815" s="183"/>
      <c r="E815" s="183"/>
      <c r="F815" s="188"/>
      <c r="G815" s="188"/>
      <c r="H815" s="183"/>
      <c r="I815" s="183"/>
      <c r="J815" s="188"/>
      <c r="K815" s="188"/>
      <c r="L815" s="9"/>
      <c r="M815" s="9"/>
      <c r="N815" s="183">
        <v>251</v>
      </c>
      <c r="O815" s="7">
        <v>3.5</v>
      </c>
      <c r="P815" s="9"/>
      <c r="Q815" s="9"/>
      <c r="R815"/>
      <c r="S815" s="229"/>
      <c r="T815" s="229"/>
      <c r="U815" s="238"/>
      <c r="V815" s="234"/>
      <c r="W815" s="20"/>
      <c r="X815" s="20"/>
      <c r="Y815" s="20"/>
      <c r="Z815" s="20"/>
      <c r="AA815" s="229"/>
      <c r="AB815" s="20"/>
      <c r="AC815" s="20"/>
      <c r="AD815" s="20"/>
      <c r="AE815" s="20"/>
      <c r="AF815" s="20"/>
      <c r="AG815" s="20"/>
      <c r="AH815" s="20"/>
      <c r="AI815" s="20"/>
      <c r="AJ815" s="211" t="s">
        <v>5898</v>
      </c>
      <c r="AK815"/>
      <c r="AL815"/>
      <c r="AM815"/>
      <c r="AN815"/>
    </row>
    <row r="816" spans="1:40" ht="14.25" customHeight="1">
      <c r="A816" s="112" t="s">
        <v>3841</v>
      </c>
      <c r="B816" s="165">
        <f>7.6/5</f>
        <v>1.52</v>
      </c>
      <c r="C816" s="1" t="s">
        <v>5899</v>
      </c>
      <c r="N816" s="183">
        <v>251</v>
      </c>
      <c r="O816" s="7">
        <v>0.76</v>
      </c>
      <c r="R816"/>
      <c r="S816" s="229"/>
      <c r="T816" s="229"/>
      <c r="U816" s="238"/>
      <c r="V816" s="234"/>
      <c r="W816" s="20"/>
      <c r="X816" s="20"/>
      <c r="Y816" s="20"/>
      <c r="Z816" s="20"/>
      <c r="AA816" s="229"/>
      <c r="AB816" s="20"/>
      <c r="AC816" s="20"/>
      <c r="AD816" s="20"/>
      <c r="AE816" s="20"/>
      <c r="AF816" s="20"/>
      <c r="AG816" s="20"/>
      <c r="AH816" s="20"/>
      <c r="AI816" s="20"/>
      <c r="AJ816"/>
      <c r="AK816"/>
      <c r="AL816"/>
      <c r="AM816"/>
      <c r="AN816"/>
    </row>
    <row r="817" spans="1:40" ht="14.25" customHeight="1">
      <c r="A817" s="147" t="s">
        <v>3605</v>
      </c>
      <c r="B817" s="9">
        <v>30.5</v>
      </c>
      <c r="C817" s="196" t="s">
        <v>5900</v>
      </c>
      <c r="D817" s="184"/>
      <c r="E817" s="184"/>
      <c r="H817" s="184"/>
      <c r="I817" s="184"/>
      <c r="L817" s="3"/>
      <c r="M817" s="3"/>
      <c r="N817" s="184">
        <v>5</v>
      </c>
      <c r="O817" s="6">
        <v>0.6</v>
      </c>
      <c r="P817" s="222"/>
      <c r="Q817" s="222"/>
      <c r="V817" s="234"/>
      <c r="W817" s="20"/>
      <c r="X817" s="20"/>
      <c r="Y817" s="20"/>
      <c r="Z817" s="20"/>
      <c r="AB817" s="20"/>
      <c r="AC817" s="20"/>
      <c r="AD817" s="20"/>
      <c r="AE817" s="20"/>
      <c r="AF817" s="20"/>
      <c r="AG817" s="20"/>
      <c r="AH817" s="20"/>
      <c r="AI817" s="20"/>
    </row>
    <row r="818" spans="1:40" ht="14.25" customHeight="1">
      <c r="A818" s="147" t="s">
        <v>3606</v>
      </c>
      <c r="B818" s="9">
        <v>6.5</v>
      </c>
      <c r="C818" s="196" t="s">
        <v>5952</v>
      </c>
      <c r="D818" s="184"/>
      <c r="E818" s="184"/>
      <c r="H818" s="184"/>
      <c r="I818" s="184"/>
      <c r="L818" s="3"/>
      <c r="M818" s="3"/>
      <c r="N818" s="184">
        <v>5</v>
      </c>
      <c r="O818" s="6">
        <v>0.18</v>
      </c>
      <c r="P818" s="222"/>
      <c r="Q818" s="222"/>
      <c r="V818" s="234"/>
      <c r="W818" s="20"/>
      <c r="X818" s="20"/>
      <c r="Y818" s="20"/>
      <c r="Z818" s="20"/>
      <c r="AB818" s="20"/>
      <c r="AC818" s="20"/>
      <c r="AD818" s="20"/>
      <c r="AE818" s="20"/>
      <c r="AF818" s="20"/>
      <c r="AG818" s="20"/>
      <c r="AH818" s="20"/>
      <c r="AI818" s="20"/>
    </row>
    <row r="819" spans="1:40" ht="14.25" customHeight="1">
      <c r="A819" s="147" t="s">
        <v>3607</v>
      </c>
      <c r="B819" s="9">
        <v>18.3</v>
      </c>
      <c r="C819" s="197" t="s">
        <v>5912</v>
      </c>
      <c r="D819" s="184"/>
      <c r="E819" s="184"/>
      <c r="H819" s="184"/>
      <c r="I819" s="184"/>
      <c r="L819" s="3"/>
      <c r="M819" s="3"/>
      <c r="N819" s="184">
        <v>5</v>
      </c>
      <c r="O819" s="6">
        <v>2</v>
      </c>
      <c r="P819" s="222"/>
      <c r="Q819" s="222"/>
      <c r="V819" s="234"/>
      <c r="W819" s="20"/>
      <c r="X819" s="20"/>
      <c r="Y819" s="20"/>
      <c r="Z819" s="20"/>
      <c r="AB819" s="20"/>
      <c r="AC819" s="20"/>
      <c r="AD819" s="20"/>
      <c r="AE819" s="20"/>
      <c r="AF819" s="20"/>
      <c r="AG819" s="20"/>
      <c r="AH819" s="20"/>
      <c r="AI819" s="20"/>
    </row>
    <row r="820" spans="1:40" ht="14.25" customHeight="1">
      <c r="A820" s="147" t="s">
        <v>3608</v>
      </c>
      <c r="B820" s="9">
        <v>9.6</v>
      </c>
      <c r="C820" s="196" t="s">
        <v>5901</v>
      </c>
      <c r="D820" s="184"/>
      <c r="E820" s="184"/>
      <c r="H820" s="184"/>
      <c r="I820" s="184"/>
      <c r="L820" s="3"/>
      <c r="M820" s="3"/>
      <c r="N820" s="184">
        <v>5</v>
      </c>
      <c r="O820" s="6">
        <v>1.6</v>
      </c>
      <c r="P820" s="222"/>
      <c r="Q820" s="222"/>
      <c r="V820" s="234"/>
      <c r="W820" s="20"/>
      <c r="X820" s="20"/>
      <c r="Y820" s="20"/>
      <c r="Z820" s="20"/>
      <c r="AB820" s="20"/>
      <c r="AC820" s="20"/>
      <c r="AD820" s="20"/>
      <c r="AE820" s="20"/>
      <c r="AF820" s="20"/>
      <c r="AG820" s="20"/>
      <c r="AH820" s="20"/>
      <c r="AI820" s="20"/>
    </row>
    <row r="821" spans="1:40" s="120" customFormat="1" ht="14.25" customHeight="1">
      <c r="A821" s="206" t="s">
        <v>3609</v>
      </c>
      <c r="B821" s="168">
        <v>10</v>
      </c>
      <c r="C821" s="204" t="s">
        <v>6000</v>
      </c>
      <c r="D821" s="186"/>
      <c r="E821" s="186"/>
      <c r="F821" s="188"/>
      <c r="G821" s="188"/>
      <c r="H821" s="186"/>
      <c r="I821" s="186"/>
      <c r="J821" s="188"/>
      <c r="K821" s="188"/>
      <c r="L821" s="168"/>
      <c r="M821" s="168"/>
      <c r="N821" s="186">
        <f>5+5</f>
        <v>10</v>
      </c>
      <c r="O821" s="205">
        <v>1.6</v>
      </c>
      <c r="P821" s="202"/>
      <c r="Q821" s="202"/>
      <c r="S821" s="228"/>
      <c r="T821" s="228"/>
      <c r="U821" s="237"/>
      <c r="V821" s="234"/>
      <c r="W821" s="20"/>
      <c r="X821" s="20"/>
      <c r="Y821" s="20"/>
      <c r="Z821" s="20"/>
      <c r="AA821" s="228"/>
      <c r="AB821" s="20"/>
      <c r="AC821" s="20"/>
      <c r="AD821" s="20"/>
      <c r="AE821" s="20"/>
      <c r="AF821" s="20"/>
      <c r="AG821" s="20"/>
      <c r="AH821" s="20"/>
      <c r="AI821" s="20"/>
    </row>
    <row r="822" spans="1:40" ht="14.25" customHeight="1">
      <c r="A822" s="167" t="s">
        <v>3568</v>
      </c>
      <c r="B822" s="165">
        <v>33.1</v>
      </c>
      <c r="C822" s="197" t="s">
        <v>5902</v>
      </c>
      <c r="N822" s="183">
        <v>5</v>
      </c>
      <c r="O822" s="7">
        <v>3</v>
      </c>
      <c r="R822"/>
      <c r="S822" s="229"/>
      <c r="T822" s="229"/>
      <c r="U822" s="238"/>
      <c r="V822" s="234"/>
      <c r="W822" s="20"/>
      <c r="X822" s="20"/>
      <c r="Y822" s="20"/>
      <c r="Z822" s="20"/>
      <c r="AA822" s="229"/>
      <c r="AB822" s="20"/>
      <c r="AC822" s="20"/>
      <c r="AD822" s="20"/>
      <c r="AE822" s="20"/>
      <c r="AF822" s="20"/>
      <c r="AG822" s="20"/>
      <c r="AH822" s="20"/>
      <c r="AI822" s="20"/>
      <c r="AJ822"/>
      <c r="AK822"/>
      <c r="AL822"/>
      <c r="AM822"/>
      <c r="AN822"/>
    </row>
    <row r="823" spans="1:40" ht="14.25" customHeight="1">
      <c r="A823" s="125" t="s">
        <v>3272</v>
      </c>
      <c r="B823" s="9">
        <v>47.6</v>
      </c>
      <c r="C823" s="7" t="s">
        <v>5946</v>
      </c>
      <c r="N823" s="183">
        <v>3</v>
      </c>
      <c r="O823" s="7">
        <v>4.4000000000000004</v>
      </c>
      <c r="V823" s="234"/>
      <c r="W823" s="20"/>
      <c r="X823" s="20"/>
      <c r="Y823" s="20"/>
      <c r="Z823" s="20"/>
      <c r="AB823" s="20"/>
      <c r="AC823" s="20"/>
      <c r="AD823" s="20"/>
      <c r="AE823" s="20"/>
      <c r="AF823" s="20"/>
      <c r="AG823" s="20"/>
      <c r="AH823" s="20"/>
      <c r="AI823" s="20"/>
      <c r="AN823" s="4"/>
    </row>
    <row r="824" spans="1:40" ht="14.25" customHeight="1">
      <c r="A824" s="167" t="s">
        <v>3477</v>
      </c>
      <c r="B824" s="165">
        <f>9.8/5</f>
        <v>1.9600000000000002</v>
      </c>
      <c r="C824" s="166" t="s">
        <v>3386</v>
      </c>
      <c r="N824" s="183">
        <v>5</v>
      </c>
      <c r="O824" s="7">
        <v>0.16</v>
      </c>
      <c r="R824"/>
      <c r="S824" s="229"/>
      <c r="T824" s="229"/>
      <c r="U824" s="238"/>
      <c r="V824" s="234"/>
      <c r="W824" s="20"/>
      <c r="X824" s="20"/>
      <c r="Y824" s="20"/>
      <c r="Z824" s="20"/>
      <c r="AA824" s="229"/>
      <c r="AB824" s="20"/>
      <c r="AC824" s="20"/>
      <c r="AD824" s="20"/>
      <c r="AE824" s="20"/>
      <c r="AF824" s="20"/>
      <c r="AG824" s="20"/>
      <c r="AH824" s="20"/>
      <c r="AI824" s="20"/>
      <c r="AJ824"/>
      <c r="AK824"/>
      <c r="AL824"/>
      <c r="AM824"/>
      <c r="AN824"/>
    </row>
    <row r="825" spans="1:40" ht="14.25" customHeight="1">
      <c r="A825" s="167" t="s">
        <v>3478</v>
      </c>
      <c r="B825" s="165">
        <f>11.1/5</f>
        <v>2.2199999999999998</v>
      </c>
      <c r="C825" s="166" t="s">
        <v>3387</v>
      </c>
      <c r="N825" s="183">
        <v>5</v>
      </c>
      <c r="O825" s="7">
        <v>0.17</v>
      </c>
      <c r="R825"/>
      <c r="S825" s="229"/>
      <c r="T825" s="229"/>
      <c r="U825" s="238"/>
      <c r="V825" s="234"/>
      <c r="W825" s="20"/>
      <c r="X825" s="20"/>
      <c r="Y825" s="20"/>
      <c r="Z825" s="20"/>
      <c r="AA825" s="229"/>
      <c r="AB825" s="20"/>
      <c r="AC825" s="20"/>
      <c r="AD825" s="20"/>
      <c r="AE825" s="20"/>
      <c r="AF825" s="20"/>
      <c r="AG825" s="20"/>
      <c r="AH825" s="20"/>
      <c r="AI825" s="20"/>
      <c r="AJ825"/>
      <c r="AK825"/>
      <c r="AL825"/>
      <c r="AM825"/>
      <c r="AN825"/>
    </row>
    <row r="826" spans="1:40" ht="14.25" customHeight="1">
      <c r="A826" s="167" t="s">
        <v>3479</v>
      </c>
      <c r="B826" s="165">
        <f>36/5</f>
        <v>7.2</v>
      </c>
      <c r="C826" s="166" t="s">
        <v>3436</v>
      </c>
      <c r="N826" s="183">
        <v>5</v>
      </c>
      <c r="O826" s="7">
        <v>0.36</v>
      </c>
      <c r="R826"/>
      <c r="S826" s="229"/>
      <c r="T826" s="229"/>
      <c r="U826" s="238"/>
      <c r="V826" s="234"/>
      <c r="W826" s="20"/>
      <c r="X826" s="20"/>
      <c r="Y826" s="20"/>
      <c r="Z826" s="20"/>
      <c r="AA826" s="229"/>
      <c r="AB826" s="20"/>
      <c r="AC826" s="20"/>
      <c r="AD826" s="20"/>
      <c r="AE826" s="20"/>
      <c r="AF826" s="20"/>
      <c r="AG826" s="20"/>
      <c r="AH826" s="20"/>
      <c r="AI826" s="20"/>
      <c r="AJ826"/>
      <c r="AK826"/>
      <c r="AL826"/>
      <c r="AM826"/>
      <c r="AN826"/>
    </row>
    <row r="827" spans="1:40" s="4" customFormat="1" ht="14.25" customHeight="1">
      <c r="A827" s="167" t="s">
        <v>3480</v>
      </c>
      <c r="B827" s="165">
        <f>35.5/5</f>
        <v>7.1</v>
      </c>
      <c r="C827" s="166" t="s">
        <v>3447</v>
      </c>
      <c r="D827" s="183"/>
      <c r="E827" s="183"/>
      <c r="F827" s="188"/>
      <c r="G827" s="188"/>
      <c r="H827" s="183"/>
      <c r="I827" s="183"/>
      <c r="J827" s="188"/>
      <c r="K827" s="188"/>
      <c r="L827" s="9"/>
      <c r="M827" s="9"/>
      <c r="N827" s="183">
        <v>5</v>
      </c>
      <c r="O827" s="7">
        <v>0.65</v>
      </c>
      <c r="P827" s="9"/>
      <c r="Q827" s="9"/>
      <c r="R827"/>
      <c r="S827" s="229"/>
      <c r="T827" s="229"/>
      <c r="U827" s="238"/>
      <c r="V827" s="234"/>
      <c r="W827" s="20"/>
      <c r="X827" s="20"/>
      <c r="Y827" s="20"/>
      <c r="Z827" s="20"/>
      <c r="AA827" s="229"/>
      <c r="AB827" s="20"/>
      <c r="AC827" s="20"/>
      <c r="AD827" s="20"/>
      <c r="AE827" s="20"/>
      <c r="AF827" s="20"/>
      <c r="AG827" s="20"/>
      <c r="AH827" s="20"/>
      <c r="AI827" s="20"/>
      <c r="AJ827"/>
      <c r="AK827"/>
      <c r="AL827"/>
      <c r="AM827"/>
      <c r="AN827"/>
    </row>
    <row r="828" spans="1:40" ht="14.25" customHeight="1">
      <c r="A828" s="167" t="s">
        <v>3481</v>
      </c>
      <c r="B828" s="165">
        <f>39.7/5</f>
        <v>7.94</v>
      </c>
      <c r="C828" s="166" t="s">
        <v>3437</v>
      </c>
      <c r="N828" s="183">
        <v>5</v>
      </c>
      <c r="O828" s="7">
        <v>0.85</v>
      </c>
      <c r="R828"/>
      <c r="S828" s="229"/>
      <c r="T828" s="229"/>
      <c r="U828" s="238"/>
      <c r="V828" s="234"/>
      <c r="W828" s="20"/>
      <c r="X828" s="20"/>
      <c r="Y828" s="20"/>
      <c r="Z828" s="20"/>
      <c r="AA828" s="229"/>
      <c r="AB828" s="20"/>
      <c r="AC828" s="20"/>
      <c r="AD828" s="20"/>
      <c r="AE828" s="20"/>
      <c r="AF828" s="20"/>
      <c r="AG828" s="20"/>
      <c r="AH828" s="20"/>
      <c r="AI828" s="20"/>
      <c r="AJ828"/>
      <c r="AK828"/>
      <c r="AL828"/>
      <c r="AM828"/>
      <c r="AN828"/>
    </row>
    <row r="829" spans="1:40" ht="14.25" customHeight="1">
      <c r="A829" s="167" t="s">
        <v>3482</v>
      </c>
      <c r="B829" s="165">
        <f>35.5/5</f>
        <v>7.1</v>
      </c>
      <c r="C829" s="166" t="s">
        <v>3438</v>
      </c>
      <c r="N829" s="183">
        <v>5</v>
      </c>
      <c r="O829" s="7">
        <v>0.6</v>
      </c>
      <c r="R829"/>
      <c r="S829" s="229"/>
      <c r="T829" s="229"/>
      <c r="U829" s="238"/>
      <c r="V829" s="234"/>
      <c r="W829" s="20"/>
      <c r="X829" s="20"/>
      <c r="Y829" s="20"/>
      <c r="Z829" s="20"/>
      <c r="AA829" s="229"/>
      <c r="AB829" s="20"/>
      <c r="AC829" s="20"/>
      <c r="AD829" s="20"/>
      <c r="AE829" s="20"/>
      <c r="AF829" s="20"/>
      <c r="AG829" s="20"/>
      <c r="AH829" s="20"/>
      <c r="AI829" s="20"/>
      <c r="AJ829"/>
      <c r="AK829"/>
      <c r="AL829"/>
      <c r="AM829"/>
      <c r="AN829"/>
    </row>
    <row r="830" spans="1:40" ht="14.25" customHeight="1">
      <c r="A830" s="167" t="s">
        <v>3483</v>
      </c>
      <c r="B830" s="165">
        <f>22.9/5</f>
        <v>4.58</v>
      </c>
      <c r="C830" s="166" t="s">
        <v>3432</v>
      </c>
      <c r="N830" s="183">
        <v>5</v>
      </c>
      <c r="O830" s="7">
        <v>0.5</v>
      </c>
      <c r="R830"/>
      <c r="S830" s="229"/>
      <c r="T830" s="229"/>
      <c r="U830" s="238"/>
      <c r="V830" s="234"/>
      <c r="W830" s="20"/>
      <c r="X830" s="20"/>
      <c r="Y830" s="20"/>
      <c r="Z830" s="20"/>
      <c r="AA830" s="229"/>
      <c r="AB830" s="20"/>
      <c r="AC830" s="20"/>
      <c r="AD830" s="20"/>
      <c r="AE830" s="20"/>
      <c r="AF830" s="20"/>
      <c r="AG830" s="20"/>
      <c r="AH830" s="20"/>
      <c r="AI830" s="20"/>
      <c r="AJ830"/>
      <c r="AK830"/>
      <c r="AL830"/>
      <c r="AM830"/>
      <c r="AN830"/>
    </row>
    <row r="831" spans="1:40" ht="14.25" customHeight="1">
      <c r="A831" s="167" t="s">
        <v>3484</v>
      </c>
      <c r="B831" s="165">
        <f>33.1/5</f>
        <v>6.62</v>
      </c>
      <c r="C831" s="135" t="s">
        <v>3412</v>
      </c>
      <c r="N831" s="183">
        <v>5</v>
      </c>
      <c r="O831" s="7">
        <v>0.36</v>
      </c>
      <c r="R831"/>
      <c r="S831" s="229"/>
      <c r="T831" s="229"/>
      <c r="U831" s="238"/>
      <c r="V831" s="234"/>
      <c r="W831" s="20"/>
      <c r="X831" s="20"/>
      <c r="Y831" s="20"/>
      <c r="Z831" s="20"/>
      <c r="AA831" s="229"/>
      <c r="AB831" s="20"/>
      <c r="AC831" s="20"/>
      <c r="AD831" s="20"/>
      <c r="AE831" s="20"/>
      <c r="AF831" s="20"/>
      <c r="AG831" s="20"/>
      <c r="AH831" s="20"/>
      <c r="AI831" s="20"/>
      <c r="AJ831"/>
      <c r="AK831"/>
      <c r="AL831"/>
      <c r="AM831"/>
      <c r="AN831"/>
    </row>
    <row r="832" spans="1:40" ht="14.25" customHeight="1">
      <c r="A832" s="167" t="s">
        <v>3485</v>
      </c>
      <c r="B832" s="165">
        <f>33.8/10</f>
        <v>3.38</v>
      </c>
      <c r="C832" s="173" t="s">
        <v>3431</v>
      </c>
      <c r="N832" s="183">
        <v>5</v>
      </c>
      <c r="O832" s="7">
        <v>0.23</v>
      </c>
      <c r="R832"/>
      <c r="S832" s="229"/>
      <c r="T832" s="229"/>
      <c r="U832" s="238"/>
      <c r="V832" s="234"/>
      <c r="W832" s="20"/>
      <c r="X832" s="20"/>
      <c r="Y832" s="20"/>
      <c r="Z832" s="20"/>
      <c r="AA832" s="229"/>
      <c r="AB832" s="20"/>
      <c r="AC832" s="20"/>
      <c r="AD832" s="20"/>
      <c r="AE832" s="20"/>
      <c r="AF832" s="20"/>
      <c r="AG832" s="20"/>
      <c r="AH832" s="20"/>
      <c r="AI832" s="20"/>
      <c r="AJ832"/>
      <c r="AK832"/>
      <c r="AL832"/>
      <c r="AM832"/>
      <c r="AN832"/>
    </row>
    <row r="833" spans="1:40" ht="14.25" customHeight="1">
      <c r="A833" s="167" t="s">
        <v>3486</v>
      </c>
      <c r="B833" s="165">
        <f>17.1/5</f>
        <v>3.4200000000000004</v>
      </c>
      <c r="C833" s="166" t="s">
        <v>3910</v>
      </c>
      <c r="N833" s="183">
        <v>5</v>
      </c>
      <c r="O833" s="7">
        <v>0.38</v>
      </c>
      <c r="R833"/>
      <c r="S833" s="229"/>
      <c r="T833" s="229"/>
      <c r="U833" s="238"/>
      <c r="V833" s="234"/>
      <c r="W833" s="20"/>
      <c r="X833" s="20"/>
      <c r="Y833" s="20"/>
      <c r="Z833" s="20"/>
      <c r="AA833" s="229"/>
      <c r="AB833" s="20"/>
      <c r="AC833" s="20"/>
      <c r="AD833" s="20"/>
      <c r="AE833" s="20"/>
      <c r="AF833" s="20"/>
      <c r="AG833" s="20"/>
      <c r="AH833" s="20"/>
      <c r="AI833" s="20"/>
      <c r="AJ833"/>
      <c r="AK833"/>
      <c r="AL833"/>
      <c r="AM833"/>
      <c r="AN833"/>
    </row>
    <row r="834" spans="1:40" ht="14.25" customHeight="1">
      <c r="A834" s="167" t="s">
        <v>3487</v>
      </c>
      <c r="B834" s="165">
        <f>33.7/5</f>
        <v>6.74</v>
      </c>
      <c r="C834" s="135" t="s">
        <v>3413</v>
      </c>
      <c r="N834" s="183">
        <v>5</v>
      </c>
      <c r="O834" s="7">
        <v>0.5</v>
      </c>
      <c r="R834"/>
      <c r="S834" s="229"/>
      <c r="T834" s="229"/>
      <c r="U834" s="238"/>
      <c r="V834" s="234"/>
      <c r="W834" s="20"/>
      <c r="X834" s="20"/>
      <c r="Y834" s="20"/>
      <c r="Z834" s="20"/>
      <c r="AA834" s="229"/>
      <c r="AB834" s="20"/>
      <c r="AC834" s="20"/>
      <c r="AD834" s="20"/>
      <c r="AE834" s="20"/>
      <c r="AF834" s="20"/>
      <c r="AG834" s="20"/>
      <c r="AH834" s="20"/>
      <c r="AI834" s="20"/>
      <c r="AJ834"/>
      <c r="AK834"/>
      <c r="AL834"/>
      <c r="AM834"/>
      <c r="AN834"/>
    </row>
    <row r="835" spans="1:40" ht="14.25" customHeight="1">
      <c r="A835" s="167" t="s">
        <v>3488</v>
      </c>
      <c r="B835" s="165">
        <v>23.1</v>
      </c>
      <c r="C835" s="166" t="s">
        <v>3908</v>
      </c>
      <c r="N835" s="183">
        <v>3</v>
      </c>
      <c r="O835" s="7">
        <v>1.3</v>
      </c>
      <c r="R835"/>
      <c r="S835" s="229"/>
      <c r="T835" s="229"/>
      <c r="U835" s="238"/>
      <c r="V835" s="234"/>
      <c r="W835" s="20"/>
      <c r="X835" s="20"/>
      <c r="Y835" s="20"/>
      <c r="Z835" s="20"/>
      <c r="AA835" s="229"/>
      <c r="AB835" s="20"/>
      <c r="AC835" s="20"/>
      <c r="AD835" s="20"/>
      <c r="AE835" s="20"/>
      <c r="AF835" s="20"/>
      <c r="AG835" s="20"/>
      <c r="AH835" s="20"/>
      <c r="AI835" s="20"/>
      <c r="AJ835"/>
      <c r="AK835"/>
      <c r="AL835"/>
      <c r="AM835"/>
      <c r="AN835"/>
    </row>
    <row r="836" spans="1:40" ht="14.25" customHeight="1">
      <c r="A836" s="167" t="s">
        <v>3489</v>
      </c>
      <c r="B836" s="165">
        <v>17.3</v>
      </c>
      <c r="C836" s="166" t="s">
        <v>3909</v>
      </c>
      <c r="N836" s="183">
        <v>3</v>
      </c>
      <c r="O836" s="7">
        <v>1.3</v>
      </c>
      <c r="R836"/>
      <c r="S836" s="229"/>
      <c r="T836" s="229"/>
      <c r="U836" s="238"/>
      <c r="V836" s="234"/>
      <c r="W836" s="20"/>
      <c r="X836" s="20"/>
      <c r="Y836" s="20"/>
      <c r="Z836" s="20"/>
      <c r="AA836" s="229"/>
      <c r="AB836" s="20"/>
      <c r="AC836" s="20"/>
      <c r="AD836" s="20"/>
      <c r="AE836" s="20"/>
      <c r="AF836" s="20"/>
      <c r="AG836" s="20"/>
      <c r="AH836" s="20"/>
      <c r="AI836" s="20"/>
      <c r="AJ836"/>
      <c r="AK836"/>
      <c r="AL836"/>
      <c r="AM836"/>
      <c r="AN836"/>
    </row>
    <row r="837" spans="1:40" ht="14.25" customHeight="1">
      <c r="A837" s="167" t="s">
        <v>3490</v>
      </c>
      <c r="B837" s="165">
        <v>51.5</v>
      </c>
      <c r="C837" s="166" t="s">
        <v>3851</v>
      </c>
      <c r="D837" s="184"/>
      <c r="E837" s="184"/>
      <c r="H837" s="184"/>
      <c r="I837" s="184"/>
      <c r="L837" s="3"/>
      <c r="M837" s="3"/>
      <c r="N837" s="184">
        <v>4</v>
      </c>
      <c r="O837" s="7">
        <v>1.1000000000000001</v>
      </c>
      <c r="R837"/>
      <c r="S837" s="229"/>
      <c r="T837" s="229"/>
      <c r="U837" s="238"/>
      <c r="V837" s="234"/>
      <c r="W837" s="20"/>
      <c r="X837" s="20"/>
      <c r="Y837" s="20"/>
      <c r="Z837" s="20"/>
      <c r="AA837" s="229"/>
      <c r="AB837" s="20"/>
      <c r="AC837" s="20"/>
      <c r="AD837" s="20"/>
      <c r="AE837" s="20"/>
      <c r="AF837" s="20"/>
      <c r="AG837" s="20"/>
      <c r="AH837" s="20"/>
      <c r="AI837" s="20"/>
      <c r="AJ837"/>
      <c r="AK837"/>
      <c r="AL837"/>
      <c r="AM837"/>
      <c r="AN837"/>
    </row>
    <row r="838" spans="1:40" s="4" customFormat="1" ht="14.25" customHeight="1">
      <c r="A838" s="167" t="s">
        <v>3491</v>
      </c>
      <c r="B838" s="165">
        <v>67</v>
      </c>
      <c r="C838" s="166" t="s">
        <v>3852</v>
      </c>
      <c r="D838" s="183"/>
      <c r="E838" s="183"/>
      <c r="F838" s="188"/>
      <c r="G838" s="188"/>
      <c r="H838" s="183"/>
      <c r="I838" s="183"/>
      <c r="J838" s="188"/>
      <c r="K838" s="188"/>
      <c r="L838" s="9"/>
      <c r="M838" s="9"/>
      <c r="N838" s="183">
        <v>3</v>
      </c>
      <c r="O838" s="7">
        <v>1.5</v>
      </c>
      <c r="P838" s="9"/>
      <c r="Q838" s="9"/>
      <c r="R838"/>
      <c r="S838" s="229"/>
      <c r="T838" s="229"/>
      <c r="U838" s="238"/>
      <c r="V838" s="234"/>
      <c r="W838" s="20"/>
      <c r="X838" s="20"/>
      <c r="Y838" s="20"/>
      <c r="Z838" s="20"/>
      <c r="AA838" s="229"/>
      <c r="AB838" s="20"/>
      <c r="AC838" s="20"/>
      <c r="AD838" s="20"/>
      <c r="AE838" s="20"/>
      <c r="AF838" s="20"/>
      <c r="AG838" s="20"/>
      <c r="AH838" s="20"/>
      <c r="AI838" s="20"/>
      <c r="AJ838"/>
      <c r="AK838"/>
      <c r="AL838"/>
      <c r="AM838"/>
      <c r="AN838"/>
    </row>
    <row r="839" spans="1:40" ht="14.25" customHeight="1">
      <c r="A839" s="171" t="s">
        <v>3918</v>
      </c>
      <c r="B839" s="165">
        <f>51.2/5</f>
        <v>10.24</v>
      </c>
      <c r="C839" s="173" t="s">
        <v>3424</v>
      </c>
      <c r="N839" s="183">
        <v>5</v>
      </c>
      <c r="O839" s="7">
        <v>1.18</v>
      </c>
      <c r="R839"/>
      <c r="S839" s="229"/>
      <c r="T839" s="229"/>
      <c r="U839" s="238"/>
      <c r="AA839" s="229"/>
      <c r="AJ839"/>
      <c r="AK839"/>
      <c r="AL839"/>
      <c r="AM839"/>
      <c r="AN839"/>
    </row>
    <row r="840" spans="1:40" ht="14.25" customHeight="1">
      <c r="A840" s="167" t="s">
        <v>3467</v>
      </c>
      <c r="B840" s="165">
        <f>67/5</f>
        <v>13.4</v>
      </c>
      <c r="C840" s="166" t="s">
        <v>3430</v>
      </c>
      <c r="N840" s="183">
        <v>5</v>
      </c>
      <c r="O840" s="7">
        <v>1.8</v>
      </c>
      <c r="R840"/>
      <c r="S840" s="229"/>
      <c r="T840" s="229"/>
      <c r="U840" s="238"/>
      <c r="AA840" s="229"/>
      <c r="AJ840"/>
      <c r="AK840"/>
      <c r="AL840"/>
      <c r="AM840"/>
      <c r="AN840"/>
    </row>
    <row r="841" spans="1:40" ht="14.25" customHeight="1">
      <c r="A841" s="167" t="s">
        <v>3468</v>
      </c>
      <c r="B841" s="165">
        <f>59.6/5</f>
        <v>11.92</v>
      </c>
      <c r="C841" s="166" t="s">
        <v>3433</v>
      </c>
      <c r="N841" s="183">
        <v>5</v>
      </c>
      <c r="O841" s="7">
        <v>2</v>
      </c>
      <c r="R841"/>
      <c r="S841" s="229"/>
      <c r="T841" s="229"/>
      <c r="U841" s="238"/>
      <c r="AA841" s="229"/>
      <c r="AJ841"/>
      <c r="AK841"/>
      <c r="AL841"/>
      <c r="AM841"/>
      <c r="AN841"/>
    </row>
    <row r="842" spans="1:40" ht="14.25" customHeight="1">
      <c r="A842" s="167" t="s">
        <v>3469</v>
      </c>
      <c r="B842" s="191">
        <f>59.8/3</f>
        <v>19.933333333333334</v>
      </c>
      <c r="C842" s="166" t="s">
        <v>3406</v>
      </c>
      <c r="N842" s="183">
        <v>5</v>
      </c>
      <c r="O842" s="7">
        <v>1.5</v>
      </c>
      <c r="R842"/>
      <c r="S842" s="229"/>
      <c r="T842" s="229"/>
      <c r="U842" s="238"/>
      <c r="V842" s="234"/>
      <c r="W842" s="20"/>
      <c r="X842" s="20"/>
      <c r="Y842" s="20"/>
      <c r="Z842" s="20"/>
      <c r="AA842" s="229"/>
      <c r="AB842" s="20"/>
      <c r="AC842" s="20"/>
      <c r="AD842" s="20"/>
      <c r="AE842" s="20"/>
      <c r="AF842" s="20"/>
      <c r="AG842" s="20"/>
      <c r="AH842" s="20"/>
      <c r="AI842" s="20"/>
      <c r="AJ842"/>
      <c r="AK842"/>
      <c r="AL842"/>
      <c r="AM842"/>
      <c r="AN842"/>
    </row>
    <row r="843" spans="1:40" ht="14.25" customHeight="1">
      <c r="A843" s="167" t="s">
        <v>3470</v>
      </c>
      <c r="B843" s="165">
        <f>36/5</f>
        <v>7.2</v>
      </c>
      <c r="C843" s="166" t="s">
        <v>3425</v>
      </c>
      <c r="N843" s="183">
        <v>5</v>
      </c>
      <c r="O843" s="7">
        <v>1.1499999999999999</v>
      </c>
      <c r="R843"/>
      <c r="S843" s="229"/>
      <c r="T843" s="229"/>
      <c r="U843" s="238"/>
      <c r="V843" s="234"/>
      <c r="W843" s="20"/>
      <c r="X843" s="20"/>
      <c r="Y843" s="20"/>
      <c r="Z843" s="20"/>
      <c r="AA843" s="229"/>
      <c r="AB843" s="20"/>
      <c r="AC843" s="20"/>
      <c r="AD843" s="20"/>
      <c r="AE843" s="20"/>
      <c r="AF843" s="20"/>
      <c r="AG843" s="20"/>
      <c r="AH843" s="20"/>
      <c r="AI843" s="20"/>
      <c r="AJ843"/>
      <c r="AK843"/>
      <c r="AL843"/>
      <c r="AM843"/>
      <c r="AN843"/>
    </row>
    <row r="844" spans="1:40" s="4" customFormat="1" ht="14.25" customHeight="1">
      <c r="A844" s="167" t="s">
        <v>3471</v>
      </c>
      <c r="B844" s="165">
        <f>40.4/5</f>
        <v>8.08</v>
      </c>
      <c r="C844" s="166" t="s">
        <v>3427</v>
      </c>
      <c r="D844" s="183"/>
      <c r="E844" s="183"/>
      <c r="F844" s="188"/>
      <c r="G844" s="188"/>
      <c r="H844" s="183"/>
      <c r="I844" s="183"/>
      <c r="J844" s="188"/>
      <c r="K844" s="188"/>
      <c r="L844" s="9"/>
      <c r="M844" s="9"/>
      <c r="N844" s="183">
        <v>5</v>
      </c>
      <c r="O844" s="7">
        <v>1.1499999999999999</v>
      </c>
      <c r="P844" s="9"/>
      <c r="Q844" s="9"/>
      <c r="R844"/>
      <c r="S844" s="229"/>
      <c r="T844" s="229"/>
      <c r="U844" s="238"/>
      <c r="V844" s="234"/>
      <c r="W844" s="20"/>
      <c r="X844" s="20"/>
      <c r="Y844" s="20"/>
      <c r="Z844" s="20"/>
      <c r="AA844" s="229"/>
      <c r="AB844" s="20"/>
      <c r="AC844" s="20"/>
      <c r="AD844" s="20"/>
      <c r="AE844" s="20"/>
      <c r="AF844" s="20"/>
      <c r="AG844" s="20"/>
      <c r="AH844" s="20"/>
      <c r="AI844" s="20"/>
      <c r="AJ844"/>
      <c r="AK844"/>
      <c r="AL844"/>
      <c r="AM844"/>
      <c r="AN844"/>
    </row>
    <row r="845" spans="1:40" ht="14.25" customHeight="1">
      <c r="A845" s="167" t="s">
        <v>3472</v>
      </c>
      <c r="B845" s="165">
        <f>58.3/5</f>
        <v>11.66</v>
      </c>
      <c r="C845" s="166" t="s">
        <v>3426</v>
      </c>
      <c r="N845" s="183">
        <v>5</v>
      </c>
      <c r="O845" s="7">
        <v>3</v>
      </c>
      <c r="R845"/>
      <c r="S845" s="229"/>
      <c r="T845" s="229"/>
      <c r="U845" s="238"/>
      <c r="V845" s="234"/>
      <c r="W845" s="20"/>
      <c r="X845" s="20"/>
      <c r="Y845" s="20"/>
      <c r="Z845" s="20"/>
      <c r="AA845" s="229"/>
      <c r="AB845" s="20"/>
      <c r="AC845" s="20"/>
      <c r="AD845" s="20"/>
      <c r="AE845" s="20"/>
      <c r="AF845" s="20"/>
      <c r="AG845" s="20"/>
      <c r="AH845" s="20"/>
      <c r="AI845" s="20"/>
      <c r="AJ845"/>
      <c r="AK845"/>
      <c r="AL845"/>
      <c r="AM845"/>
      <c r="AN845"/>
    </row>
    <row r="846" spans="1:40" ht="14.25" customHeight="1">
      <c r="A846" s="167" t="s">
        <v>3473</v>
      </c>
      <c r="B846" s="165">
        <f>45.5/5</f>
        <v>9.1</v>
      </c>
      <c r="C846" s="166" t="s">
        <v>3407</v>
      </c>
      <c r="N846" s="183">
        <v>5</v>
      </c>
      <c r="O846" s="7">
        <v>1.1000000000000001</v>
      </c>
      <c r="R846"/>
      <c r="S846" s="229"/>
      <c r="T846" s="229"/>
      <c r="U846" s="238"/>
      <c r="V846" s="234"/>
      <c r="W846" s="20"/>
      <c r="X846" s="20"/>
      <c r="Y846" s="20"/>
      <c r="Z846" s="20"/>
      <c r="AA846" s="229"/>
      <c r="AB846" s="20"/>
      <c r="AC846" s="20"/>
      <c r="AD846" s="20"/>
      <c r="AE846" s="20"/>
      <c r="AF846" s="20"/>
      <c r="AG846" s="20"/>
      <c r="AH846" s="20"/>
      <c r="AI846" s="20"/>
      <c r="AJ846"/>
      <c r="AK846"/>
      <c r="AL846"/>
      <c r="AM846"/>
      <c r="AN846"/>
    </row>
    <row r="847" spans="1:40" ht="14.25" customHeight="1">
      <c r="A847" s="167" t="s">
        <v>3474</v>
      </c>
      <c r="B847" s="165">
        <f>48.6/5</f>
        <v>9.7200000000000006</v>
      </c>
      <c r="C847" s="166" t="s">
        <v>3444</v>
      </c>
      <c r="N847" s="183">
        <v>5</v>
      </c>
      <c r="O847" s="7">
        <v>0.63</v>
      </c>
      <c r="R847"/>
      <c r="S847" s="229"/>
      <c r="T847" s="229"/>
      <c r="U847" s="238"/>
      <c r="V847" s="234"/>
      <c r="W847" s="20"/>
      <c r="X847" s="20"/>
      <c r="Y847" s="20"/>
      <c r="Z847" s="20"/>
      <c r="AA847" s="229"/>
      <c r="AB847" s="20"/>
      <c r="AC847" s="20"/>
      <c r="AD847" s="20"/>
      <c r="AE847" s="20"/>
      <c r="AF847" s="20"/>
      <c r="AG847" s="20"/>
      <c r="AH847" s="20"/>
      <c r="AI847" s="20"/>
      <c r="AJ847"/>
      <c r="AK847"/>
      <c r="AL847"/>
      <c r="AM847"/>
      <c r="AN847"/>
    </row>
    <row r="848" spans="1:40" ht="14.25" customHeight="1">
      <c r="A848" s="167" t="s">
        <v>3475</v>
      </c>
      <c r="B848" s="165">
        <f>87.5/5</f>
        <v>17.5</v>
      </c>
      <c r="C848" s="173" t="s">
        <v>3429</v>
      </c>
      <c r="N848" s="183">
        <v>5</v>
      </c>
      <c r="O848" s="7">
        <v>2.5</v>
      </c>
      <c r="R848"/>
      <c r="S848" s="229"/>
      <c r="T848" s="229"/>
      <c r="U848" s="238"/>
      <c r="V848" s="234"/>
      <c r="W848" s="20"/>
      <c r="X848" s="20"/>
      <c r="Y848" s="20"/>
      <c r="Z848" s="20"/>
      <c r="AA848" s="229"/>
      <c r="AB848" s="20"/>
      <c r="AC848" s="20"/>
      <c r="AD848" s="20"/>
      <c r="AE848" s="20"/>
      <c r="AF848" s="20"/>
      <c r="AG848" s="20"/>
      <c r="AH848" s="20"/>
      <c r="AI848" s="20"/>
      <c r="AJ848"/>
      <c r="AK848"/>
      <c r="AL848"/>
      <c r="AM848"/>
      <c r="AN848"/>
    </row>
    <row r="849" spans="1:40" s="4" customFormat="1" ht="14.25" customHeight="1">
      <c r="A849" s="167" t="s">
        <v>3476</v>
      </c>
      <c r="B849" s="165">
        <f>80.5/5</f>
        <v>16.100000000000001</v>
      </c>
      <c r="C849" s="173" t="s">
        <v>3428</v>
      </c>
      <c r="D849" s="183"/>
      <c r="E849" s="183"/>
      <c r="F849" s="188"/>
      <c r="G849" s="188"/>
      <c r="H849" s="183"/>
      <c r="I849" s="183"/>
      <c r="J849" s="188"/>
      <c r="K849" s="188"/>
      <c r="L849" s="9"/>
      <c r="M849" s="9"/>
      <c r="N849" s="183">
        <v>5</v>
      </c>
      <c r="O849" s="7">
        <v>2.5</v>
      </c>
      <c r="P849" s="9"/>
      <c r="Q849" s="9"/>
      <c r="R849"/>
      <c r="S849" s="229"/>
      <c r="T849" s="229"/>
      <c r="U849" s="238"/>
      <c r="V849" s="234"/>
      <c r="W849" s="20"/>
      <c r="X849" s="20"/>
      <c r="Y849" s="20"/>
      <c r="Z849" s="20"/>
      <c r="AA849" s="229"/>
      <c r="AB849" s="20"/>
      <c r="AC849" s="20"/>
      <c r="AD849" s="20"/>
      <c r="AE849" s="20"/>
      <c r="AF849" s="20"/>
      <c r="AG849" s="20"/>
      <c r="AH849" s="20"/>
      <c r="AI849" s="20"/>
      <c r="AJ849"/>
      <c r="AK849"/>
      <c r="AL849"/>
      <c r="AM849"/>
      <c r="AN849"/>
    </row>
    <row r="850" spans="1:40" ht="14.25" customHeight="1">
      <c r="A850" s="171" t="s">
        <v>3917</v>
      </c>
      <c r="B850" s="165">
        <f>50.9/5</f>
        <v>10.18</v>
      </c>
      <c r="C850" s="166" t="s">
        <v>3423</v>
      </c>
      <c r="N850" s="183">
        <v>5</v>
      </c>
      <c r="O850" s="7">
        <v>1.18</v>
      </c>
      <c r="R850"/>
      <c r="S850" s="229"/>
      <c r="T850" s="229"/>
      <c r="U850" s="238"/>
      <c r="V850" s="234"/>
      <c r="W850" s="20"/>
      <c r="X850" s="20"/>
      <c r="Y850" s="20"/>
      <c r="Z850" s="20"/>
      <c r="AA850" s="229"/>
      <c r="AB850" s="20"/>
      <c r="AC850" s="20"/>
      <c r="AD850" s="20"/>
      <c r="AE850" s="20"/>
      <c r="AF850" s="20"/>
      <c r="AG850" s="20"/>
      <c r="AH850" s="20"/>
      <c r="AI850" s="20"/>
      <c r="AJ850"/>
      <c r="AK850"/>
      <c r="AL850"/>
      <c r="AM850"/>
      <c r="AN850"/>
    </row>
    <row r="851" spans="1:40" s="4" customFormat="1" ht="14.25" customHeight="1">
      <c r="A851" s="148" t="s">
        <v>3274</v>
      </c>
      <c r="B851" s="9">
        <v>58.3</v>
      </c>
      <c r="C851" s="7" t="s">
        <v>5849</v>
      </c>
      <c r="D851" s="183"/>
      <c r="E851" s="183"/>
      <c r="F851" s="188"/>
      <c r="G851" s="188"/>
      <c r="H851" s="183"/>
      <c r="I851" s="183"/>
      <c r="J851" s="188"/>
      <c r="K851" s="188"/>
      <c r="L851" s="9"/>
      <c r="M851" s="9"/>
      <c r="N851" s="183">
        <v>10</v>
      </c>
      <c r="O851" s="7">
        <v>2.2000000000000002</v>
      </c>
      <c r="P851" s="9"/>
      <c r="Q851" s="9"/>
      <c r="R851" s="7"/>
      <c r="S851" s="126"/>
      <c r="T851" s="126"/>
      <c r="U851" s="237"/>
      <c r="V851" s="234"/>
      <c r="W851" s="20"/>
      <c r="X851" s="20"/>
      <c r="Y851" s="20"/>
      <c r="Z851" s="20"/>
      <c r="AA851" s="126"/>
      <c r="AB851" s="20"/>
      <c r="AC851" s="20"/>
      <c r="AD851" s="20"/>
      <c r="AE851" s="20"/>
      <c r="AF851" s="20"/>
      <c r="AG851" s="20"/>
      <c r="AH851" s="20"/>
      <c r="AI851" s="20"/>
      <c r="AJ851" s="7"/>
      <c r="AK851" s="7"/>
      <c r="AL851" s="7"/>
      <c r="AM851" s="7"/>
      <c r="AN851" s="7"/>
    </row>
    <row r="852" spans="1:40" ht="14.25" customHeight="1">
      <c r="A852" s="148" t="s">
        <v>3275</v>
      </c>
      <c r="B852" s="9">
        <v>98.2</v>
      </c>
      <c r="C852" s="7" t="s">
        <v>5850</v>
      </c>
      <c r="N852" s="183">
        <v>10</v>
      </c>
      <c r="O852" s="7">
        <v>3.3</v>
      </c>
      <c r="V852" s="234"/>
      <c r="W852" s="20"/>
      <c r="X852" s="20"/>
      <c r="Y852" s="20"/>
      <c r="Z852" s="20"/>
      <c r="AB852" s="20"/>
      <c r="AC852" s="20"/>
      <c r="AD852" s="20"/>
      <c r="AE852" s="20"/>
      <c r="AF852" s="20"/>
      <c r="AG852" s="20"/>
      <c r="AH852" s="20"/>
      <c r="AI852" s="20"/>
    </row>
    <row r="853" spans="1:40" ht="14.25" customHeight="1">
      <c r="A853" s="148" t="s">
        <v>3276</v>
      </c>
      <c r="B853" s="9">
        <v>50</v>
      </c>
      <c r="C853" s="7" t="s">
        <v>5851</v>
      </c>
      <c r="N853" s="183">
        <v>10</v>
      </c>
      <c r="O853" s="7">
        <v>2.5</v>
      </c>
      <c r="V853" s="234"/>
      <c r="W853" s="20"/>
      <c r="X853" s="20"/>
      <c r="Y853" s="20"/>
      <c r="Z853" s="20"/>
      <c r="AB853" s="20"/>
      <c r="AC853" s="20"/>
      <c r="AD853" s="20"/>
      <c r="AE853" s="20"/>
      <c r="AF853" s="20"/>
      <c r="AG853" s="20"/>
      <c r="AH853" s="20"/>
      <c r="AI853" s="20"/>
    </row>
    <row r="854" spans="1:40" ht="14.25" customHeight="1">
      <c r="A854" s="167" t="s">
        <v>3528</v>
      </c>
      <c r="B854" s="165">
        <f>16.2/3</f>
        <v>5.3999999999999995</v>
      </c>
      <c r="C854" s="166" t="s">
        <v>3543</v>
      </c>
      <c r="N854" s="183">
        <v>3</v>
      </c>
      <c r="O854" s="7">
        <v>0.4</v>
      </c>
      <c r="R854"/>
      <c r="S854" s="229"/>
      <c r="T854" s="229"/>
      <c r="U854" s="238"/>
      <c r="V854" s="234"/>
      <c r="W854" s="20"/>
      <c r="X854" s="20"/>
      <c r="Y854" s="20"/>
      <c r="Z854" s="20"/>
      <c r="AA854" s="229"/>
      <c r="AB854" s="20"/>
      <c r="AC854" s="20"/>
      <c r="AD854" s="20"/>
      <c r="AE854" s="20"/>
      <c r="AF854" s="20"/>
      <c r="AG854" s="20"/>
      <c r="AH854" s="20"/>
      <c r="AI854" s="20"/>
      <c r="AJ854"/>
      <c r="AK854"/>
      <c r="AL854"/>
      <c r="AM854"/>
      <c r="AN854"/>
    </row>
    <row r="855" spans="1:40" ht="14.25" customHeight="1">
      <c r="A855" s="171" t="s">
        <v>3912</v>
      </c>
      <c r="B855" s="191">
        <f>14.2/3</f>
        <v>4.7333333333333334</v>
      </c>
      <c r="C855" s="166" t="s">
        <v>3546</v>
      </c>
      <c r="N855" s="183">
        <v>3</v>
      </c>
      <c r="O855" s="7">
        <v>0.4</v>
      </c>
      <c r="R855"/>
      <c r="S855" s="229"/>
      <c r="T855" s="229"/>
      <c r="U855" s="238"/>
      <c r="V855" s="234"/>
      <c r="W855" s="20"/>
      <c r="X855" s="20"/>
      <c r="Y855" s="20"/>
      <c r="Z855" s="20"/>
      <c r="AA855" s="229"/>
      <c r="AB855" s="20"/>
      <c r="AC855" s="20"/>
      <c r="AD855" s="20"/>
      <c r="AE855" s="20"/>
      <c r="AF855" s="20"/>
      <c r="AG855" s="20"/>
      <c r="AH855" s="20"/>
      <c r="AI855" s="20"/>
      <c r="AJ855"/>
      <c r="AK855"/>
      <c r="AL855"/>
      <c r="AM855"/>
      <c r="AN855"/>
    </row>
    <row r="856" spans="1:40" ht="14.25" customHeight="1">
      <c r="A856" s="171" t="s">
        <v>3913</v>
      </c>
      <c r="B856" s="191">
        <f>14.6/3</f>
        <v>4.8666666666666663</v>
      </c>
      <c r="C856" s="166" t="s">
        <v>3544</v>
      </c>
      <c r="N856" s="183">
        <v>3</v>
      </c>
      <c r="O856" s="7">
        <v>0.4</v>
      </c>
      <c r="R856"/>
      <c r="S856" s="229"/>
      <c r="T856" s="229"/>
      <c r="U856" s="238"/>
      <c r="V856" s="234"/>
      <c r="W856" s="20"/>
      <c r="X856" s="20"/>
      <c r="Y856" s="20"/>
      <c r="Z856" s="20"/>
      <c r="AA856" s="229"/>
      <c r="AB856" s="20"/>
      <c r="AC856" s="20"/>
      <c r="AD856" s="20"/>
      <c r="AE856" s="20"/>
      <c r="AF856" s="20"/>
      <c r="AG856" s="20"/>
      <c r="AH856" s="20"/>
      <c r="AI856" s="20"/>
      <c r="AJ856"/>
      <c r="AK856"/>
      <c r="AL856"/>
      <c r="AM856"/>
      <c r="AN856"/>
    </row>
    <row r="857" spans="1:40" ht="14.25" customHeight="1">
      <c r="A857" s="171" t="s">
        <v>3914</v>
      </c>
      <c r="B857" s="191">
        <f>15.5/3</f>
        <v>5.166666666666667</v>
      </c>
      <c r="C857" s="166" t="s">
        <v>3545</v>
      </c>
      <c r="N857" s="183">
        <v>3</v>
      </c>
      <c r="O857" s="7">
        <v>0.4</v>
      </c>
      <c r="R857"/>
      <c r="S857" s="229"/>
      <c r="T857" s="229"/>
      <c r="U857" s="238"/>
      <c r="V857" s="234"/>
      <c r="W857" s="20"/>
      <c r="X857" s="20"/>
      <c r="Y857" s="20"/>
      <c r="Z857" s="20"/>
      <c r="AA857" s="229"/>
      <c r="AB857" s="20"/>
      <c r="AC857" s="20"/>
      <c r="AD857" s="20"/>
      <c r="AE857" s="20"/>
      <c r="AF857" s="20"/>
      <c r="AG857" s="20"/>
      <c r="AH857" s="20"/>
      <c r="AI857" s="20"/>
      <c r="AJ857"/>
      <c r="AK857"/>
      <c r="AL857"/>
      <c r="AM857"/>
      <c r="AN857"/>
    </row>
    <row r="858" spans="1:40" ht="14.25" customHeight="1">
      <c r="A858" s="167" t="s">
        <v>3529</v>
      </c>
      <c r="B858" s="191">
        <f>20.7/3</f>
        <v>6.8999999999999995</v>
      </c>
      <c r="C858" s="166" t="s">
        <v>5852</v>
      </c>
      <c r="N858" s="183">
        <v>3</v>
      </c>
      <c r="O858" s="7">
        <v>1.5</v>
      </c>
      <c r="R858"/>
      <c r="S858" s="229"/>
      <c r="T858" s="229"/>
      <c r="U858" s="238"/>
      <c r="V858" s="234"/>
      <c r="W858" s="20"/>
      <c r="X858" s="20"/>
      <c r="Y858" s="20"/>
      <c r="Z858" s="20"/>
      <c r="AA858" s="229"/>
      <c r="AB858" s="20"/>
      <c r="AC858" s="20"/>
      <c r="AD858" s="20"/>
      <c r="AE858" s="20"/>
      <c r="AF858" s="20"/>
      <c r="AG858" s="20"/>
      <c r="AH858" s="20"/>
      <c r="AI858" s="20"/>
      <c r="AJ858"/>
      <c r="AK858"/>
      <c r="AL858"/>
      <c r="AM858"/>
      <c r="AN858"/>
    </row>
    <row r="859" spans="1:40" ht="14.25" customHeight="1">
      <c r="A859" s="167" t="s">
        <v>3530</v>
      </c>
      <c r="B859" s="191">
        <f>24.9/3</f>
        <v>8.2999999999999989</v>
      </c>
      <c r="C859" s="166" t="s">
        <v>3441</v>
      </c>
      <c r="N859" s="183">
        <v>3</v>
      </c>
      <c r="O859" s="7">
        <v>1.8</v>
      </c>
      <c r="R859"/>
      <c r="S859" s="229"/>
      <c r="T859" s="229"/>
      <c r="U859" s="238"/>
      <c r="V859" s="234"/>
      <c r="W859" s="20"/>
      <c r="X859" s="20"/>
      <c r="Y859" s="20"/>
      <c r="Z859" s="20"/>
      <c r="AA859" s="229"/>
      <c r="AB859" s="20"/>
      <c r="AC859" s="20"/>
      <c r="AD859" s="20"/>
      <c r="AE859" s="20"/>
      <c r="AF859" s="20"/>
      <c r="AG859" s="20"/>
      <c r="AH859" s="20"/>
      <c r="AI859" s="20"/>
      <c r="AJ859"/>
      <c r="AK859"/>
      <c r="AL859"/>
      <c r="AM859"/>
      <c r="AN859"/>
    </row>
    <row r="860" spans="1:40" ht="14.25" customHeight="1">
      <c r="A860" s="167" t="s">
        <v>3547</v>
      </c>
      <c r="B860" s="191">
        <v>36.299999999999997</v>
      </c>
      <c r="C860" s="166" t="s">
        <v>3853</v>
      </c>
      <c r="N860" s="183">
        <v>3</v>
      </c>
      <c r="O860" s="7">
        <v>0.9</v>
      </c>
      <c r="R860"/>
      <c r="S860" s="229"/>
      <c r="T860" s="229"/>
      <c r="U860" s="238"/>
      <c r="V860" s="234"/>
      <c r="W860" s="20"/>
      <c r="X860" s="20"/>
      <c r="Y860" s="20"/>
      <c r="Z860" s="20"/>
      <c r="AA860" s="229"/>
      <c r="AB860" s="20"/>
      <c r="AC860" s="20"/>
      <c r="AD860" s="20"/>
      <c r="AE860" s="20"/>
      <c r="AF860" s="20"/>
      <c r="AG860" s="20"/>
      <c r="AH860" s="20"/>
      <c r="AI860" s="20"/>
      <c r="AJ860"/>
      <c r="AK860"/>
      <c r="AL860"/>
      <c r="AM860"/>
      <c r="AN860"/>
    </row>
    <row r="861" spans="1:40" ht="14.25" customHeight="1">
      <c r="A861" s="167" t="s">
        <v>3548</v>
      </c>
      <c r="B861" s="191">
        <f>66.7/5</f>
        <v>13.34</v>
      </c>
      <c r="C861" s="166" t="s">
        <v>3904</v>
      </c>
      <c r="N861" s="183">
        <v>5</v>
      </c>
      <c r="O861" s="7">
        <v>2</v>
      </c>
      <c r="R861"/>
      <c r="S861" s="229"/>
      <c r="T861" s="229"/>
      <c r="U861" s="238"/>
      <c r="V861" s="234"/>
      <c r="W861" s="20"/>
      <c r="X861" s="20"/>
      <c r="Y861" s="20"/>
      <c r="Z861" s="20"/>
      <c r="AA861" s="229"/>
      <c r="AB861" s="20"/>
      <c r="AC861" s="20"/>
      <c r="AD861" s="20"/>
      <c r="AE861" s="20"/>
      <c r="AF861" s="20"/>
      <c r="AG861" s="20"/>
      <c r="AH861" s="20"/>
      <c r="AI861" s="20"/>
      <c r="AJ861"/>
      <c r="AK861"/>
      <c r="AL861"/>
      <c r="AM861"/>
      <c r="AN861"/>
    </row>
    <row r="862" spans="1:40" ht="14.25" customHeight="1">
      <c r="A862" s="167" t="s">
        <v>3549</v>
      </c>
      <c r="B862" s="191">
        <f>53.6/3</f>
        <v>17.866666666666667</v>
      </c>
      <c r="C862" s="166" t="s">
        <v>3903</v>
      </c>
      <c r="N862" s="183">
        <v>3</v>
      </c>
      <c r="O862" s="7">
        <v>2.2000000000000002</v>
      </c>
      <c r="R862"/>
      <c r="S862" s="229"/>
      <c r="T862" s="229"/>
      <c r="U862" s="238"/>
      <c r="V862" s="234"/>
      <c r="W862" s="20"/>
      <c r="X862" s="20"/>
      <c r="Y862" s="20"/>
      <c r="Z862" s="20"/>
      <c r="AA862" s="229"/>
      <c r="AB862" s="20"/>
      <c r="AC862" s="20"/>
      <c r="AD862" s="20"/>
      <c r="AE862" s="20"/>
      <c r="AF862" s="20"/>
      <c r="AG862" s="20"/>
      <c r="AH862" s="20"/>
      <c r="AI862" s="20"/>
      <c r="AJ862"/>
      <c r="AK862"/>
      <c r="AL862"/>
      <c r="AM862"/>
      <c r="AN862"/>
    </row>
    <row r="863" spans="1:40" ht="14.25" customHeight="1">
      <c r="A863" s="167" t="s">
        <v>3550</v>
      </c>
      <c r="B863" s="191">
        <v>37.200000000000003</v>
      </c>
      <c r="C863" s="166" t="s">
        <v>3854</v>
      </c>
      <c r="N863" s="183">
        <v>3</v>
      </c>
      <c r="O863" s="7">
        <v>1.98</v>
      </c>
      <c r="R863"/>
      <c r="S863" s="229"/>
      <c r="T863" s="229"/>
      <c r="U863" s="238"/>
      <c r="V863" s="234"/>
      <c r="W863" s="20"/>
      <c r="X863" s="20"/>
      <c r="Y863" s="20"/>
      <c r="Z863" s="20"/>
      <c r="AA863" s="229"/>
      <c r="AB863" s="20"/>
      <c r="AC863" s="20"/>
      <c r="AD863" s="20"/>
      <c r="AE863" s="20"/>
      <c r="AF863" s="20"/>
      <c r="AG863" s="20"/>
      <c r="AH863" s="20"/>
      <c r="AI863" s="20"/>
      <c r="AJ863"/>
      <c r="AK863"/>
      <c r="AL863"/>
      <c r="AM863"/>
      <c r="AN863"/>
    </row>
    <row r="864" spans="1:40" ht="14.25" customHeight="1">
      <c r="A864" s="167" t="s">
        <v>3512</v>
      </c>
      <c r="B864" s="191">
        <f>6.7/3</f>
        <v>2.2333333333333334</v>
      </c>
      <c r="C864" s="169" t="s">
        <v>3919</v>
      </c>
      <c r="N864" s="183">
        <v>3</v>
      </c>
      <c r="O864" s="7">
        <v>1.4</v>
      </c>
      <c r="R864"/>
      <c r="S864" s="229"/>
      <c r="T864" s="229"/>
      <c r="U864" s="238"/>
      <c r="V864" s="234"/>
      <c r="W864" s="20"/>
      <c r="X864" s="20"/>
      <c r="Y864" s="20"/>
      <c r="Z864" s="20"/>
      <c r="AA864" s="229"/>
      <c r="AB864" s="20"/>
      <c r="AC864" s="20"/>
      <c r="AD864" s="20"/>
      <c r="AE864" s="20"/>
      <c r="AF864" s="20"/>
      <c r="AG864" s="20"/>
      <c r="AH864" s="20"/>
      <c r="AI864" s="20"/>
      <c r="AJ864" s="169" t="s">
        <v>3919</v>
      </c>
      <c r="AK864"/>
      <c r="AL864"/>
      <c r="AM864"/>
      <c r="AN864"/>
    </row>
    <row r="865" spans="1:40" ht="14.25" customHeight="1">
      <c r="A865" s="167" t="s">
        <v>3513</v>
      </c>
      <c r="B865" s="191">
        <f>6.7/3</f>
        <v>2.2333333333333334</v>
      </c>
      <c r="C865" s="169" t="s">
        <v>3920</v>
      </c>
      <c r="N865" s="183">
        <v>3</v>
      </c>
      <c r="O865" s="7">
        <v>1.4</v>
      </c>
      <c r="R865"/>
      <c r="S865" s="229"/>
      <c r="T865" s="229"/>
      <c r="U865" s="238"/>
      <c r="V865" s="234"/>
      <c r="W865" s="20"/>
      <c r="X865" s="20"/>
      <c r="Y865" s="20"/>
      <c r="Z865" s="20"/>
      <c r="AA865" s="229"/>
      <c r="AB865" s="20"/>
      <c r="AC865" s="20"/>
      <c r="AD865" s="20"/>
      <c r="AE865" s="20"/>
      <c r="AF865" s="20"/>
      <c r="AG865" s="20"/>
      <c r="AH865" s="20"/>
      <c r="AI865" s="20"/>
      <c r="AJ865"/>
      <c r="AK865"/>
      <c r="AL865"/>
      <c r="AM865"/>
      <c r="AN865"/>
    </row>
    <row r="866" spans="1:40" ht="14.25" customHeight="1">
      <c r="A866" s="167" t="s">
        <v>3514</v>
      </c>
      <c r="B866" s="165">
        <f>21.6/3</f>
        <v>7.2</v>
      </c>
      <c r="C866" s="169" t="s">
        <v>3921</v>
      </c>
      <c r="N866" s="183">
        <v>3</v>
      </c>
      <c r="O866" s="7">
        <v>0.7</v>
      </c>
      <c r="R866"/>
      <c r="S866" s="229"/>
      <c r="T866" s="229"/>
      <c r="U866" s="238"/>
      <c r="V866" s="234"/>
      <c r="W866" s="20"/>
      <c r="X866" s="20"/>
      <c r="Y866" s="20"/>
      <c r="Z866" s="20"/>
      <c r="AA866" s="229"/>
      <c r="AB866" s="20"/>
      <c r="AC866" s="20"/>
      <c r="AD866" s="20"/>
      <c r="AE866" s="20"/>
      <c r="AF866" s="20"/>
      <c r="AG866" s="20"/>
      <c r="AH866" s="20"/>
      <c r="AI866" s="20"/>
      <c r="AJ866" s="169" t="s">
        <v>3921</v>
      </c>
      <c r="AK866"/>
      <c r="AL866"/>
      <c r="AM866"/>
      <c r="AN866"/>
    </row>
    <row r="867" spans="1:40" ht="14.25" customHeight="1">
      <c r="A867" s="167" t="s">
        <v>3515</v>
      </c>
      <c r="B867" s="165">
        <f>21.6/3</f>
        <v>7.2</v>
      </c>
      <c r="C867" s="169" t="s">
        <v>3922</v>
      </c>
      <c r="N867" s="183">
        <v>3</v>
      </c>
      <c r="O867" s="7">
        <v>0.7</v>
      </c>
      <c r="R867"/>
      <c r="S867" s="229"/>
      <c r="T867" s="229"/>
      <c r="U867" s="238"/>
      <c r="V867" s="234"/>
      <c r="W867" s="20"/>
      <c r="X867" s="20"/>
      <c r="Y867" s="20"/>
      <c r="Z867" s="20"/>
      <c r="AA867" s="229"/>
      <c r="AB867" s="20"/>
      <c r="AC867" s="20"/>
      <c r="AD867" s="20"/>
      <c r="AE867" s="20"/>
      <c r="AF867" s="20"/>
      <c r="AG867" s="20"/>
      <c r="AH867" s="20"/>
      <c r="AI867" s="20"/>
      <c r="AJ867"/>
      <c r="AK867"/>
      <c r="AL867"/>
      <c r="AM867"/>
      <c r="AN867"/>
    </row>
    <row r="868" spans="1:40" ht="14.25" customHeight="1">
      <c r="A868" s="167" t="s">
        <v>3516</v>
      </c>
      <c r="B868" s="165">
        <f>18.6/3</f>
        <v>6.2</v>
      </c>
      <c r="C868" s="166" t="s">
        <v>3923</v>
      </c>
      <c r="N868" s="183">
        <v>3</v>
      </c>
      <c r="O868" s="7">
        <v>0.3</v>
      </c>
      <c r="R868"/>
      <c r="S868" s="229"/>
      <c r="T868" s="229"/>
      <c r="U868" s="238"/>
      <c r="V868" s="234"/>
      <c r="W868" s="20"/>
      <c r="X868" s="20"/>
      <c r="Y868" s="20"/>
      <c r="Z868" s="20"/>
      <c r="AA868" s="229"/>
      <c r="AB868" s="20"/>
      <c r="AC868" s="20"/>
      <c r="AD868" s="20"/>
      <c r="AE868" s="20"/>
      <c r="AF868" s="20"/>
      <c r="AG868" s="20"/>
      <c r="AH868" s="20"/>
      <c r="AI868" s="20"/>
      <c r="AJ868"/>
      <c r="AK868"/>
      <c r="AL868"/>
      <c r="AM868"/>
      <c r="AN868"/>
    </row>
    <row r="869" spans="1:40" ht="14.25" customHeight="1">
      <c r="A869" s="167" t="s">
        <v>3517</v>
      </c>
      <c r="B869" s="165">
        <v>5.4</v>
      </c>
      <c r="C869" s="166" t="s">
        <v>3924</v>
      </c>
      <c r="N869" s="183">
        <v>3</v>
      </c>
      <c r="O869" s="7">
        <v>0.21</v>
      </c>
      <c r="R869"/>
      <c r="S869" s="229"/>
      <c r="T869" s="229"/>
      <c r="U869" s="238"/>
      <c r="V869" s="234"/>
      <c r="W869" s="20"/>
      <c r="X869" s="20"/>
      <c r="Y869" s="20"/>
      <c r="Z869" s="20"/>
      <c r="AA869" s="229"/>
      <c r="AB869" s="20"/>
      <c r="AC869" s="20"/>
      <c r="AD869" s="20"/>
      <c r="AE869" s="20"/>
      <c r="AF869" s="20"/>
      <c r="AG869" s="20"/>
      <c r="AH869" s="20"/>
      <c r="AI869" s="20"/>
      <c r="AJ869"/>
      <c r="AK869"/>
      <c r="AL869"/>
      <c r="AM869"/>
      <c r="AN869"/>
    </row>
    <row r="870" spans="1:40" ht="14.25" customHeight="1">
      <c r="A870" s="167" t="s">
        <v>3518</v>
      </c>
      <c r="B870" s="165">
        <v>16.2</v>
      </c>
      <c r="C870" s="169" t="s">
        <v>3925</v>
      </c>
      <c r="N870" s="183">
        <v>3</v>
      </c>
      <c r="O870" s="7">
        <v>3</v>
      </c>
      <c r="R870"/>
      <c r="S870" s="229"/>
      <c r="T870" s="229"/>
      <c r="U870" s="238"/>
      <c r="V870" s="234"/>
      <c r="W870" s="20"/>
      <c r="X870" s="20"/>
      <c r="Y870" s="20"/>
      <c r="Z870" s="20"/>
      <c r="AA870" s="229"/>
      <c r="AB870" s="20"/>
      <c r="AC870" s="20"/>
      <c r="AD870" s="20"/>
      <c r="AE870" s="20"/>
      <c r="AF870" s="20"/>
      <c r="AG870" s="20"/>
      <c r="AH870" s="20"/>
      <c r="AI870" s="20"/>
      <c r="AJ870" s="169" t="s">
        <v>3925</v>
      </c>
      <c r="AK870"/>
      <c r="AL870"/>
      <c r="AM870"/>
      <c r="AN870"/>
    </row>
    <row r="871" spans="1:40" ht="14.25" customHeight="1">
      <c r="A871" s="167" t="s">
        <v>3519</v>
      </c>
      <c r="B871" s="165">
        <v>16.2</v>
      </c>
      <c r="C871" s="169" t="s">
        <v>3926</v>
      </c>
      <c r="N871" s="183">
        <v>3</v>
      </c>
      <c r="O871" s="7">
        <v>3</v>
      </c>
      <c r="R871"/>
      <c r="S871" s="229"/>
      <c r="T871" s="229"/>
      <c r="U871" s="238"/>
      <c r="V871" s="234"/>
      <c r="W871" s="20"/>
      <c r="X871" s="20"/>
      <c r="Y871" s="20"/>
      <c r="Z871" s="20"/>
      <c r="AA871" s="229"/>
      <c r="AB871" s="20"/>
      <c r="AC871" s="20"/>
      <c r="AD871" s="20"/>
      <c r="AE871" s="20"/>
      <c r="AF871" s="20"/>
      <c r="AG871" s="20"/>
      <c r="AH871" s="20"/>
      <c r="AI871" s="20"/>
      <c r="AJ871"/>
      <c r="AK871"/>
      <c r="AL871"/>
      <c r="AM871"/>
      <c r="AN871"/>
    </row>
    <row r="872" spans="1:40" ht="14.25" customHeight="1">
      <c r="A872" s="167" t="s">
        <v>3520</v>
      </c>
      <c r="B872" s="165">
        <v>11.1</v>
      </c>
      <c r="C872" s="169" t="s">
        <v>3928</v>
      </c>
      <c r="N872" s="183">
        <v>3</v>
      </c>
      <c r="O872" s="7">
        <v>1.5</v>
      </c>
      <c r="R872"/>
      <c r="S872" s="229"/>
      <c r="T872" s="229"/>
      <c r="U872" s="238"/>
      <c r="V872" s="234"/>
      <c r="W872" s="20"/>
      <c r="X872" s="20"/>
      <c r="Y872" s="20"/>
      <c r="Z872" s="20"/>
      <c r="AA872" s="229"/>
      <c r="AB872" s="20"/>
      <c r="AC872" s="20"/>
      <c r="AD872" s="20"/>
      <c r="AE872" s="20"/>
      <c r="AF872" s="20"/>
      <c r="AG872" s="20"/>
      <c r="AH872" s="20"/>
      <c r="AI872" s="20"/>
      <c r="AJ872" s="169" t="s">
        <v>3928</v>
      </c>
      <c r="AK872"/>
      <c r="AL872"/>
      <c r="AM872"/>
      <c r="AN872"/>
    </row>
    <row r="873" spans="1:40" ht="14.25" customHeight="1">
      <c r="A873" s="167" t="s">
        <v>3521</v>
      </c>
      <c r="B873" s="165">
        <v>11</v>
      </c>
      <c r="C873" s="169" t="s">
        <v>3929</v>
      </c>
      <c r="N873" s="183">
        <v>3</v>
      </c>
      <c r="O873" s="7">
        <v>1.5</v>
      </c>
      <c r="R873"/>
      <c r="S873" s="229"/>
      <c r="T873" s="229"/>
      <c r="U873" s="238"/>
      <c r="V873" s="234"/>
      <c r="W873" s="20"/>
      <c r="X873" s="20"/>
      <c r="Y873" s="20"/>
      <c r="Z873" s="20"/>
      <c r="AA873" s="229"/>
      <c r="AB873" s="20"/>
      <c r="AC873" s="20"/>
      <c r="AD873" s="20"/>
      <c r="AE873" s="20"/>
      <c r="AF873" s="20"/>
      <c r="AG873" s="20"/>
      <c r="AH873" s="20"/>
      <c r="AI873" s="20"/>
      <c r="AJ873"/>
      <c r="AK873"/>
      <c r="AL873"/>
      <c r="AM873"/>
      <c r="AN873"/>
    </row>
    <row r="874" spans="1:40" s="4" customFormat="1" ht="14.25" customHeight="1">
      <c r="A874" s="167" t="s">
        <v>3522</v>
      </c>
      <c r="B874" s="165">
        <v>10.199999999999999</v>
      </c>
      <c r="C874" s="169" t="s">
        <v>3930</v>
      </c>
      <c r="D874" s="183"/>
      <c r="E874" s="183"/>
      <c r="F874" s="188"/>
      <c r="G874" s="188"/>
      <c r="H874" s="183"/>
      <c r="I874" s="183"/>
      <c r="J874" s="188"/>
      <c r="K874" s="188"/>
      <c r="L874" s="9"/>
      <c r="M874" s="9"/>
      <c r="N874" s="183">
        <v>3</v>
      </c>
      <c r="O874" s="7">
        <v>3.3</v>
      </c>
      <c r="P874" s="9"/>
      <c r="Q874" s="9"/>
      <c r="R874"/>
      <c r="S874" s="229"/>
      <c r="T874" s="229"/>
      <c r="U874" s="238"/>
      <c r="V874" s="234"/>
      <c r="W874" s="20"/>
      <c r="X874" s="20"/>
      <c r="Y874" s="20"/>
      <c r="Z874" s="20"/>
      <c r="AA874" s="229"/>
      <c r="AB874" s="20"/>
      <c r="AC874" s="20"/>
      <c r="AD874" s="20"/>
      <c r="AE874" s="20"/>
      <c r="AF874" s="20"/>
      <c r="AG874" s="20"/>
      <c r="AH874" s="20"/>
      <c r="AI874" s="20"/>
      <c r="AJ874" s="169" t="s">
        <v>3930</v>
      </c>
      <c r="AK874"/>
      <c r="AL874"/>
      <c r="AM874"/>
      <c r="AN874"/>
    </row>
    <row r="875" spans="1:40" ht="14.25" customHeight="1">
      <c r="A875" s="167" t="s">
        <v>3523</v>
      </c>
      <c r="B875" s="165">
        <v>10.199999999999999</v>
      </c>
      <c r="C875" s="169" t="s">
        <v>3931</v>
      </c>
      <c r="N875" s="183">
        <v>3</v>
      </c>
      <c r="O875" s="7">
        <v>3.3</v>
      </c>
      <c r="R875"/>
      <c r="S875" s="229"/>
      <c r="T875" s="229"/>
      <c r="U875" s="238"/>
      <c r="V875" s="234"/>
      <c r="W875" s="20"/>
      <c r="X875" s="20"/>
      <c r="Y875" s="20"/>
      <c r="Z875" s="20"/>
      <c r="AA875" s="229"/>
      <c r="AB875" s="20"/>
      <c r="AC875" s="20"/>
      <c r="AD875" s="20"/>
      <c r="AE875" s="20"/>
      <c r="AF875" s="20"/>
      <c r="AG875" s="20"/>
      <c r="AH875" s="20"/>
      <c r="AI875" s="20"/>
      <c r="AJ875"/>
      <c r="AK875"/>
      <c r="AL875"/>
      <c r="AM875"/>
      <c r="AN875"/>
    </row>
    <row r="876" spans="1:40" ht="14.25" customHeight="1">
      <c r="A876" s="167" t="s">
        <v>3524</v>
      </c>
      <c r="B876" s="165">
        <v>12.8</v>
      </c>
      <c r="C876" s="169" t="s">
        <v>3949</v>
      </c>
      <c r="N876" s="183">
        <v>3</v>
      </c>
      <c r="O876" s="7">
        <v>3.2</v>
      </c>
      <c r="R876"/>
      <c r="S876" s="229"/>
      <c r="T876" s="229"/>
      <c r="U876" s="238"/>
      <c r="V876" s="234"/>
      <c r="W876" s="20"/>
      <c r="X876" s="20"/>
      <c r="Y876" s="20"/>
      <c r="Z876" s="20"/>
      <c r="AA876" s="229"/>
      <c r="AB876" s="20"/>
      <c r="AC876" s="20"/>
      <c r="AD876" s="20"/>
      <c r="AE876" s="20"/>
      <c r="AF876" s="20"/>
      <c r="AG876" s="20"/>
      <c r="AH876" s="20"/>
      <c r="AI876" s="20"/>
      <c r="AJ876" s="169" t="s">
        <v>3949</v>
      </c>
      <c r="AK876"/>
      <c r="AL876"/>
      <c r="AM876"/>
      <c r="AN876"/>
    </row>
    <row r="877" spans="1:40" ht="14.25" customHeight="1">
      <c r="A877" s="167" t="s">
        <v>3525</v>
      </c>
      <c r="B877" s="165">
        <v>12.6</v>
      </c>
      <c r="C877" s="169" t="s">
        <v>3950</v>
      </c>
      <c r="N877" s="183">
        <v>3</v>
      </c>
      <c r="O877" s="7">
        <v>3.2</v>
      </c>
      <c r="R877"/>
      <c r="S877" s="229"/>
      <c r="T877" s="229"/>
      <c r="U877" s="238"/>
      <c r="V877" s="234"/>
      <c r="W877" s="20"/>
      <c r="X877" s="20"/>
      <c r="Y877" s="20"/>
      <c r="Z877" s="20"/>
      <c r="AA877" s="229"/>
      <c r="AB877" s="20"/>
      <c r="AC877" s="20"/>
      <c r="AD877" s="20"/>
      <c r="AE877" s="20"/>
      <c r="AF877" s="20"/>
      <c r="AG877" s="20"/>
      <c r="AH877" s="20"/>
      <c r="AI877" s="20"/>
      <c r="AJ877"/>
      <c r="AK877"/>
      <c r="AL877"/>
      <c r="AM877"/>
      <c r="AN877"/>
    </row>
    <row r="878" spans="1:40" ht="14.25" customHeight="1">
      <c r="A878" s="167" t="s">
        <v>3526</v>
      </c>
      <c r="B878" s="165">
        <v>7</v>
      </c>
      <c r="C878" s="169" t="s">
        <v>3933</v>
      </c>
      <c r="N878" s="183">
        <v>3</v>
      </c>
      <c r="O878" s="7">
        <v>3</v>
      </c>
      <c r="R878"/>
      <c r="S878" s="229"/>
      <c r="T878" s="229"/>
      <c r="U878" s="238"/>
      <c r="V878" s="234"/>
      <c r="W878" s="20"/>
      <c r="X878" s="20"/>
      <c r="Y878" s="20"/>
      <c r="Z878" s="20"/>
      <c r="AA878" s="229"/>
      <c r="AB878" s="20"/>
      <c r="AC878" s="20"/>
      <c r="AD878" s="20"/>
      <c r="AE878" s="20"/>
      <c r="AF878" s="20"/>
      <c r="AG878" s="20"/>
      <c r="AH878" s="20"/>
      <c r="AI878" s="20"/>
      <c r="AJ878" s="169" t="s">
        <v>3933</v>
      </c>
      <c r="AK878"/>
      <c r="AL878"/>
      <c r="AM878"/>
      <c r="AN878"/>
    </row>
    <row r="879" spans="1:40" ht="14.25" customHeight="1">
      <c r="A879" s="167" t="s">
        <v>3527</v>
      </c>
      <c r="B879" s="165">
        <v>6.6</v>
      </c>
      <c r="C879" s="169" t="s">
        <v>3934</v>
      </c>
      <c r="N879" s="183">
        <v>3</v>
      </c>
      <c r="O879" s="7">
        <v>3</v>
      </c>
      <c r="R879"/>
      <c r="S879" s="229"/>
      <c r="T879" s="229"/>
      <c r="U879" s="238"/>
      <c r="V879" s="234"/>
      <c r="W879" s="20"/>
      <c r="X879" s="20"/>
      <c r="Y879" s="20"/>
      <c r="Z879" s="20"/>
      <c r="AA879" s="229"/>
      <c r="AB879" s="20"/>
      <c r="AC879" s="20"/>
      <c r="AD879" s="20"/>
      <c r="AE879" s="20"/>
      <c r="AF879" s="20"/>
      <c r="AG879" s="20"/>
      <c r="AH879" s="20"/>
      <c r="AI879" s="20"/>
      <c r="AJ879"/>
      <c r="AK879"/>
      <c r="AL879"/>
      <c r="AM879"/>
      <c r="AN879"/>
    </row>
    <row r="880" spans="1:40" ht="14.25" customHeight="1">
      <c r="A880" s="167" t="s">
        <v>3935</v>
      </c>
      <c r="B880" s="165">
        <v>6.7</v>
      </c>
      <c r="C880" s="169" t="s">
        <v>3943</v>
      </c>
      <c r="N880" s="183">
        <v>3</v>
      </c>
      <c r="O880" s="7">
        <v>2.2000000000000002</v>
      </c>
      <c r="R880"/>
      <c r="S880" s="229"/>
      <c r="T880" s="229"/>
      <c r="U880" s="238"/>
      <c r="V880" s="234"/>
      <c r="W880" s="20"/>
      <c r="X880" s="20"/>
      <c r="Y880" s="20"/>
      <c r="Z880" s="20"/>
      <c r="AA880" s="229"/>
      <c r="AB880" s="20"/>
      <c r="AC880" s="20"/>
      <c r="AD880" s="20"/>
      <c r="AE880" s="20"/>
      <c r="AF880" s="20"/>
      <c r="AG880" s="20"/>
      <c r="AH880" s="20"/>
      <c r="AI880" s="20"/>
      <c r="AJ880" s="169" t="s">
        <v>3943</v>
      </c>
      <c r="AK880"/>
      <c r="AL880"/>
      <c r="AM880"/>
      <c r="AN880"/>
    </row>
    <row r="881" spans="1:40" ht="14.25" customHeight="1">
      <c r="A881" s="167" t="s">
        <v>3936</v>
      </c>
      <c r="B881" s="165">
        <v>6.6</v>
      </c>
      <c r="C881" s="169" t="s">
        <v>3944</v>
      </c>
      <c r="N881" s="183">
        <v>3</v>
      </c>
      <c r="O881" s="7">
        <v>2.2000000000000002</v>
      </c>
      <c r="R881"/>
      <c r="S881" s="229"/>
      <c r="T881" s="229"/>
      <c r="U881" s="238"/>
      <c r="V881" s="234"/>
      <c r="W881" s="20"/>
      <c r="X881" s="20"/>
      <c r="Y881" s="20"/>
      <c r="Z881" s="20"/>
      <c r="AA881" s="229"/>
      <c r="AB881" s="20"/>
      <c r="AC881" s="20"/>
      <c r="AD881" s="20"/>
      <c r="AE881" s="20"/>
      <c r="AF881" s="20"/>
      <c r="AG881" s="20"/>
      <c r="AH881" s="20"/>
      <c r="AI881" s="20"/>
      <c r="AJ881"/>
      <c r="AK881"/>
      <c r="AL881"/>
      <c r="AM881"/>
      <c r="AN881"/>
    </row>
    <row r="882" spans="1:40" ht="14.25" customHeight="1">
      <c r="A882" s="167" t="s">
        <v>3938</v>
      </c>
      <c r="B882" s="165">
        <v>8.8000000000000007</v>
      </c>
      <c r="C882" s="169" t="s">
        <v>3945</v>
      </c>
      <c r="N882" s="183">
        <v>3</v>
      </c>
      <c r="O882" s="7">
        <v>3.2</v>
      </c>
      <c r="R882"/>
      <c r="S882" s="229"/>
      <c r="T882" s="229"/>
      <c r="U882" s="238"/>
      <c r="V882" s="234"/>
      <c r="W882" s="20"/>
      <c r="X882" s="20"/>
      <c r="Y882" s="20"/>
      <c r="Z882" s="20"/>
      <c r="AA882" s="229"/>
      <c r="AB882" s="20"/>
      <c r="AC882" s="20"/>
      <c r="AD882" s="20"/>
      <c r="AE882" s="20"/>
      <c r="AF882" s="20"/>
      <c r="AG882" s="20"/>
      <c r="AH882" s="20"/>
      <c r="AI882" s="20"/>
      <c r="AJ882" s="169" t="s">
        <v>3945</v>
      </c>
      <c r="AK882"/>
      <c r="AL882"/>
      <c r="AM882"/>
      <c r="AN882"/>
    </row>
    <row r="883" spans="1:40" ht="14.25" customHeight="1">
      <c r="A883" s="167" t="s">
        <v>3939</v>
      </c>
      <c r="B883" s="165">
        <v>8.8000000000000007</v>
      </c>
      <c r="C883" s="169" t="s">
        <v>3946</v>
      </c>
      <c r="N883" s="183">
        <v>3</v>
      </c>
      <c r="O883" s="7">
        <v>3.2</v>
      </c>
      <c r="R883"/>
      <c r="S883" s="229"/>
      <c r="T883" s="229"/>
      <c r="U883" s="238"/>
      <c r="V883" s="234"/>
      <c r="W883" s="20"/>
      <c r="X883" s="20"/>
      <c r="Y883" s="20"/>
      <c r="Z883" s="20"/>
      <c r="AA883" s="229"/>
      <c r="AB883" s="20"/>
      <c r="AC883" s="20"/>
      <c r="AD883" s="20"/>
      <c r="AE883" s="20"/>
      <c r="AF883" s="20"/>
      <c r="AG883" s="20"/>
      <c r="AH883" s="20"/>
      <c r="AI883" s="20"/>
      <c r="AJ883"/>
      <c r="AK883"/>
      <c r="AL883"/>
      <c r="AM883"/>
      <c r="AN883"/>
    </row>
    <row r="884" spans="1:40" ht="14.25" customHeight="1">
      <c r="A884" s="167" t="s">
        <v>3940</v>
      </c>
      <c r="B884" s="165">
        <v>11.2</v>
      </c>
      <c r="C884" s="169" t="s">
        <v>3947</v>
      </c>
      <c r="N884" s="183">
        <v>3</v>
      </c>
      <c r="O884" s="7">
        <v>1.3</v>
      </c>
      <c r="R884"/>
      <c r="S884" s="229"/>
      <c r="T884" s="229"/>
      <c r="U884" s="238"/>
      <c r="V884" s="234"/>
      <c r="W884" s="20"/>
      <c r="X884" s="20"/>
      <c r="Y884" s="20"/>
      <c r="Z884" s="20"/>
      <c r="AA884" s="229"/>
      <c r="AB884" s="20"/>
      <c r="AC884" s="20"/>
      <c r="AD884" s="20"/>
      <c r="AE884" s="20"/>
      <c r="AF884" s="20"/>
      <c r="AG884" s="20"/>
      <c r="AH884" s="20"/>
      <c r="AI884" s="20"/>
      <c r="AJ884" s="169" t="s">
        <v>3947</v>
      </c>
      <c r="AK884"/>
      <c r="AL884"/>
      <c r="AM884"/>
      <c r="AN884"/>
    </row>
    <row r="885" spans="1:40" ht="14.25" customHeight="1">
      <c r="A885" s="167" t="s">
        <v>3941</v>
      </c>
      <c r="B885" s="165">
        <v>11.1</v>
      </c>
      <c r="C885" s="169" t="s">
        <v>3948</v>
      </c>
      <c r="N885" s="183">
        <v>3</v>
      </c>
      <c r="O885" s="7">
        <v>1.3</v>
      </c>
      <c r="R885"/>
      <c r="S885" s="229"/>
      <c r="T885" s="229"/>
      <c r="U885" s="238"/>
      <c r="V885" s="234"/>
      <c r="W885" s="20"/>
      <c r="X885" s="20"/>
      <c r="Y885" s="20"/>
      <c r="Z885" s="20"/>
      <c r="AA885" s="229"/>
      <c r="AB885" s="20"/>
      <c r="AC885" s="20"/>
      <c r="AD885" s="20"/>
      <c r="AE885" s="20"/>
      <c r="AF885" s="20"/>
      <c r="AG885" s="20"/>
      <c r="AH885" s="20"/>
      <c r="AI885" s="20"/>
      <c r="AJ885"/>
      <c r="AK885"/>
      <c r="AL885"/>
      <c r="AM885"/>
      <c r="AN885"/>
    </row>
    <row r="886" spans="1:40" ht="14.25" customHeight="1">
      <c r="A886" s="167" t="s">
        <v>3953</v>
      </c>
      <c r="B886" s="165">
        <v>7.7</v>
      </c>
      <c r="C886" s="169" t="s">
        <v>3951</v>
      </c>
      <c r="N886" s="183">
        <v>3</v>
      </c>
      <c r="O886" s="7">
        <v>0.65</v>
      </c>
      <c r="R886"/>
      <c r="S886" s="229"/>
      <c r="T886" s="229"/>
      <c r="U886" s="238"/>
      <c r="V886" s="234"/>
      <c r="W886" s="20"/>
      <c r="X886" s="20"/>
      <c r="Y886" s="20"/>
      <c r="Z886" s="20"/>
      <c r="AA886" s="229"/>
      <c r="AB886" s="20"/>
      <c r="AC886" s="20"/>
      <c r="AD886" s="20"/>
      <c r="AE886" s="20"/>
      <c r="AF886" s="20"/>
      <c r="AG886" s="20"/>
      <c r="AH886" s="20"/>
      <c r="AI886" s="20"/>
      <c r="AJ886" s="169" t="s">
        <v>3951</v>
      </c>
      <c r="AK886"/>
      <c r="AL886"/>
      <c r="AM886"/>
      <c r="AN886"/>
    </row>
    <row r="887" spans="1:40" ht="14.25" customHeight="1">
      <c r="A887" s="167" t="s">
        <v>3954</v>
      </c>
      <c r="B887" s="165">
        <v>7.5</v>
      </c>
      <c r="C887" s="169" t="s">
        <v>3952</v>
      </c>
      <c r="N887" s="183">
        <v>3</v>
      </c>
      <c r="O887" s="7">
        <v>0.65</v>
      </c>
      <c r="R887"/>
      <c r="S887" s="229"/>
      <c r="T887" s="229"/>
      <c r="U887" s="238"/>
      <c r="V887" s="234"/>
      <c r="W887" s="20"/>
      <c r="X887" s="20"/>
      <c r="Y887" s="20"/>
      <c r="Z887" s="20"/>
      <c r="AA887" s="229"/>
      <c r="AB887" s="20"/>
      <c r="AC887" s="20"/>
      <c r="AD887" s="20"/>
      <c r="AE887" s="20"/>
      <c r="AF887" s="20"/>
      <c r="AG887" s="20"/>
      <c r="AH887" s="20"/>
      <c r="AI887" s="20"/>
      <c r="AJ887"/>
      <c r="AK887"/>
      <c r="AL887"/>
      <c r="AM887"/>
      <c r="AN887"/>
    </row>
    <row r="888" spans="1:40" ht="14.25" customHeight="1">
      <c r="A888" s="167" t="s">
        <v>3955</v>
      </c>
      <c r="B888" s="165">
        <v>12.8</v>
      </c>
      <c r="C888" s="166" t="s">
        <v>3958</v>
      </c>
      <c r="N888" s="183">
        <v>3</v>
      </c>
      <c r="O888" s="7">
        <v>0.45</v>
      </c>
      <c r="R888"/>
      <c r="S888" s="229"/>
      <c r="T888" s="229"/>
      <c r="U888" s="238"/>
      <c r="V888" s="234"/>
      <c r="W888" s="20"/>
      <c r="X888" s="20"/>
      <c r="Y888" s="20"/>
      <c r="Z888" s="20"/>
      <c r="AA888" s="229"/>
      <c r="AB888" s="20"/>
      <c r="AC888" s="20"/>
      <c r="AD888" s="20"/>
      <c r="AE888" s="20"/>
      <c r="AF888" s="20"/>
      <c r="AG888" s="20"/>
      <c r="AH888" s="20"/>
      <c r="AI888" s="20"/>
      <c r="AJ888"/>
      <c r="AK888"/>
      <c r="AL888"/>
      <c r="AM888"/>
      <c r="AN888"/>
    </row>
    <row r="889" spans="1:40" ht="14.25" customHeight="1">
      <c r="A889" s="167" t="s">
        <v>3956</v>
      </c>
      <c r="B889" s="165">
        <v>14.2</v>
      </c>
      <c r="C889" s="166" t="s">
        <v>3959</v>
      </c>
      <c r="N889" s="183">
        <v>3</v>
      </c>
      <c r="O889" s="7">
        <v>0.36</v>
      </c>
      <c r="R889"/>
      <c r="S889" s="229"/>
      <c r="T889" s="229"/>
      <c r="U889" s="238"/>
      <c r="V889" s="234"/>
      <c r="W889" s="20"/>
      <c r="X889" s="20"/>
      <c r="Y889" s="20"/>
      <c r="Z889" s="20"/>
      <c r="AA889" s="229"/>
      <c r="AB889" s="20"/>
      <c r="AC889" s="20"/>
      <c r="AD889" s="20"/>
      <c r="AE889" s="20"/>
      <c r="AF889" s="20"/>
      <c r="AG889" s="20"/>
      <c r="AH889" s="20"/>
      <c r="AI889" s="20"/>
      <c r="AJ889"/>
      <c r="AK889"/>
      <c r="AL889"/>
      <c r="AM889"/>
      <c r="AN889"/>
    </row>
    <row r="890" spans="1:40" ht="14.25" customHeight="1">
      <c r="A890" s="167" t="s">
        <v>3957</v>
      </c>
      <c r="B890" s="165">
        <v>9.3000000000000007</v>
      </c>
      <c r="C890" s="166" t="s">
        <v>3960</v>
      </c>
      <c r="N890" s="183">
        <v>3</v>
      </c>
      <c r="O890" s="7">
        <v>0.23</v>
      </c>
      <c r="R890"/>
      <c r="S890" s="229"/>
      <c r="T890" s="229"/>
      <c r="U890" s="238"/>
      <c r="V890" s="234"/>
      <c r="W890" s="20"/>
      <c r="X890" s="20"/>
      <c r="Y890" s="20"/>
      <c r="Z890" s="20"/>
      <c r="AA890" s="229"/>
      <c r="AB890" s="20"/>
      <c r="AC890" s="20"/>
      <c r="AD890" s="20"/>
      <c r="AE890" s="20"/>
      <c r="AF890" s="20"/>
      <c r="AG890" s="20"/>
      <c r="AH890" s="20"/>
      <c r="AI890" s="20"/>
      <c r="AJ890"/>
      <c r="AK890"/>
      <c r="AL890"/>
      <c r="AM890"/>
      <c r="AN890"/>
    </row>
    <row r="891" spans="1:40" ht="14.25" customHeight="1">
      <c r="A891" s="167" t="s">
        <v>3539</v>
      </c>
      <c r="B891" s="191">
        <f>24.5/3</f>
        <v>8.1666666666666661</v>
      </c>
      <c r="C891" s="166" t="s">
        <v>3915</v>
      </c>
      <c r="N891" s="183">
        <v>3</v>
      </c>
      <c r="O891" s="7">
        <v>0.55000000000000004</v>
      </c>
      <c r="R891"/>
      <c r="S891" s="229"/>
      <c r="T891" s="229"/>
      <c r="U891" s="238"/>
      <c r="V891" s="234"/>
      <c r="W891" s="20"/>
      <c r="X891" s="20"/>
      <c r="Y891" s="20"/>
      <c r="Z891" s="20"/>
      <c r="AA891" s="229"/>
      <c r="AB891" s="20"/>
      <c r="AC891" s="20"/>
      <c r="AD891" s="20"/>
      <c r="AE891" s="20"/>
      <c r="AF891" s="20"/>
      <c r="AG891" s="20"/>
      <c r="AH891" s="20"/>
      <c r="AI891" s="20"/>
      <c r="AJ891"/>
      <c r="AK891"/>
      <c r="AL891"/>
      <c r="AM891"/>
      <c r="AN891"/>
    </row>
    <row r="892" spans="1:40" ht="14.25" customHeight="1">
      <c r="A892" s="167" t="s">
        <v>3540</v>
      </c>
      <c r="B892" s="191">
        <f>35.9/3</f>
        <v>11.966666666666667</v>
      </c>
      <c r="C892" s="166" t="s">
        <v>3849</v>
      </c>
      <c r="N892" s="183">
        <v>3</v>
      </c>
      <c r="O892" s="7">
        <v>0.8</v>
      </c>
      <c r="R892"/>
      <c r="S892" s="229"/>
      <c r="T892" s="229"/>
      <c r="U892" s="238"/>
      <c r="V892" s="234"/>
      <c r="W892" s="20"/>
      <c r="X892" s="20"/>
      <c r="Y892" s="20"/>
      <c r="Z892" s="20"/>
      <c r="AA892" s="229"/>
      <c r="AB892" s="20"/>
      <c r="AC892" s="20"/>
      <c r="AD892" s="20"/>
      <c r="AE892" s="20"/>
      <c r="AF892" s="20"/>
      <c r="AG892" s="20"/>
      <c r="AH892" s="20"/>
      <c r="AI892" s="20"/>
      <c r="AJ892"/>
      <c r="AK892"/>
      <c r="AL892"/>
      <c r="AM892"/>
      <c r="AN892"/>
    </row>
    <row r="893" spans="1:40" ht="14.25" customHeight="1">
      <c r="A893" s="167" t="s">
        <v>3541</v>
      </c>
      <c r="B893" s="191">
        <f>49.3/3</f>
        <v>16.433333333333334</v>
      </c>
      <c r="C893" s="166" t="s">
        <v>3850</v>
      </c>
      <c r="N893" s="183">
        <v>3</v>
      </c>
      <c r="O893" s="7">
        <v>1.6</v>
      </c>
      <c r="R893"/>
      <c r="S893" s="229"/>
      <c r="T893" s="229"/>
      <c r="U893" s="238"/>
      <c r="V893" s="234"/>
      <c r="W893" s="20"/>
      <c r="X893" s="20"/>
      <c r="Y893" s="20"/>
      <c r="Z893" s="20"/>
      <c r="AA893" s="229"/>
      <c r="AB893" s="20"/>
      <c r="AC893" s="20"/>
      <c r="AD893" s="20"/>
      <c r="AE893" s="20"/>
      <c r="AF893" s="20"/>
      <c r="AG893" s="20"/>
      <c r="AH893" s="20"/>
      <c r="AI893" s="20"/>
      <c r="AJ893"/>
      <c r="AK893"/>
      <c r="AL893"/>
      <c r="AM893"/>
      <c r="AN893"/>
    </row>
    <row r="894" spans="1:40" ht="14.25" customHeight="1">
      <c r="A894" s="167" t="s">
        <v>3542</v>
      </c>
      <c r="B894" s="165">
        <v>67.900000000000006</v>
      </c>
      <c r="C894" s="166" t="s">
        <v>3848</v>
      </c>
      <c r="N894" s="183">
        <v>3</v>
      </c>
      <c r="O894" s="7">
        <v>1.1000000000000001</v>
      </c>
      <c r="R894"/>
      <c r="S894" s="229"/>
      <c r="T894" s="229"/>
      <c r="U894" s="238"/>
      <c r="V894" s="234"/>
      <c r="W894" s="20"/>
      <c r="X894" s="20"/>
      <c r="Y894" s="20"/>
      <c r="Z894" s="20"/>
      <c r="AA894" s="229"/>
      <c r="AB894" s="20"/>
      <c r="AC894" s="20"/>
      <c r="AD894" s="20"/>
      <c r="AE894" s="20"/>
      <c r="AF894" s="20"/>
      <c r="AG894" s="20"/>
      <c r="AH894" s="20"/>
      <c r="AI894" s="20"/>
      <c r="AJ894"/>
      <c r="AK894"/>
      <c r="AL894"/>
      <c r="AM894"/>
      <c r="AN894"/>
    </row>
    <row r="895" spans="1:40" ht="14.25" customHeight="1">
      <c r="A895" s="167" t="s">
        <v>3553</v>
      </c>
      <c r="B895" s="165">
        <f>30.7/5</f>
        <v>6.14</v>
      </c>
      <c r="C895" s="166" t="s">
        <v>3445</v>
      </c>
      <c r="N895" s="183">
        <v>5</v>
      </c>
      <c r="O895" s="7">
        <v>0.8</v>
      </c>
      <c r="R895"/>
      <c r="S895" s="229"/>
      <c r="T895" s="229"/>
      <c r="U895" s="238"/>
      <c r="V895" s="234"/>
      <c r="W895" s="20"/>
      <c r="X895" s="20"/>
      <c r="Y895" s="20"/>
      <c r="Z895" s="20"/>
      <c r="AA895" s="229"/>
      <c r="AB895" s="20"/>
      <c r="AC895" s="20"/>
      <c r="AD895" s="20"/>
      <c r="AE895" s="20"/>
      <c r="AF895" s="20"/>
      <c r="AG895" s="20"/>
      <c r="AH895" s="20"/>
      <c r="AI895" s="20"/>
      <c r="AJ895"/>
      <c r="AK895"/>
      <c r="AL895"/>
      <c r="AM895"/>
      <c r="AN895"/>
    </row>
    <row r="896" spans="1:40" ht="14.25" customHeight="1">
      <c r="A896" s="167" t="s">
        <v>3554</v>
      </c>
      <c r="B896" s="165">
        <f>31.3/5</f>
        <v>6.26</v>
      </c>
      <c r="C896" s="166" t="s">
        <v>3446</v>
      </c>
      <c r="N896" s="183">
        <v>5</v>
      </c>
      <c r="O896" s="7">
        <v>0.45</v>
      </c>
      <c r="R896"/>
      <c r="S896" s="229"/>
      <c r="T896" s="229"/>
      <c r="U896" s="238"/>
      <c r="V896" s="234"/>
      <c r="W896" s="20"/>
      <c r="X896" s="20"/>
      <c r="Y896" s="20"/>
      <c r="Z896" s="20"/>
      <c r="AA896" s="229"/>
      <c r="AB896" s="20"/>
      <c r="AC896" s="20"/>
      <c r="AD896" s="20"/>
      <c r="AE896" s="20"/>
      <c r="AF896" s="20"/>
      <c r="AG896" s="20"/>
      <c r="AH896" s="20"/>
      <c r="AI896" s="20"/>
      <c r="AJ896"/>
      <c r="AK896"/>
      <c r="AL896"/>
      <c r="AM896"/>
      <c r="AN896"/>
    </row>
    <row r="897" spans="1:40" ht="14.25" customHeight="1">
      <c r="A897" s="167" t="s">
        <v>3555</v>
      </c>
      <c r="B897" s="165">
        <v>50.1</v>
      </c>
      <c r="C897" s="166" t="s">
        <v>3847</v>
      </c>
      <c r="N897" s="183">
        <v>3</v>
      </c>
      <c r="O897" s="7">
        <v>1.1000000000000001</v>
      </c>
      <c r="R897"/>
      <c r="S897" s="229"/>
      <c r="T897" s="229"/>
      <c r="U897" s="238"/>
      <c r="V897" s="234"/>
      <c r="W897" s="20"/>
      <c r="X897" s="20"/>
      <c r="Y897" s="20"/>
      <c r="Z897" s="20"/>
      <c r="AA897" s="229"/>
      <c r="AB897" s="20"/>
      <c r="AC897" s="20"/>
      <c r="AD897" s="20"/>
      <c r="AE897" s="20"/>
      <c r="AF897" s="20"/>
      <c r="AG897" s="20"/>
      <c r="AH897" s="20"/>
      <c r="AI897" s="20"/>
      <c r="AJ897"/>
      <c r="AK897"/>
      <c r="AL897"/>
      <c r="AM897"/>
      <c r="AN897"/>
    </row>
    <row r="898" spans="1:40" ht="14.25" customHeight="1">
      <c r="A898" s="167" t="s">
        <v>3556</v>
      </c>
      <c r="B898" s="165">
        <f>38.1/5</f>
        <v>7.62</v>
      </c>
      <c r="C898" s="166" t="s">
        <v>3454</v>
      </c>
      <c r="N898" s="183">
        <v>5</v>
      </c>
      <c r="O898" s="7">
        <v>0.5</v>
      </c>
      <c r="R898"/>
      <c r="S898" s="229"/>
      <c r="T898" s="229"/>
      <c r="U898" s="238"/>
      <c r="V898" s="234"/>
      <c r="W898" s="20"/>
      <c r="X898" s="20"/>
      <c r="Y898" s="20"/>
      <c r="Z898" s="20"/>
      <c r="AA898" s="229"/>
      <c r="AB898" s="20"/>
      <c r="AC898" s="20"/>
      <c r="AD898" s="20"/>
      <c r="AE898" s="20"/>
      <c r="AF898" s="20"/>
      <c r="AG898" s="20"/>
      <c r="AH898" s="20"/>
      <c r="AI898" s="20"/>
      <c r="AJ898"/>
      <c r="AK898"/>
      <c r="AL898"/>
      <c r="AM898"/>
      <c r="AN898"/>
    </row>
    <row r="899" spans="1:40" ht="14.25" customHeight="1">
      <c r="A899" s="167" t="s">
        <v>3557</v>
      </c>
      <c r="B899" s="165">
        <f>37.4/5</f>
        <v>7.4799999999999995</v>
      </c>
      <c r="C899" s="166" t="s">
        <v>3415</v>
      </c>
      <c r="N899" s="183">
        <v>5</v>
      </c>
      <c r="O899" s="7">
        <v>0.85</v>
      </c>
      <c r="R899"/>
      <c r="S899" s="229"/>
      <c r="T899" s="229"/>
      <c r="U899" s="238"/>
      <c r="V899" s="234"/>
      <c r="W899" s="20"/>
      <c r="X899" s="20"/>
      <c r="Y899" s="20"/>
      <c r="Z899" s="20"/>
      <c r="AA899" s="229"/>
      <c r="AB899" s="20"/>
      <c r="AC899" s="20"/>
      <c r="AD899" s="20"/>
      <c r="AE899" s="20"/>
      <c r="AF899" s="20"/>
      <c r="AG899" s="20"/>
      <c r="AH899" s="20"/>
      <c r="AI899" s="20"/>
      <c r="AJ899"/>
      <c r="AK899"/>
      <c r="AL899"/>
      <c r="AM899"/>
      <c r="AN899"/>
    </row>
    <row r="900" spans="1:40" ht="14.25" customHeight="1">
      <c r="A900" s="167" t="s">
        <v>3558</v>
      </c>
      <c r="B900" s="165">
        <f>34.8/5</f>
        <v>6.9599999999999991</v>
      </c>
      <c r="C900" s="166" t="s">
        <v>3414</v>
      </c>
      <c r="N900" s="183">
        <v>5</v>
      </c>
      <c r="O900" s="7">
        <v>0.46</v>
      </c>
      <c r="R900"/>
      <c r="S900" s="229"/>
      <c r="T900" s="229"/>
      <c r="U900" s="238"/>
      <c r="V900" s="234"/>
      <c r="W900" s="20"/>
      <c r="X900" s="20"/>
      <c r="Y900" s="20"/>
      <c r="Z900" s="20"/>
      <c r="AA900" s="229"/>
      <c r="AB900" s="20"/>
      <c r="AC900" s="20"/>
      <c r="AD900" s="20"/>
      <c r="AE900" s="20"/>
      <c r="AF900" s="20"/>
      <c r="AG900" s="20"/>
      <c r="AH900" s="20"/>
      <c r="AI900" s="20"/>
      <c r="AJ900"/>
      <c r="AK900"/>
      <c r="AL900"/>
      <c r="AM900"/>
      <c r="AN900"/>
    </row>
    <row r="901" spans="1:40" ht="14.25" customHeight="1">
      <c r="A901" s="167" t="s">
        <v>3559</v>
      </c>
      <c r="B901" s="165">
        <f>52.2/10</f>
        <v>5.2200000000000006</v>
      </c>
      <c r="C901" s="173" t="s">
        <v>3392</v>
      </c>
      <c r="N901" s="183">
        <v>10</v>
      </c>
      <c r="O901" s="7">
        <v>0.33</v>
      </c>
      <c r="R901"/>
      <c r="S901" s="229"/>
      <c r="T901" s="229"/>
      <c r="U901" s="238"/>
      <c r="V901" s="234"/>
      <c r="W901" s="20"/>
      <c r="X901" s="20"/>
      <c r="Y901" s="20"/>
      <c r="Z901" s="20"/>
      <c r="AA901" s="229"/>
      <c r="AB901" s="20"/>
      <c r="AC901" s="20"/>
      <c r="AD901" s="20"/>
      <c r="AE901" s="20"/>
      <c r="AF901" s="20"/>
      <c r="AG901" s="20"/>
      <c r="AH901" s="20"/>
      <c r="AI901" s="20"/>
      <c r="AJ901"/>
      <c r="AK901"/>
      <c r="AL901"/>
      <c r="AM901"/>
      <c r="AN901"/>
    </row>
    <row r="902" spans="1:40" ht="14.25" customHeight="1">
      <c r="A902" s="167" t="s">
        <v>3560</v>
      </c>
      <c r="B902" s="165">
        <f>31.2/5</f>
        <v>6.24</v>
      </c>
      <c r="C902" s="166" t="s">
        <v>3391</v>
      </c>
      <c r="N902" s="183">
        <v>5</v>
      </c>
      <c r="O902" s="7">
        <v>1</v>
      </c>
      <c r="R902"/>
      <c r="S902" s="229"/>
      <c r="T902" s="229"/>
      <c r="U902" s="238"/>
      <c r="V902" s="234"/>
      <c r="W902" s="20"/>
      <c r="X902" s="20"/>
      <c r="Y902" s="20"/>
      <c r="Z902" s="20"/>
      <c r="AA902" s="229"/>
      <c r="AB902" s="20"/>
      <c r="AC902" s="20"/>
      <c r="AD902" s="20"/>
      <c r="AE902" s="20"/>
      <c r="AF902" s="20"/>
      <c r="AG902" s="20"/>
      <c r="AH902" s="20"/>
      <c r="AI902" s="20"/>
      <c r="AJ902"/>
      <c r="AK902"/>
      <c r="AL902"/>
      <c r="AM902"/>
      <c r="AN902"/>
    </row>
    <row r="903" spans="1:40" ht="14.25" customHeight="1">
      <c r="A903" s="167" t="s">
        <v>3561</v>
      </c>
      <c r="B903" s="165">
        <f>29.1/5</f>
        <v>5.82</v>
      </c>
      <c r="C903" s="166" t="s">
        <v>3383</v>
      </c>
      <c r="N903" s="183">
        <v>5</v>
      </c>
      <c r="O903" s="7">
        <v>0.75</v>
      </c>
      <c r="R903"/>
      <c r="S903" s="229"/>
      <c r="T903" s="229"/>
      <c r="U903" s="238"/>
      <c r="V903" s="234"/>
      <c r="W903" s="20"/>
      <c r="X903" s="20"/>
      <c r="Y903" s="20"/>
      <c r="Z903" s="20"/>
      <c r="AA903" s="229"/>
      <c r="AB903" s="20"/>
      <c r="AC903" s="20"/>
      <c r="AD903" s="20"/>
      <c r="AE903" s="20"/>
      <c r="AF903" s="20"/>
      <c r="AG903" s="20"/>
      <c r="AH903" s="20"/>
      <c r="AI903" s="20"/>
      <c r="AJ903"/>
      <c r="AK903"/>
      <c r="AL903"/>
      <c r="AM903"/>
      <c r="AN903"/>
    </row>
    <row r="904" spans="1:40" ht="14.25" customHeight="1">
      <c r="A904" s="171" t="s">
        <v>3961</v>
      </c>
      <c r="B904" s="165">
        <f>157.3/5</f>
        <v>31.46</v>
      </c>
      <c r="C904" s="173" t="s">
        <v>3963</v>
      </c>
      <c r="N904" s="183">
        <v>5</v>
      </c>
      <c r="O904" s="7">
        <v>2.1</v>
      </c>
      <c r="R904"/>
      <c r="S904" s="229"/>
      <c r="T904" s="229"/>
      <c r="U904" s="238"/>
      <c r="V904" s="234"/>
      <c r="W904" s="20"/>
      <c r="X904" s="20"/>
      <c r="Y904" s="20"/>
      <c r="Z904" s="20"/>
      <c r="AA904" s="229"/>
      <c r="AB904" s="20"/>
      <c r="AC904" s="20"/>
      <c r="AD904" s="20"/>
      <c r="AE904" s="20"/>
      <c r="AF904" s="20"/>
      <c r="AG904" s="20"/>
      <c r="AH904" s="20"/>
      <c r="AI904" s="20"/>
      <c r="AJ904"/>
      <c r="AK904"/>
      <c r="AL904"/>
      <c r="AM904"/>
      <c r="AN904"/>
    </row>
    <row r="905" spans="1:40" ht="14.25" customHeight="1">
      <c r="A905" s="171" t="s">
        <v>3964</v>
      </c>
      <c r="B905" s="165">
        <f>91.5/3</f>
        <v>30.5</v>
      </c>
      <c r="C905" s="173" t="s">
        <v>3962</v>
      </c>
      <c r="N905" s="183">
        <v>3</v>
      </c>
      <c r="O905" s="7">
        <v>1.4</v>
      </c>
      <c r="R905"/>
      <c r="S905" s="229"/>
      <c r="T905" s="229"/>
      <c r="U905" s="238"/>
      <c r="V905" s="234"/>
      <c r="W905" s="20"/>
      <c r="X905" s="20"/>
      <c r="Y905" s="20"/>
      <c r="Z905" s="20"/>
      <c r="AA905" s="229"/>
      <c r="AB905" s="20"/>
      <c r="AC905" s="20"/>
      <c r="AD905" s="20"/>
      <c r="AE905" s="20"/>
      <c r="AF905" s="20"/>
      <c r="AG905" s="20"/>
      <c r="AH905" s="20"/>
      <c r="AI905" s="20"/>
      <c r="AJ905"/>
      <c r="AK905"/>
      <c r="AL905"/>
      <c r="AM905"/>
      <c r="AN905"/>
    </row>
    <row r="906" spans="1:40" ht="14.25" customHeight="1">
      <c r="A906" s="171" t="s">
        <v>3966</v>
      </c>
      <c r="B906" s="165">
        <f>172.1/5</f>
        <v>34.42</v>
      </c>
      <c r="C906" s="173" t="s">
        <v>3965</v>
      </c>
      <c r="N906" s="183">
        <v>5</v>
      </c>
      <c r="O906" s="7">
        <v>3.3</v>
      </c>
      <c r="R906"/>
      <c r="S906" s="229"/>
      <c r="T906" s="229"/>
      <c r="U906" s="238"/>
      <c r="AA906" s="229"/>
      <c r="AJ906"/>
      <c r="AK906"/>
      <c r="AL906"/>
      <c r="AM906"/>
      <c r="AN906"/>
    </row>
    <row r="907" spans="1:40" ht="14.25" customHeight="1">
      <c r="A907" s="171" t="s">
        <v>3968</v>
      </c>
      <c r="B907" s="165">
        <f>157/5</f>
        <v>31.4</v>
      </c>
      <c r="C907" s="173" t="s">
        <v>3967</v>
      </c>
      <c r="N907" s="183">
        <v>5</v>
      </c>
      <c r="O907" s="7">
        <v>2.2000000000000002</v>
      </c>
      <c r="R907"/>
      <c r="S907" s="229"/>
      <c r="T907" s="229"/>
      <c r="U907" s="238"/>
      <c r="AA907" s="229"/>
      <c r="AJ907"/>
      <c r="AK907"/>
      <c r="AL907"/>
      <c r="AM907"/>
      <c r="AN907"/>
    </row>
    <row r="908" spans="1:40" ht="14.25" customHeight="1">
      <c r="A908" s="171" t="s">
        <v>3970</v>
      </c>
      <c r="B908" s="191">
        <f>92.8/3</f>
        <v>30.933333333333334</v>
      </c>
      <c r="C908" s="173" t="s">
        <v>3969</v>
      </c>
      <c r="N908" s="183">
        <v>3</v>
      </c>
      <c r="O908" s="7">
        <v>1.38</v>
      </c>
      <c r="R908"/>
      <c r="S908" s="229"/>
      <c r="T908" s="229"/>
      <c r="U908" s="238"/>
      <c r="AA908" s="229"/>
      <c r="AJ908"/>
      <c r="AK908"/>
      <c r="AL908"/>
      <c r="AM908"/>
      <c r="AN908"/>
    </row>
    <row r="909" spans="1:40" ht="14.25" customHeight="1">
      <c r="A909" s="171" t="s">
        <v>3972</v>
      </c>
      <c r="B909" s="191">
        <f>151.8/5</f>
        <v>30.360000000000003</v>
      </c>
      <c r="C909" s="173" t="s">
        <v>3975</v>
      </c>
      <c r="N909" s="183">
        <v>5</v>
      </c>
      <c r="O909" s="7">
        <v>1.5</v>
      </c>
      <c r="R909"/>
      <c r="S909" s="229"/>
      <c r="T909" s="229"/>
      <c r="U909" s="238"/>
      <c r="AA909" s="229"/>
      <c r="AJ909"/>
      <c r="AK909"/>
      <c r="AL909"/>
      <c r="AM909"/>
      <c r="AN909"/>
    </row>
    <row r="910" spans="1:40" ht="14.25" customHeight="1">
      <c r="A910" s="171" t="s">
        <v>3977</v>
      </c>
      <c r="B910" s="191">
        <f>195.2/6</f>
        <v>32.533333333333331</v>
      </c>
      <c r="C910" s="173" t="s">
        <v>3971</v>
      </c>
      <c r="N910" s="183">
        <v>3</v>
      </c>
      <c r="O910" s="7">
        <v>2.2000000000000002</v>
      </c>
      <c r="R910"/>
      <c r="S910" s="229"/>
      <c r="T910" s="229"/>
      <c r="U910" s="238"/>
      <c r="AA910" s="229"/>
      <c r="AJ910"/>
      <c r="AK910"/>
      <c r="AL910"/>
      <c r="AM910"/>
      <c r="AN910"/>
    </row>
    <row r="911" spans="1:40" ht="14.25" customHeight="1">
      <c r="A911" s="171" t="s">
        <v>3978</v>
      </c>
      <c r="B911" s="165">
        <f>168.3/5</f>
        <v>33.660000000000004</v>
      </c>
      <c r="C911" s="166" t="s">
        <v>3455</v>
      </c>
      <c r="N911" s="183">
        <v>5</v>
      </c>
      <c r="O911" s="7">
        <v>2.7</v>
      </c>
      <c r="R911"/>
      <c r="S911" s="229"/>
      <c r="T911" s="229"/>
      <c r="U911" s="238"/>
      <c r="AA911" s="229"/>
      <c r="AJ911"/>
      <c r="AK911"/>
      <c r="AL911"/>
      <c r="AM911"/>
      <c r="AN911"/>
    </row>
    <row r="912" spans="1:40" ht="14.25" customHeight="1">
      <c r="A912" s="167" t="s">
        <v>3492</v>
      </c>
      <c r="B912" s="165">
        <v>8.5</v>
      </c>
      <c r="C912" s="166" t="s">
        <v>3401</v>
      </c>
      <c r="N912" s="183">
        <v>5</v>
      </c>
      <c r="O912" s="7">
        <v>0.75</v>
      </c>
      <c r="R912"/>
      <c r="S912" s="229"/>
      <c r="T912" s="229"/>
      <c r="U912" s="238"/>
      <c r="AA912" s="229"/>
      <c r="AJ912"/>
      <c r="AK912"/>
      <c r="AL912"/>
      <c r="AM912"/>
      <c r="AN912"/>
    </row>
    <row r="913" spans="1:40" ht="14.25" customHeight="1">
      <c r="A913" s="167" t="s">
        <v>3493</v>
      </c>
      <c r="B913" s="165">
        <v>8.1</v>
      </c>
      <c r="C913" s="166" t="s">
        <v>3388</v>
      </c>
      <c r="N913" s="183">
        <v>5</v>
      </c>
      <c r="O913" s="7">
        <v>0.86</v>
      </c>
      <c r="R913"/>
      <c r="S913" s="229"/>
      <c r="T913" s="229"/>
      <c r="U913" s="238"/>
      <c r="AA913" s="229"/>
      <c r="AJ913"/>
      <c r="AK913"/>
      <c r="AL913"/>
      <c r="AM913"/>
      <c r="AN913"/>
    </row>
    <row r="914" spans="1:40" ht="14.25" customHeight="1">
      <c r="A914" s="167" t="s">
        <v>3494</v>
      </c>
      <c r="B914" s="165">
        <v>24.2</v>
      </c>
      <c r="C914" s="166" t="s">
        <v>3449</v>
      </c>
      <c r="N914" s="183">
        <v>3</v>
      </c>
      <c r="O914" s="7">
        <v>0.88</v>
      </c>
      <c r="R914"/>
      <c r="S914" s="229"/>
      <c r="T914" s="229"/>
      <c r="U914" s="238"/>
      <c r="AA914" s="229"/>
      <c r="AJ914"/>
      <c r="AK914"/>
      <c r="AL914"/>
      <c r="AM914"/>
      <c r="AN914"/>
    </row>
    <row r="915" spans="1:40" ht="14.25" customHeight="1">
      <c r="A915" s="167" t="s">
        <v>3495</v>
      </c>
      <c r="B915" s="165">
        <v>66</v>
      </c>
      <c r="C915" s="166" t="s">
        <v>3902</v>
      </c>
      <c r="N915" s="183">
        <v>3</v>
      </c>
      <c r="O915" s="7">
        <v>1.82</v>
      </c>
      <c r="R915"/>
      <c r="S915" s="229"/>
      <c r="T915" s="229"/>
      <c r="U915" s="238"/>
      <c r="AA915" s="229"/>
      <c r="AJ915"/>
      <c r="AK915"/>
      <c r="AL915"/>
      <c r="AM915"/>
      <c r="AN915"/>
    </row>
    <row r="916" spans="1:40" ht="14.25" customHeight="1">
      <c r="A916" s="167" t="s">
        <v>3496</v>
      </c>
      <c r="B916" s="165">
        <v>49.5</v>
      </c>
      <c r="C916" s="166" t="s">
        <v>3900</v>
      </c>
      <c r="N916" s="183">
        <v>3</v>
      </c>
      <c r="O916" s="7">
        <v>2.5</v>
      </c>
      <c r="R916"/>
      <c r="S916" s="229"/>
      <c r="T916" s="229"/>
      <c r="U916" s="238"/>
      <c r="AA916" s="229"/>
      <c r="AJ916"/>
      <c r="AK916"/>
      <c r="AL916"/>
      <c r="AM916"/>
      <c r="AN916"/>
    </row>
    <row r="917" spans="1:40" ht="14.25" customHeight="1">
      <c r="A917" s="167" t="s">
        <v>3497</v>
      </c>
      <c r="B917" s="165">
        <v>71</v>
      </c>
      <c r="C917" s="166" t="s">
        <v>3901</v>
      </c>
      <c r="N917" s="183">
        <v>3</v>
      </c>
      <c r="O917" s="7">
        <v>1.6</v>
      </c>
      <c r="R917"/>
      <c r="S917" s="229"/>
      <c r="T917" s="229"/>
      <c r="U917" s="238"/>
      <c r="AA917" s="229"/>
      <c r="AJ917"/>
      <c r="AK917"/>
      <c r="AL917"/>
      <c r="AM917"/>
      <c r="AN917"/>
    </row>
    <row r="918" spans="1:40" ht="14.25" customHeight="1">
      <c r="A918" s="112">
        <v>352.01</v>
      </c>
      <c r="B918" s="9">
        <v>55</v>
      </c>
      <c r="C918" s="7" t="s">
        <v>4152</v>
      </c>
      <c r="N918" s="183">
        <v>20</v>
      </c>
      <c r="O918" s="7">
        <v>2.8</v>
      </c>
    </row>
    <row r="919" spans="1:40" ht="14.25" customHeight="1">
      <c r="A919" s="112">
        <v>352.02</v>
      </c>
      <c r="B919" s="9">
        <v>81.5</v>
      </c>
      <c r="C919" s="79" t="s">
        <v>4153</v>
      </c>
      <c r="N919" s="183">
        <v>40</v>
      </c>
      <c r="O919" s="7">
        <f>(3.5+4)/2</f>
        <v>3.75</v>
      </c>
    </row>
    <row r="920" spans="1:40" s="4" customFormat="1" ht="14.25" customHeight="1">
      <c r="A920" s="112">
        <v>352.03</v>
      </c>
      <c r="B920" s="9">
        <v>63</v>
      </c>
      <c r="C920" s="7" t="s">
        <v>4154</v>
      </c>
      <c r="D920" s="183"/>
      <c r="E920" s="183"/>
      <c r="F920" s="188"/>
      <c r="G920" s="188"/>
      <c r="H920" s="183"/>
      <c r="I920" s="183"/>
      <c r="J920" s="188"/>
      <c r="K920" s="188"/>
      <c r="L920" s="9"/>
      <c r="M920" s="9"/>
      <c r="N920" s="183">
        <v>20</v>
      </c>
      <c r="O920" s="7">
        <v>3.5</v>
      </c>
      <c r="P920" s="9"/>
      <c r="Q920" s="9"/>
      <c r="R920" s="7"/>
      <c r="S920" s="126"/>
      <c r="T920" s="126"/>
      <c r="U920" s="237"/>
      <c r="V920" s="103"/>
      <c r="W920" s="9"/>
      <c r="X920" s="9"/>
      <c r="Y920" s="9"/>
      <c r="Z920" s="9"/>
      <c r="AA920" s="126"/>
      <c r="AB920" s="9"/>
      <c r="AC920" s="9"/>
      <c r="AD920" s="9"/>
      <c r="AE920" s="9"/>
      <c r="AF920" s="9"/>
      <c r="AG920" s="9"/>
      <c r="AH920" s="9"/>
      <c r="AI920" s="9"/>
      <c r="AJ920" s="7"/>
      <c r="AK920" s="7"/>
      <c r="AL920" s="7"/>
      <c r="AM920" s="7"/>
    </row>
    <row r="921" spans="1:40" ht="14.25" customHeight="1">
      <c r="A921" s="112">
        <v>352.04</v>
      </c>
      <c r="B921" s="9">
        <v>73</v>
      </c>
      <c r="C921" s="7" t="s">
        <v>4155</v>
      </c>
      <c r="N921" s="183">
        <v>20</v>
      </c>
      <c r="O921" s="7">
        <v>4</v>
      </c>
      <c r="V921" s="234"/>
      <c r="W921" s="20"/>
      <c r="X921" s="20"/>
      <c r="Y921" s="20"/>
      <c r="Z921" s="20"/>
      <c r="AB921" s="20"/>
      <c r="AC921" s="20"/>
      <c r="AD921" s="20"/>
      <c r="AE921" s="20"/>
      <c r="AF921" s="20"/>
      <c r="AG921" s="20"/>
      <c r="AH921" s="20"/>
      <c r="AI921" s="20"/>
    </row>
    <row r="922" spans="1:40" s="4" customFormat="1" ht="14.25" customHeight="1">
      <c r="A922" s="112">
        <v>352.05</v>
      </c>
      <c r="B922" s="9">
        <v>72</v>
      </c>
      <c r="C922" s="7" t="s">
        <v>4156</v>
      </c>
      <c r="D922" s="183"/>
      <c r="E922" s="183"/>
      <c r="F922" s="188"/>
      <c r="G922" s="188"/>
      <c r="H922" s="183"/>
      <c r="I922" s="183"/>
      <c r="J922" s="188"/>
      <c r="K922" s="188"/>
      <c r="L922" s="9"/>
      <c r="M922" s="9"/>
      <c r="N922" s="183">
        <v>20</v>
      </c>
      <c r="O922" s="7">
        <v>3.5</v>
      </c>
      <c r="P922" s="9"/>
      <c r="Q922" s="9"/>
      <c r="R922" s="7"/>
      <c r="S922" s="126"/>
      <c r="T922" s="126"/>
      <c r="U922" s="237"/>
      <c r="V922" s="234"/>
      <c r="W922" s="20"/>
      <c r="X922" s="20"/>
      <c r="Y922" s="20"/>
      <c r="Z922" s="20"/>
      <c r="AA922" s="126"/>
      <c r="AB922" s="20"/>
      <c r="AC922" s="20"/>
      <c r="AD922" s="20"/>
      <c r="AE922" s="20"/>
      <c r="AF922" s="20"/>
      <c r="AG922" s="20"/>
      <c r="AH922" s="20"/>
      <c r="AI922" s="20"/>
      <c r="AJ922" s="7"/>
      <c r="AK922" s="7"/>
      <c r="AL922" s="7"/>
      <c r="AM922" s="7"/>
      <c r="AN922" s="7"/>
    </row>
    <row r="923" spans="1:40" ht="14.25" customHeight="1">
      <c r="A923" s="112">
        <v>352.06</v>
      </c>
      <c r="B923" s="9">
        <v>64.5</v>
      </c>
      <c r="C923" s="7" t="s">
        <v>4157</v>
      </c>
      <c r="N923" s="183">
        <v>20</v>
      </c>
      <c r="O923" s="7">
        <v>2.6</v>
      </c>
      <c r="V923" s="234"/>
      <c r="W923" s="20"/>
      <c r="X923" s="20"/>
      <c r="Y923" s="20"/>
      <c r="Z923" s="20"/>
      <c r="AB923" s="20"/>
      <c r="AC923" s="20"/>
      <c r="AD923" s="20"/>
      <c r="AE923" s="20"/>
      <c r="AF923" s="20"/>
      <c r="AG923" s="20"/>
      <c r="AH923" s="20"/>
      <c r="AI923" s="20"/>
    </row>
    <row r="924" spans="1:40" ht="14.25" customHeight="1">
      <c r="A924" s="125">
        <v>352.07</v>
      </c>
      <c r="B924" s="9">
        <v>50</v>
      </c>
      <c r="C924" s="7" t="s">
        <v>4158</v>
      </c>
      <c r="N924" s="183">
        <v>39</v>
      </c>
      <c r="O924" s="7">
        <v>3.3</v>
      </c>
      <c r="V924" s="234"/>
      <c r="W924" s="20"/>
      <c r="X924" s="20"/>
      <c r="Y924" s="20"/>
      <c r="Z924" s="20"/>
      <c r="AB924" s="20"/>
      <c r="AC924" s="20"/>
      <c r="AD924" s="20"/>
      <c r="AE924" s="20"/>
      <c r="AF924" s="20"/>
      <c r="AG924" s="20"/>
      <c r="AH924" s="20"/>
      <c r="AI924" s="20"/>
    </row>
    <row r="925" spans="1:40" ht="14.25" customHeight="1">
      <c r="A925" s="125">
        <v>352.08</v>
      </c>
      <c r="B925" s="9">
        <v>49</v>
      </c>
      <c r="C925" s="1" t="s">
        <v>4159</v>
      </c>
      <c r="N925" s="183">
        <v>20</v>
      </c>
      <c r="O925" s="7">
        <v>2.98</v>
      </c>
      <c r="V925" s="234"/>
      <c r="W925" s="20"/>
      <c r="X925" s="20"/>
      <c r="Y925" s="20"/>
      <c r="Z925" s="20"/>
      <c r="AB925" s="20"/>
      <c r="AC925" s="20"/>
      <c r="AD925" s="20"/>
      <c r="AE925" s="20"/>
      <c r="AF925" s="20"/>
      <c r="AG925" s="20"/>
      <c r="AH925" s="20"/>
      <c r="AI925" s="20"/>
    </row>
    <row r="926" spans="1:40" ht="14.25" customHeight="1">
      <c r="A926" s="148" t="s">
        <v>3113</v>
      </c>
      <c r="B926" s="9">
        <v>17</v>
      </c>
      <c r="C926" s="211" t="s">
        <v>4160</v>
      </c>
      <c r="N926" s="183">
        <v>3</v>
      </c>
      <c r="O926" s="7">
        <v>0.64</v>
      </c>
      <c r="V926" s="234"/>
      <c r="W926" s="20"/>
      <c r="X926" s="20"/>
      <c r="Y926" s="20"/>
      <c r="Z926" s="20"/>
      <c r="AB926" s="20"/>
      <c r="AC926" s="20"/>
      <c r="AD926" s="20"/>
      <c r="AE926" s="20"/>
      <c r="AF926" s="20"/>
      <c r="AG926" s="20"/>
      <c r="AH926" s="20"/>
      <c r="AI926" s="20"/>
      <c r="AJ926" s="211" t="s">
        <v>4160</v>
      </c>
    </row>
    <row r="927" spans="1:40" ht="14.25" customHeight="1">
      <c r="A927" s="148" t="s">
        <v>3114</v>
      </c>
      <c r="B927" s="9">
        <v>17</v>
      </c>
      <c r="C927" s="7" t="s">
        <v>4161</v>
      </c>
      <c r="N927" s="183">
        <v>3</v>
      </c>
      <c r="O927" s="7">
        <v>0.64</v>
      </c>
    </row>
    <row r="928" spans="1:40" ht="14.25" customHeight="1">
      <c r="A928" s="148" t="s">
        <v>3115</v>
      </c>
      <c r="B928" s="9">
        <v>17</v>
      </c>
      <c r="C928" s="7" t="s">
        <v>4162</v>
      </c>
      <c r="N928" s="183">
        <v>3</v>
      </c>
      <c r="O928" s="7">
        <v>0.64</v>
      </c>
    </row>
    <row r="929" spans="1:40" ht="14.25" customHeight="1">
      <c r="A929" s="148" t="s">
        <v>3116</v>
      </c>
      <c r="B929" s="9">
        <v>17</v>
      </c>
      <c r="C929" s="7" t="s">
        <v>4163</v>
      </c>
      <c r="N929" s="183">
        <v>3</v>
      </c>
      <c r="O929" s="7">
        <v>0.64</v>
      </c>
    </row>
    <row r="930" spans="1:40" ht="14.25" customHeight="1">
      <c r="A930" s="148" t="s">
        <v>3117</v>
      </c>
      <c r="B930" s="9">
        <v>17</v>
      </c>
      <c r="C930" s="7" t="s">
        <v>4164</v>
      </c>
      <c r="N930" s="183">
        <v>3</v>
      </c>
      <c r="O930" s="7">
        <v>0.64</v>
      </c>
    </row>
    <row r="931" spans="1:40" ht="14.25" customHeight="1">
      <c r="A931" s="148" t="s">
        <v>3118</v>
      </c>
      <c r="B931" s="9">
        <v>17</v>
      </c>
      <c r="C931" s="7" t="s">
        <v>4165</v>
      </c>
      <c r="N931" s="183">
        <v>3</v>
      </c>
      <c r="O931" s="7">
        <v>0.64</v>
      </c>
      <c r="AN931" s="4"/>
    </row>
    <row r="932" spans="1:40" ht="14.25" customHeight="1">
      <c r="A932" s="148" t="s">
        <v>3119</v>
      </c>
      <c r="B932" s="9">
        <v>17</v>
      </c>
      <c r="C932" s="7" t="s">
        <v>4166</v>
      </c>
      <c r="D932" s="186"/>
      <c r="E932" s="186"/>
      <c r="H932" s="186"/>
      <c r="I932" s="186"/>
      <c r="L932" s="168"/>
      <c r="M932" s="168"/>
      <c r="N932" s="186">
        <v>5</v>
      </c>
      <c r="O932" s="7">
        <v>0.64</v>
      </c>
    </row>
    <row r="933" spans="1:40" ht="14.25" customHeight="1">
      <c r="A933" s="167" t="s">
        <v>3562</v>
      </c>
      <c r="B933" s="165">
        <f>24.9/3</f>
        <v>8.2999999999999989</v>
      </c>
      <c r="C933" s="213" t="s">
        <v>3905</v>
      </c>
      <c r="N933" s="183">
        <v>3</v>
      </c>
      <c r="O933" s="7">
        <v>1.45</v>
      </c>
      <c r="R933"/>
      <c r="S933" s="229"/>
      <c r="T933" s="229"/>
      <c r="U933" s="238"/>
      <c r="AA933" s="229"/>
      <c r="AJ933" s="213" t="s">
        <v>3905</v>
      </c>
      <c r="AK933"/>
      <c r="AL933"/>
      <c r="AM933"/>
      <c r="AN933"/>
    </row>
    <row r="934" spans="1:40" ht="14.25" customHeight="1">
      <c r="A934" s="167" t="s">
        <v>3563</v>
      </c>
      <c r="B934" s="165">
        <f>25.2/3</f>
        <v>8.4</v>
      </c>
      <c r="C934" s="166" t="s">
        <v>3906</v>
      </c>
      <c r="N934" s="183">
        <v>3</v>
      </c>
      <c r="O934" s="7">
        <v>1.45</v>
      </c>
      <c r="R934"/>
      <c r="S934" s="229"/>
      <c r="T934" s="229"/>
      <c r="U934" s="238"/>
      <c r="AA934" s="229"/>
      <c r="AJ934"/>
      <c r="AK934"/>
      <c r="AL934"/>
      <c r="AM934"/>
      <c r="AN934"/>
    </row>
    <row r="935" spans="1:40" ht="14.25" customHeight="1">
      <c r="A935" s="167" t="s">
        <v>3564</v>
      </c>
      <c r="B935" s="191">
        <f>30.7/3</f>
        <v>10.233333333333333</v>
      </c>
      <c r="C935" s="166" t="s">
        <v>3907</v>
      </c>
      <c r="N935" s="183">
        <v>3</v>
      </c>
      <c r="O935" s="7">
        <v>1.45</v>
      </c>
      <c r="R935"/>
      <c r="S935" s="229"/>
      <c r="T935" s="229"/>
      <c r="U935" s="238"/>
      <c r="AA935" s="229"/>
      <c r="AJ935"/>
      <c r="AK935"/>
      <c r="AL935"/>
      <c r="AM935"/>
      <c r="AN935"/>
    </row>
    <row r="936" spans="1:40" ht="14.25" customHeight="1">
      <c r="A936" s="167" t="s">
        <v>3565</v>
      </c>
      <c r="B936" s="191">
        <f>24.7/3</f>
        <v>8.2333333333333325</v>
      </c>
      <c r="C936" s="213" t="s">
        <v>3405</v>
      </c>
      <c r="N936" s="183">
        <v>3</v>
      </c>
      <c r="O936" s="7">
        <v>1.6</v>
      </c>
      <c r="R936"/>
      <c r="S936" s="229"/>
      <c r="T936" s="229"/>
      <c r="U936" s="238"/>
      <c r="AA936" s="229"/>
      <c r="AJ936" s="213" t="s">
        <v>3405</v>
      </c>
      <c r="AK936"/>
      <c r="AL936"/>
      <c r="AM936"/>
      <c r="AN936"/>
    </row>
    <row r="937" spans="1:40" ht="14.25" customHeight="1">
      <c r="A937" s="167" t="s">
        <v>3566</v>
      </c>
      <c r="B937" s="165">
        <f>24.6/3</f>
        <v>8.2000000000000011</v>
      </c>
      <c r="C937" s="166" t="s">
        <v>3403</v>
      </c>
      <c r="N937" s="183">
        <v>3</v>
      </c>
      <c r="O937" s="7">
        <v>1.6</v>
      </c>
      <c r="R937"/>
      <c r="S937" s="229"/>
      <c r="T937" s="229"/>
      <c r="U937" s="238"/>
      <c r="V937" s="234"/>
      <c r="W937" s="20"/>
      <c r="X937" s="20"/>
      <c r="Y937" s="20"/>
      <c r="Z937" s="20"/>
      <c r="AA937" s="229"/>
      <c r="AB937" s="20"/>
      <c r="AC937" s="20"/>
      <c r="AD937" s="20"/>
      <c r="AE937" s="20"/>
      <c r="AF937" s="20"/>
      <c r="AG937" s="20"/>
      <c r="AH937" s="20"/>
      <c r="AI937" s="20"/>
      <c r="AJ937"/>
      <c r="AK937"/>
      <c r="AL937"/>
      <c r="AM937"/>
      <c r="AN937"/>
    </row>
    <row r="938" spans="1:40" ht="14.25" customHeight="1">
      <c r="A938" s="167" t="s">
        <v>3567</v>
      </c>
      <c r="B938" s="192">
        <f>30.1/3</f>
        <v>10.033333333333333</v>
      </c>
      <c r="C938" s="166" t="s">
        <v>3404</v>
      </c>
      <c r="N938" s="183">
        <v>3</v>
      </c>
      <c r="O938" s="7">
        <v>1.5</v>
      </c>
      <c r="R938"/>
      <c r="S938" s="229"/>
      <c r="T938" s="229"/>
      <c r="U938" s="238"/>
      <c r="V938" s="234"/>
      <c r="W938" s="20"/>
      <c r="X938" s="20"/>
      <c r="Y938" s="20"/>
      <c r="Z938" s="20"/>
      <c r="AA938" s="229"/>
      <c r="AB938" s="20"/>
      <c r="AC938" s="20"/>
      <c r="AD938" s="20"/>
      <c r="AE938" s="20"/>
      <c r="AF938" s="20"/>
      <c r="AG938" s="20"/>
      <c r="AH938" s="20"/>
      <c r="AI938" s="20"/>
      <c r="AJ938"/>
      <c r="AK938"/>
      <c r="AL938"/>
      <c r="AM938"/>
      <c r="AN938"/>
    </row>
    <row r="939" spans="1:40" ht="14.25" customHeight="1">
      <c r="A939" s="148" t="s">
        <v>3277</v>
      </c>
      <c r="B939" s="9">
        <f>7.8/10</f>
        <v>0.78</v>
      </c>
      <c r="C939" s="196" t="s">
        <v>5904</v>
      </c>
      <c r="D939" s="184"/>
      <c r="E939" s="184"/>
      <c r="H939" s="184"/>
      <c r="I939" s="184"/>
      <c r="L939" s="3"/>
      <c r="M939" s="3"/>
      <c r="N939" s="184">
        <v>1000</v>
      </c>
      <c r="O939" s="25">
        <f>27/1000</f>
        <v>2.7E-2</v>
      </c>
      <c r="P939" s="224"/>
      <c r="Q939" s="224"/>
      <c r="V939" s="234"/>
      <c r="W939" s="20"/>
      <c r="X939" s="20"/>
      <c r="Y939" s="20"/>
      <c r="Z939" s="20"/>
      <c r="AB939" s="20"/>
      <c r="AC939" s="20"/>
      <c r="AD939" s="20"/>
      <c r="AE939" s="20"/>
      <c r="AF939" s="20"/>
      <c r="AG939" s="20"/>
      <c r="AH939" s="20"/>
      <c r="AI939" s="20"/>
    </row>
    <row r="940" spans="1:40" ht="14.25" customHeight="1">
      <c r="A940" s="147" t="s">
        <v>3613</v>
      </c>
      <c r="B940" s="9">
        <v>6.9</v>
      </c>
      <c r="C940" s="196" t="s">
        <v>5905</v>
      </c>
      <c r="D940" s="184"/>
      <c r="E940" s="184"/>
      <c r="H940" s="184"/>
      <c r="I940" s="184"/>
      <c r="L940" s="3"/>
      <c r="M940" s="3"/>
      <c r="N940" s="184">
        <v>5</v>
      </c>
      <c r="O940" s="6">
        <v>1.2</v>
      </c>
      <c r="P940" s="222"/>
      <c r="Q940" s="222"/>
      <c r="V940" s="234"/>
      <c r="W940" s="20"/>
      <c r="X940" s="20"/>
      <c r="Y940" s="20"/>
      <c r="Z940" s="20"/>
      <c r="AB940" s="20"/>
      <c r="AC940" s="20"/>
      <c r="AD940" s="20"/>
      <c r="AE940" s="20"/>
      <c r="AF940" s="20"/>
      <c r="AG940" s="20"/>
      <c r="AH940" s="20"/>
      <c r="AI940" s="20"/>
    </row>
    <row r="941" spans="1:40" ht="14.25" customHeight="1">
      <c r="A941" s="147" t="s">
        <v>3278</v>
      </c>
      <c r="B941" s="9">
        <v>9.1</v>
      </c>
      <c r="C941" s="196" t="s">
        <v>5906</v>
      </c>
      <c r="D941" s="184"/>
      <c r="E941" s="184"/>
      <c r="H941" s="184"/>
      <c r="I941" s="184"/>
      <c r="L941" s="3"/>
      <c r="M941" s="3"/>
      <c r="N941" s="184">
        <v>5</v>
      </c>
      <c r="O941" s="6">
        <v>1.5</v>
      </c>
      <c r="P941" s="222"/>
      <c r="Q941" s="222"/>
      <c r="V941" s="234"/>
      <c r="W941" s="20"/>
      <c r="X941" s="20"/>
      <c r="Y941" s="20"/>
      <c r="Z941" s="20"/>
      <c r="AB941" s="20"/>
      <c r="AC941" s="20"/>
      <c r="AD941" s="20"/>
      <c r="AE941" s="20"/>
      <c r="AF941" s="20"/>
      <c r="AG941" s="20"/>
      <c r="AH941" s="20"/>
      <c r="AI941" s="20"/>
    </row>
    <row r="942" spans="1:40" ht="14.25" customHeight="1">
      <c r="A942" s="147" t="s">
        <v>3279</v>
      </c>
      <c r="B942" s="9">
        <v>7.7</v>
      </c>
      <c r="C942" s="196" t="s">
        <v>5907</v>
      </c>
      <c r="D942" s="184"/>
      <c r="E942" s="184"/>
      <c r="H942" s="184"/>
      <c r="I942" s="184"/>
      <c r="L942" s="3"/>
      <c r="M942" s="3"/>
      <c r="N942" s="184">
        <v>5</v>
      </c>
      <c r="O942" s="6">
        <v>0.4</v>
      </c>
      <c r="P942" s="222"/>
      <c r="Q942" s="222"/>
      <c r="V942" s="234"/>
      <c r="W942" s="20"/>
      <c r="X942" s="20"/>
      <c r="Y942" s="20"/>
      <c r="Z942" s="20"/>
      <c r="AB942" s="20"/>
      <c r="AC942" s="20"/>
      <c r="AD942" s="20"/>
      <c r="AE942" s="20"/>
      <c r="AF942" s="20"/>
      <c r="AG942" s="20"/>
      <c r="AH942" s="20"/>
      <c r="AI942" s="20"/>
    </row>
    <row r="943" spans="1:40" ht="14.25" customHeight="1">
      <c r="A943" s="147" t="s">
        <v>3280</v>
      </c>
      <c r="B943" s="9">
        <v>12.7</v>
      </c>
      <c r="C943" s="196" t="s">
        <v>5908</v>
      </c>
      <c r="D943" s="184"/>
      <c r="E943" s="184"/>
      <c r="H943" s="184"/>
      <c r="I943" s="184"/>
      <c r="L943" s="3"/>
      <c r="M943" s="3"/>
      <c r="N943" s="184">
        <v>5</v>
      </c>
      <c r="O943" s="6">
        <v>1.3</v>
      </c>
      <c r="P943" s="222"/>
      <c r="Q943" s="222"/>
      <c r="V943" s="234"/>
      <c r="W943" s="20"/>
      <c r="X943" s="20"/>
      <c r="Y943" s="20"/>
      <c r="Z943" s="20"/>
      <c r="AB943" s="20"/>
      <c r="AC943" s="20"/>
      <c r="AD943" s="20"/>
      <c r="AE943" s="20"/>
      <c r="AF943" s="20"/>
      <c r="AG943" s="20"/>
      <c r="AH943" s="20"/>
      <c r="AI943" s="20"/>
    </row>
    <row r="944" spans="1:40" ht="14.25" customHeight="1">
      <c r="A944" s="147" t="s">
        <v>3281</v>
      </c>
      <c r="B944" s="9">
        <v>20.8</v>
      </c>
      <c r="C944" s="196" t="s">
        <v>5909</v>
      </c>
      <c r="D944" s="184"/>
      <c r="E944" s="184"/>
      <c r="H944" s="184"/>
      <c r="I944" s="184"/>
      <c r="L944" s="3"/>
      <c r="M944" s="3"/>
      <c r="N944" s="184">
        <v>5</v>
      </c>
      <c r="O944" s="6">
        <v>2.5</v>
      </c>
      <c r="P944" s="222"/>
      <c r="Q944" s="222"/>
      <c r="V944" s="234"/>
      <c r="W944" s="20"/>
      <c r="X944" s="20"/>
      <c r="Y944" s="20"/>
      <c r="Z944" s="20"/>
      <c r="AB944" s="20"/>
      <c r="AC944" s="20"/>
      <c r="AD944" s="20"/>
      <c r="AE944" s="20"/>
      <c r="AF944" s="20"/>
      <c r="AG944" s="20"/>
      <c r="AH944" s="20"/>
      <c r="AI944" s="20"/>
      <c r="AN944" s="4"/>
    </row>
    <row r="945" spans="1:40" ht="14.25" customHeight="1">
      <c r="A945" s="147" t="s">
        <v>3282</v>
      </c>
      <c r="B945" s="9">
        <v>16.100000000000001</v>
      </c>
      <c r="C945" s="196" t="s">
        <v>5910</v>
      </c>
      <c r="D945" s="184"/>
      <c r="E945" s="184"/>
      <c r="H945" s="184"/>
      <c r="I945" s="184"/>
      <c r="L945" s="3"/>
      <c r="M945" s="3"/>
      <c r="N945" s="184">
        <v>5</v>
      </c>
      <c r="O945" s="6">
        <v>2</v>
      </c>
      <c r="P945" s="222"/>
      <c r="Q945" s="222"/>
      <c r="V945" s="234"/>
      <c r="W945" s="20"/>
      <c r="X945" s="20"/>
      <c r="Y945" s="20"/>
      <c r="Z945" s="20"/>
      <c r="AB945" s="20"/>
      <c r="AC945" s="20"/>
      <c r="AD945" s="20"/>
      <c r="AE945" s="20"/>
      <c r="AF945" s="20"/>
      <c r="AG945" s="20"/>
      <c r="AH945" s="20"/>
      <c r="AI945" s="20"/>
    </row>
    <row r="946" spans="1:40" ht="14.25" customHeight="1">
      <c r="A946" s="147" t="s">
        <v>3283</v>
      </c>
      <c r="B946" s="9">
        <v>31.4</v>
      </c>
      <c r="C946" s="196" t="s">
        <v>5911</v>
      </c>
      <c r="D946" s="184"/>
      <c r="E946" s="184"/>
      <c r="H946" s="184"/>
      <c r="I946" s="184"/>
      <c r="L946" s="3"/>
      <c r="M946" s="3"/>
      <c r="N946" s="184">
        <v>5</v>
      </c>
      <c r="O946" s="6">
        <v>2.9</v>
      </c>
      <c r="P946" s="222"/>
      <c r="Q946" s="222"/>
      <c r="V946" s="234"/>
      <c r="W946" s="20"/>
      <c r="X946" s="20"/>
      <c r="Y946" s="20"/>
      <c r="Z946" s="20"/>
      <c r="AB946" s="20"/>
      <c r="AC946" s="20"/>
      <c r="AD946" s="20"/>
      <c r="AE946" s="20"/>
      <c r="AF946" s="20"/>
      <c r="AG946" s="20"/>
      <c r="AH946" s="20"/>
      <c r="AI946" s="20"/>
    </row>
    <row r="947" spans="1:40" ht="14.25" customHeight="1">
      <c r="A947" s="147" t="s">
        <v>3284</v>
      </c>
      <c r="B947" s="9">
        <v>7.2</v>
      </c>
      <c r="C947" s="196" t="s">
        <v>5913</v>
      </c>
      <c r="D947" s="184"/>
      <c r="E947" s="184"/>
      <c r="H947" s="184"/>
      <c r="I947" s="184"/>
      <c r="L947" s="3"/>
      <c r="M947" s="3"/>
      <c r="N947" s="184">
        <v>5</v>
      </c>
      <c r="O947" s="6">
        <v>0.6</v>
      </c>
      <c r="P947" s="222"/>
      <c r="Q947" s="222"/>
      <c r="V947" s="234"/>
      <c r="W947" s="20"/>
      <c r="X947" s="20"/>
      <c r="Y947" s="20"/>
      <c r="Z947" s="20"/>
      <c r="AB947" s="20"/>
      <c r="AC947" s="20"/>
      <c r="AD947" s="20"/>
      <c r="AE947" s="20"/>
      <c r="AF947" s="20"/>
      <c r="AG947" s="20"/>
      <c r="AH947" s="20"/>
      <c r="AI947" s="20"/>
    </row>
    <row r="948" spans="1:40" ht="14.25" customHeight="1">
      <c r="A948" s="147" t="s">
        <v>3614</v>
      </c>
      <c r="B948" s="9">
        <f>42.7-6.6</f>
        <v>36.1</v>
      </c>
      <c r="C948" s="196" t="s">
        <v>5914</v>
      </c>
      <c r="D948" s="184"/>
      <c r="E948" s="184"/>
      <c r="H948" s="184"/>
      <c r="I948" s="184"/>
      <c r="L948" s="3"/>
      <c r="M948" s="3"/>
      <c r="N948" s="184">
        <v>5</v>
      </c>
      <c r="O948" s="6">
        <v>4</v>
      </c>
      <c r="P948" s="222"/>
      <c r="Q948" s="222"/>
      <c r="V948" s="234"/>
      <c r="W948" s="20"/>
      <c r="X948" s="20"/>
      <c r="Y948" s="20"/>
      <c r="Z948" s="20"/>
      <c r="AB948" s="20"/>
      <c r="AC948" s="20"/>
      <c r="AD948" s="20"/>
      <c r="AE948" s="20"/>
      <c r="AF948" s="20"/>
      <c r="AG948" s="20"/>
      <c r="AH948" s="20"/>
      <c r="AI948" s="20"/>
    </row>
    <row r="949" spans="1:40" ht="14.25" customHeight="1">
      <c r="A949" s="189" t="s">
        <v>3731</v>
      </c>
      <c r="B949" s="9">
        <v>4.3</v>
      </c>
      <c r="C949" s="31" t="s">
        <v>3832</v>
      </c>
      <c r="N949" s="183">
        <v>5</v>
      </c>
      <c r="O949" s="7">
        <v>0.8</v>
      </c>
      <c r="R949"/>
      <c r="S949" s="229"/>
      <c r="T949" s="229"/>
      <c r="U949" s="238"/>
      <c r="V949" s="234"/>
      <c r="W949" s="20"/>
      <c r="X949" s="20"/>
      <c r="Y949" s="20"/>
      <c r="Z949" s="20"/>
      <c r="AA949" s="229"/>
      <c r="AB949" s="20"/>
      <c r="AC949" s="20"/>
      <c r="AD949" s="20"/>
      <c r="AE949" s="20"/>
      <c r="AF949" s="20"/>
      <c r="AG949" s="20"/>
      <c r="AH949" s="20"/>
      <c r="AI949" s="20"/>
      <c r="AJ949"/>
      <c r="AK949"/>
      <c r="AL949"/>
      <c r="AM949"/>
      <c r="AN949"/>
    </row>
    <row r="950" spans="1:40" ht="14.25" customHeight="1">
      <c r="A950" s="189" t="s">
        <v>3732</v>
      </c>
      <c r="B950" s="9">
        <v>3.9</v>
      </c>
      <c r="C950" s="157" t="s">
        <v>3671</v>
      </c>
      <c r="N950" s="183">
        <v>5</v>
      </c>
      <c r="O950" s="7">
        <v>0.32</v>
      </c>
      <c r="R950"/>
      <c r="S950" s="229"/>
      <c r="T950" s="229"/>
      <c r="U950" s="238"/>
      <c r="V950" s="234"/>
      <c r="W950" s="20"/>
      <c r="X950" s="20"/>
      <c r="Y950" s="20"/>
      <c r="Z950" s="20"/>
      <c r="AA950" s="229"/>
      <c r="AB950" s="20"/>
      <c r="AC950" s="20"/>
      <c r="AD950" s="20"/>
      <c r="AE950" s="20"/>
      <c r="AF950" s="20"/>
      <c r="AG950" s="20"/>
      <c r="AH950" s="20"/>
      <c r="AI950" s="20"/>
      <c r="AJ950"/>
      <c r="AK950"/>
      <c r="AL950"/>
      <c r="AM950"/>
      <c r="AN950"/>
    </row>
    <row r="951" spans="1:40" ht="14.25" customHeight="1">
      <c r="A951" s="189" t="s">
        <v>3733</v>
      </c>
      <c r="B951" s="9">
        <v>4.4000000000000004</v>
      </c>
      <c r="C951" s="157" t="s">
        <v>3660</v>
      </c>
      <c r="N951" s="183">
        <v>50</v>
      </c>
      <c r="O951" s="7">
        <v>0.28999999999999998</v>
      </c>
      <c r="R951"/>
      <c r="S951" s="229"/>
      <c r="T951" s="229"/>
      <c r="U951" s="238"/>
      <c r="V951" s="234"/>
      <c r="W951" s="20"/>
      <c r="X951" s="20"/>
      <c r="Y951" s="20"/>
      <c r="Z951" s="20"/>
      <c r="AA951" s="229"/>
      <c r="AB951" s="20"/>
      <c r="AC951" s="20"/>
      <c r="AD951" s="20"/>
      <c r="AE951" s="20"/>
      <c r="AF951" s="20"/>
      <c r="AG951" s="20"/>
      <c r="AH951" s="20"/>
      <c r="AI951" s="20"/>
      <c r="AJ951"/>
      <c r="AK951"/>
      <c r="AL951"/>
      <c r="AM951"/>
      <c r="AN951"/>
    </row>
    <row r="952" spans="1:40" ht="14.25" customHeight="1">
      <c r="A952" s="189" t="s">
        <v>3734</v>
      </c>
      <c r="B952" s="9">
        <v>2.7</v>
      </c>
      <c r="C952" s="157" t="s">
        <v>3726</v>
      </c>
      <c r="N952" s="183">
        <v>10</v>
      </c>
      <c r="O952" s="7">
        <v>0.5</v>
      </c>
      <c r="R952"/>
      <c r="S952" s="229"/>
      <c r="T952" s="229"/>
      <c r="U952" s="238"/>
      <c r="V952" s="234"/>
      <c r="W952" s="20"/>
      <c r="X952" s="20"/>
      <c r="Y952" s="20"/>
      <c r="Z952" s="20"/>
      <c r="AA952" s="229"/>
      <c r="AB952" s="20"/>
      <c r="AC952" s="20"/>
      <c r="AD952" s="20"/>
      <c r="AE952" s="20"/>
      <c r="AF952" s="20"/>
      <c r="AG952" s="20"/>
      <c r="AH952" s="20"/>
      <c r="AI952" s="20"/>
      <c r="AJ952"/>
      <c r="AK952"/>
      <c r="AL952"/>
      <c r="AM952"/>
      <c r="AN952"/>
    </row>
    <row r="953" spans="1:40" ht="14.25" customHeight="1">
      <c r="A953" s="189" t="s">
        <v>3735</v>
      </c>
      <c r="B953" s="9">
        <v>4.5999999999999996</v>
      </c>
      <c r="C953" s="157" t="s">
        <v>3668</v>
      </c>
      <c r="N953" s="183">
        <v>5</v>
      </c>
      <c r="O953" s="7">
        <v>0.7</v>
      </c>
      <c r="R953"/>
      <c r="S953" s="229"/>
      <c r="T953" s="229"/>
      <c r="U953" s="238"/>
      <c r="V953" s="234"/>
      <c r="W953" s="20"/>
      <c r="X953" s="20"/>
      <c r="Y953" s="20"/>
      <c r="Z953" s="20"/>
      <c r="AA953" s="229"/>
      <c r="AB953" s="20"/>
      <c r="AC953" s="20"/>
      <c r="AD953" s="20"/>
      <c r="AE953" s="20"/>
      <c r="AF953" s="20"/>
      <c r="AG953" s="20"/>
      <c r="AH953" s="20"/>
      <c r="AI953" s="20"/>
      <c r="AJ953"/>
      <c r="AK953"/>
      <c r="AL953"/>
      <c r="AM953"/>
      <c r="AN953"/>
    </row>
    <row r="954" spans="1:40" ht="14.25" customHeight="1">
      <c r="A954" s="189" t="s">
        <v>3736</v>
      </c>
      <c r="B954" s="9">
        <v>4.4000000000000004</v>
      </c>
      <c r="C954" s="157" t="s">
        <v>3663</v>
      </c>
      <c r="N954" s="183">
        <v>10</v>
      </c>
      <c r="O954" s="7">
        <v>0.22</v>
      </c>
      <c r="R954"/>
      <c r="S954" s="229"/>
      <c r="T954" s="229"/>
      <c r="U954" s="238"/>
      <c r="V954" s="234"/>
      <c r="W954" s="20"/>
      <c r="X954" s="20"/>
      <c r="Y954" s="20"/>
      <c r="Z954" s="20"/>
      <c r="AA954" s="229"/>
      <c r="AB954" s="20"/>
      <c r="AC954" s="20"/>
      <c r="AD954" s="20"/>
      <c r="AE954" s="20"/>
      <c r="AF954" s="20"/>
      <c r="AG954" s="20"/>
      <c r="AH954" s="20"/>
      <c r="AI954" s="20"/>
      <c r="AJ954"/>
      <c r="AK954"/>
      <c r="AL954"/>
      <c r="AM954"/>
      <c r="AN954"/>
    </row>
    <row r="955" spans="1:40" ht="14.25" customHeight="1">
      <c r="A955" s="189" t="s">
        <v>3737</v>
      </c>
      <c r="B955" s="9">
        <v>4</v>
      </c>
      <c r="C955" s="157" t="s">
        <v>3664</v>
      </c>
      <c r="N955" s="183">
        <v>5</v>
      </c>
      <c r="O955" s="7">
        <v>0.65</v>
      </c>
      <c r="R955"/>
      <c r="S955" s="229"/>
      <c r="T955" s="229"/>
      <c r="U955" s="238"/>
      <c r="V955" s="234"/>
      <c r="W955" s="20"/>
      <c r="X955" s="20"/>
      <c r="Y955" s="20"/>
      <c r="Z955" s="20"/>
      <c r="AA955" s="229"/>
      <c r="AB955" s="20"/>
      <c r="AC955" s="20"/>
      <c r="AD955" s="20"/>
      <c r="AE955" s="20"/>
      <c r="AF955" s="20"/>
      <c r="AG955" s="20"/>
      <c r="AH955" s="20"/>
      <c r="AI955" s="20"/>
      <c r="AJ955"/>
      <c r="AK955"/>
      <c r="AL955"/>
      <c r="AM955"/>
      <c r="AN955"/>
    </row>
    <row r="956" spans="1:40" ht="14.25" customHeight="1">
      <c r="A956" s="189" t="s">
        <v>3738</v>
      </c>
      <c r="B956" s="9">
        <v>6.8</v>
      </c>
      <c r="C956" s="157" t="s">
        <v>3661</v>
      </c>
      <c r="N956" s="183">
        <v>10</v>
      </c>
      <c r="O956" s="7">
        <v>0.94</v>
      </c>
      <c r="R956"/>
      <c r="S956" s="229"/>
      <c r="T956" s="229"/>
      <c r="U956" s="238"/>
      <c r="V956" s="234"/>
      <c r="W956" s="20"/>
      <c r="X956" s="20"/>
      <c r="Y956" s="20"/>
      <c r="Z956" s="20"/>
      <c r="AA956" s="229"/>
      <c r="AB956" s="20"/>
      <c r="AC956" s="20"/>
      <c r="AD956" s="20"/>
      <c r="AE956" s="20"/>
      <c r="AF956" s="20"/>
      <c r="AG956" s="20"/>
      <c r="AH956" s="20"/>
      <c r="AI956" s="20"/>
      <c r="AJ956"/>
      <c r="AK956"/>
      <c r="AL956"/>
      <c r="AM956"/>
      <c r="AN956"/>
    </row>
    <row r="957" spans="1:40" ht="14.25" customHeight="1">
      <c r="A957" s="189" t="s">
        <v>3739</v>
      </c>
      <c r="B957" s="9">
        <v>7.7</v>
      </c>
      <c r="C957" s="157" t="s">
        <v>3675</v>
      </c>
      <c r="N957" s="183">
        <v>3</v>
      </c>
      <c r="O957" s="7">
        <v>1.9</v>
      </c>
      <c r="R957"/>
      <c r="S957" s="229"/>
      <c r="T957" s="229"/>
      <c r="U957" s="238"/>
      <c r="V957" s="234"/>
      <c r="W957" s="20"/>
      <c r="X957" s="20"/>
      <c r="Y957" s="20"/>
      <c r="Z957" s="20"/>
      <c r="AA957" s="229"/>
      <c r="AB957" s="20"/>
      <c r="AC957" s="20"/>
      <c r="AD957" s="20"/>
      <c r="AE957" s="20"/>
      <c r="AF957" s="20"/>
      <c r="AG957" s="20"/>
      <c r="AH957" s="20"/>
      <c r="AI957" s="20"/>
      <c r="AJ957"/>
      <c r="AK957"/>
      <c r="AL957"/>
      <c r="AM957"/>
      <c r="AN957"/>
    </row>
    <row r="958" spans="1:40" ht="14.25" customHeight="1">
      <c r="A958" s="189" t="s">
        <v>3740</v>
      </c>
      <c r="B958" s="9">
        <v>3.3</v>
      </c>
      <c r="C958" s="157" t="s">
        <v>3725</v>
      </c>
      <c r="N958" s="183">
        <v>3</v>
      </c>
      <c r="O958" s="7">
        <v>1.2</v>
      </c>
      <c r="R958"/>
      <c r="S958" s="229"/>
      <c r="T958" s="229"/>
      <c r="U958" s="238"/>
      <c r="V958" s="234"/>
      <c r="W958" s="20"/>
      <c r="X958" s="20"/>
      <c r="Y958" s="20"/>
      <c r="Z958" s="20"/>
      <c r="AA958" s="229"/>
      <c r="AB958" s="20"/>
      <c r="AC958" s="20"/>
      <c r="AD958" s="20"/>
      <c r="AE958" s="20"/>
      <c r="AF958" s="20"/>
      <c r="AG958" s="20"/>
      <c r="AH958" s="20"/>
      <c r="AI958" s="20"/>
      <c r="AJ958"/>
      <c r="AK958"/>
      <c r="AL958"/>
      <c r="AM958"/>
      <c r="AN958"/>
    </row>
    <row r="959" spans="1:40" ht="14.25" customHeight="1">
      <c r="A959" s="189" t="s">
        <v>3741</v>
      </c>
      <c r="B959" s="9">
        <v>6.6</v>
      </c>
      <c r="C959" s="157" t="s">
        <v>3665</v>
      </c>
      <c r="N959" s="183">
        <v>3</v>
      </c>
      <c r="O959" s="7">
        <v>1</v>
      </c>
      <c r="R959"/>
      <c r="S959" s="229"/>
      <c r="T959" s="229"/>
      <c r="U959" s="238"/>
      <c r="V959" s="234"/>
      <c r="W959" s="20"/>
      <c r="X959" s="20"/>
      <c r="Y959" s="20"/>
      <c r="Z959" s="20"/>
      <c r="AA959" s="229"/>
      <c r="AB959" s="20"/>
      <c r="AC959" s="20"/>
      <c r="AD959" s="20"/>
      <c r="AE959" s="20"/>
      <c r="AF959" s="20"/>
      <c r="AG959" s="20"/>
      <c r="AH959" s="20"/>
      <c r="AI959" s="20"/>
      <c r="AJ959"/>
      <c r="AK959"/>
      <c r="AL959"/>
      <c r="AM959"/>
      <c r="AN959"/>
    </row>
    <row r="960" spans="1:40" customFormat="1" ht="14.25" customHeight="1">
      <c r="A960" s="189" t="s">
        <v>3742</v>
      </c>
      <c r="B960" s="9">
        <v>6.2</v>
      </c>
      <c r="C960" s="157" t="s">
        <v>3667</v>
      </c>
      <c r="D960" s="183"/>
      <c r="E960" s="183"/>
      <c r="F960" s="188"/>
      <c r="G960" s="188"/>
      <c r="H960" s="183"/>
      <c r="I960" s="183"/>
      <c r="J960" s="188"/>
      <c r="K960" s="188"/>
      <c r="L960" s="9"/>
      <c r="M960" s="9"/>
      <c r="N960" s="183">
        <v>3</v>
      </c>
      <c r="O960" s="7">
        <v>0.65</v>
      </c>
      <c r="P960" s="9"/>
      <c r="Q960" s="9"/>
      <c r="S960" s="229"/>
      <c r="T960" s="229"/>
      <c r="U960" s="238"/>
      <c r="V960" s="234"/>
      <c r="W960" s="20"/>
      <c r="X960" s="20"/>
      <c r="Y960" s="20"/>
      <c r="Z960" s="20"/>
      <c r="AA960" s="229"/>
      <c r="AB960" s="20"/>
      <c r="AC960" s="20"/>
      <c r="AD960" s="20"/>
      <c r="AE960" s="20"/>
      <c r="AF960" s="20"/>
      <c r="AG960" s="20"/>
      <c r="AH960" s="20"/>
      <c r="AI960" s="20"/>
    </row>
    <row r="961" spans="1:35" customFormat="1" ht="14.25" customHeight="1">
      <c r="A961" s="189" t="s">
        <v>3743</v>
      </c>
      <c r="B961" s="9">
        <v>13.7</v>
      </c>
      <c r="C961" s="157" t="s">
        <v>3662</v>
      </c>
      <c r="D961" s="183"/>
      <c r="E961" s="183"/>
      <c r="F961" s="188"/>
      <c r="G961" s="188"/>
      <c r="H961" s="183"/>
      <c r="I961" s="183"/>
      <c r="J961" s="188"/>
      <c r="K961" s="188"/>
      <c r="L961" s="9"/>
      <c r="M961" s="9"/>
      <c r="N961" s="183">
        <v>3</v>
      </c>
      <c r="O961" s="7">
        <v>0.8</v>
      </c>
      <c r="P961" s="9"/>
      <c r="Q961" s="9"/>
      <c r="S961" s="229"/>
      <c r="T961" s="229"/>
      <c r="U961" s="238"/>
      <c r="V961" s="234"/>
      <c r="W961" s="20"/>
      <c r="X961" s="20"/>
      <c r="Y961" s="20"/>
      <c r="Z961" s="20"/>
      <c r="AA961" s="229"/>
      <c r="AB961" s="20"/>
      <c r="AC961" s="20"/>
      <c r="AD961" s="20"/>
      <c r="AE961" s="20"/>
      <c r="AF961" s="20"/>
      <c r="AG961" s="20"/>
      <c r="AH961" s="20"/>
      <c r="AI961" s="20"/>
    </row>
    <row r="962" spans="1:35" customFormat="1" ht="14.25" customHeight="1">
      <c r="A962" s="189" t="s">
        <v>3744</v>
      </c>
      <c r="B962" s="9">
        <v>5.0999999999999996</v>
      </c>
      <c r="C962" s="157" t="s">
        <v>3727</v>
      </c>
      <c r="D962" s="183"/>
      <c r="E962" s="183"/>
      <c r="F962" s="188"/>
      <c r="G962" s="188"/>
      <c r="H962" s="183"/>
      <c r="I962" s="183"/>
      <c r="J962" s="188"/>
      <c r="K962" s="188"/>
      <c r="L962" s="9"/>
      <c r="M962" s="9"/>
      <c r="N962" s="183">
        <v>3</v>
      </c>
      <c r="O962" s="7">
        <v>1.5</v>
      </c>
      <c r="P962" s="9"/>
      <c r="Q962" s="9"/>
      <c r="S962" s="229"/>
      <c r="T962" s="229"/>
      <c r="U962" s="238"/>
      <c r="V962" s="234"/>
      <c r="W962" s="20"/>
      <c r="X962" s="20"/>
      <c r="Y962" s="20"/>
      <c r="Z962" s="20"/>
      <c r="AA962" s="229"/>
      <c r="AB962" s="20"/>
      <c r="AC962" s="20"/>
      <c r="AD962" s="20"/>
      <c r="AE962" s="20"/>
      <c r="AF962" s="20"/>
      <c r="AG962" s="20"/>
      <c r="AH962" s="20"/>
      <c r="AI962" s="20"/>
    </row>
    <row r="963" spans="1:35" customFormat="1" ht="14.25" customHeight="1">
      <c r="A963" s="189" t="s">
        <v>3745</v>
      </c>
      <c r="B963" s="9">
        <v>7.2</v>
      </c>
      <c r="C963" s="157" t="s">
        <v>3674</v>
      </c>
      <c r="D963" s="183"/>
      <c r="E963" s="183"/>
      <c r="F963" s="188"/>
      <c r="G963" s="188"/>
      <c r="H963" s="183"/>
      <c r="I963" s="183"/>
      <c r="J963" s="188"/>
      <c r="K963" s="188"/>
      <c r="L963" s="9"/>
      <c r="M963" s="9"/>
      <c r="N963" s="183">
        <v>3</v>
      </c>
      <c r="O963" s="7">
        <v>1.5</v>
      </c>
      <c r="P963" s="9"/>
      <c r="Q963" s="9"/>
      <c r="S963" s="229"/>
      <c r="T963" s="229"/>
      <c r="U963" s="238"/>
      <c r="V963" s="234"/>
      <c r="W963" s="20"/>
      <c r="X963" s="20"/>
      <c r="Y963" s="20"/>
      <c r="Z963" s="20"/>
      <c r="AA963" s="229"/>
      <c r="AB963" s="20"/>
      <c r="AC963" s="20"/>
      <c r="AD963" s="20"/>
      <c r="AE963" s="20"/>
      <c r="AF963" s="20"/>
      <c r="AG963" s="20"/>
      <c r="AH963" s="20"/>
      <c r="AI963" s="20"/>
    </row>
    <row r="964" spans="1:35" customFormat="1" ht="14.25" customHeight="1">
      <c r="A964" s="189" t="s">
        <v>3746</v>
      </c>
      <c r="B964" s="9">
        <v>7.3</v>
      </c>
      <c r="C964" s="157" t="s">
        <v>3672</v>
      </c>
      <c r="D964" s="183"/>
      <c r="E964" s="183"/>
      <c r="F964" s="188"/>
      <c r="G964" s="188"/>
      <c r="H964" s="183"/>
      <c r="I964" s="183"/>
      <c r="J964" s="188"/>
      <c r="K964" s="188"/>
      <c r="L964" s="9"/>
      <c r="M964" s="9"/>
      <c r="N964" s="183">
        <v>3</v>
      </c>
      <c r="O964" s="7">
        <v>0.59</v>
      </c>
      <c r="P964" s="9"/>
      <c r="Q964" s="9"/>
      <c r="S964" s="229"/>
      <c r="T964" s="229"/>
      <c r="U964" s="238"/>
      <c r="V964" s="234"/>
      <c r="W964" s="20"/>
      <c r="X964" s="20"/>
      <c r="Y964" s="20"/>
      <c r="Z964" s="20"/>
      <c r="AA964" s="229"/>
      <c r="AB964" s="20"/>
      <c r="AC964" s="20"/>
      <c r="AD964" s="20"/>
      <c r="AE964" s="20"/>
      <c r="AF964" s="20"/>
      <c r="AG964" s="20"/>
      <c r="AH964" s="20"/>
      <c r="AI964" s="20"/>
    </row>
    <row r="965" spans="1:35" customFormat="1" ht="14.25" customHeight="1">
      <c r="A965" s="189" t="s">
        <v>3747</v>
      </c>
      <c r="B965" s="9">
        <v>9</v>
      </c>
      <c r="C965" s="157" t="s">
        <v>3670</v>
      </c>
      <c r="D965" s="184"/>
      <c r="E965" s="184"/>
      <c r="F965" s="188"/>
      <c r="G965" s="188"/>
      <c r="H965" s="184"/>
      <c r="I965" s="184"/>
      <c r="J965" s="188"/>
      <c r="K965" s="188"/>
      <c r="L965" s="3"/>
      <c r="M965" s="3"/>
      <c r="N965" s="184">
        <v>10</v>
      </c>
      <c r="O965" s="7">
        <v>0.89</v>
      </c>
      <c r="P965" s="9"/>
      <c r="Q965" s="9"/>
      <c r="S965" s="229"/>
      <c r="T965" s="229"/>
      <c r="U965" s="238"/>
      <c r="V965" s="234"/>
      <c r="W965" s="20"/>
      <c r="X965" s="20"/>
      <c r="Y965" s="20"/>
      <c r="Z965" s="20"/>
      <c r="AA965" s="229"/>
      <c r="AB965" s="20"/>
      <c r="AC965" s="20"/>
      <c r="AD965" s="20"/>
      <c r="AE965" s="20"/>
      <c r="AF965" s="20"/>
      <c r="AG965" s="20"/>
      <c r="AH965" s="20"/>
      <c r="AI965" s="20"/>
    </row>
    <row r="966" spans="1:35" customFormat="1" ht="14.25" customHeight="1">
      <c r="A966" s="189" t="s">
        <v>3748</v>
      </c>
      <c r="B966" s="9">
        <v>14.1</v>
      </c>
      <c r="C966" s="157" t="s">
        <v>3666</v>
      </c>
      <c r="D966" s="183"/>
      <c r="E966" s="183"/>
      <c r="F966" s="188"/>
      <c r="G966" s="188"/>
      <c r="H966" s="183"/>
      <c r="I966" s="183"/>
      <c r="J966" s="188"/>
      <c r="K966" s="188"/>
      <c r="L966" s="9"/>
      <c r="M966" s="9"/>
      <c r="N966" s="183">
        <v>3</v>
      </c>
      <c r="O966" s="7">
        <v>1.8</v>
      </c>
      <c r="P966" s="9"/>
      <c r="Q966" s="9"/>
      <c r="S966" s="229"/>
      <c r="T966" s="229"/>
      <c r="U966" s="238"/>
      <c r="V966" s="234"/>
      <c r="W966" s="20"/>
      <c r="X966" s="20"/>
      <c r="Y966" s="20"/>
      <c r="Z966" s="20"/>
      <c r="AA966" s="229"/>
      <c r="AB966" s="20"/>
      <c r="AC966" s="20"/>
      <c r="AD966" s="20"/>
      <c r="AE966" s="20"/>
      <c r="AF966" s="20"/>
      <c r="AG966" s="20"/>
      <c r="AH966" s="20"/>
      <c r="AI966" s="20"/>
    </row>
    <row r="967" spans="1:35" customFormat="1" ht="14.25" customHeight="1">
      <c r="A967" s="189" t="s">
        <v>3749</v>
      </c>
      <c r="B967" s="9">
        <v>8.9</v>
      </c>
      <c r="C967" s="157" t="s">
        <v>3673</v>
      </c>
      <c r="D967" s="183"/>
      <c r="E967" s="183"/>
      <c r="F967" s="188"/>
      <c r="G967" s="188"/>
      <c r="H967" s="183"/>
      <c r="I967" s="183"/>
      <c r="J967" s="188"/>
      <c r="K967" s="188"/>
      <c r="L967" s="9"/>
      <c r="M967" s="9"/>
      <c r="N967" s="183">
        <v>3</v>
      </c>
      <c r="O967" s="7">
        <v>1.6</v>
      </c>
      <c r="P967" s="9"/>
      <c r="Q967" s="9"/>
      <c r="S967" s="229"/>
      <c r="T967" s="229"/>
      <c r="U967" s="238"/>
      <c r="V967" s="234"/>
      <c r="W967" s="20"/>
      <c r="X967" s="20"/>
      <c r="Y967" s="20"/>
      <c r="Z967" s="20"/>
      <c r="AA967" s="229"/>
      <c r="AB967" s="20"/>
      <c r="AC967" s="20"/>
      <c r="AD967" s="20"/>
      <c r="AE967" s="20"/>
      <c r="AF967" s="20"/>
      <c r="AG967" s="20"/>
      <c r="AH967" s="20"/>
      <c r="AI967" s="20"/>
    </row>
    <row r="968" spans="1:35" customFormat="1" ht="14.25" customHeight="1">
      <c r="A968" s="189" t="s">
        <v>3750</v>
      </c>
      <c r="B968" s="9">
        <v>6.8</v>
      </c>
      <c r="C968" s="157" t="s">
        <v>3669</v>
      </c>
      <c r="D968" s="183"/>
      <c r="E968" s="183"/>
      <c r="F968" s="188"/>
      <c r="G968" s="188"/>
      <c r="H968" s="183"/>
      <c r="I968" s="183"/>
      <c r="J968" s="188"/>
      <c r="K968" s="188"/>
      <c r="L968" s="9"/>
      <c r="M968" s="9"/>
      <c r="N968" s="183">
        <v>3</v>
      </c>
      <c r="O968" s="7">
        <v>0.8</v>
      </c>
      <c r="P968" s="9"/>
      <c r="Q968" s="9"/>
      <c r="S968" s="229"/>
      <c r="T968" s="229"/>
      <c r="U968" s="238"/>
      <c r="V968" s="234"/>
      <c r="W968" s="20"/>
      <c r="X968" s="20"/>
      <c r="Y968" s="20"/>
      <c r="Z968" s="20"/>
      <c r="AA968" s="229"/>
      <c r="AB968" s="20"/>
      <c r="AC968" s="20"/>
      <c r="AD968" s="20"/>
      <c r="AE968" s="20"/>
      <c r="AF968" s="20"/>
      <c r="AG968" s="20"/>
      <c r="AH968" s="20"/>
      <c r="AI968" s="20"/>
    </row>
    <row r="969" spans="1:35" customFormat="1" ht="14.25" customHeight="1">
      <c r="A969" s="189" t="s">
        <v>3831</v>
      </c>
      <c r="B969" s="9">
        <v>5.9</v>
      </c>
      <c r="C969" s="157" t="s">
        <v>3650</v>
      </c>
      <c r="D969" s="183"/>
      <c r="E969" s="183"/>
      <c r="F969" s="188"/>
      <c r="G969" s="188"/>
      <c r="H969" s="183"/>
      <c r="I969" s="183"/>
      <c r="J969" s="188"/>
      <c r="K969" s="188"/>
      <c r="L969" s="9"/>
      <c r="M969" s="9"/>
      <c r="N969" s="183">
        <v>10</v>
      </c>
      <c r="O969" s="7">
        <v>0.45</v>
      </c>
      <c r="P969" s="9"/>
      <c r="Q969" s="9"/>
      <c r="S969" s="229"/>
      <c r="T969" s="229"/>
      <c r="U969" s="238"/>
      <c r="V969" s="234"/>
      <c r="W969" s="20"/>
      <c r="X969" s="20"/>
      <c r="Y969" s="20"/>
      <c r="Z969" s="20"/>
      <c r="AA969" s="229"/>
      <c r="AB969" s="20"/>
      <c r="AC969" s="20"/>
      <c r="AD969" s="20"/>
      <c r="AE969" s="20"/>
      <c r="AF969" s="20"/>
      <c r="AG969" s="20"/>
      <c r="AH969" s="20"/>
      <c r="AI969" s="20"/>
    </row>
    <row r="970" spans="1:35" customFormat="1" ht="14.25" customHeight="1">
      <c r="A970" s="189" t="s">
        <v>3751</v>
      </c>
      <c r="B970" s="9">
        <v>4.8</v>
      </c>
      <c r="C970" s="31" t="s">
        <v>3833</v>
      </c>
      <c r="D970" s="183"/>
      <c r="E970" s="183"/>
      <c r="F970" s="188"/>
      <c r="G970" s="188"/>
      <c r="H970" s="183"/>
      <c r="I970" s="183"/>
      <c r="J970" s="188"/>
      <c r="K970" s="188"/>
      <c r="L970" s="9"/>
      <c r="M970" s="9"/>
      <c r="N970" s="183">
        <v>5</v>
      </c>
      <c r="O970" s="7">
        <v>0.8</v>
      </c>
      <c r="P970" s="9"/>
      <c r="Q970" s="9"/>
      <c r="S970" s="229"/>
      <c r="T970" s="229"/>
      <c r="U970" s="238"/>
      <c r="V970" s="234"/>
      <c r="W970" s="20"/>
      <c r="X970" s="20"/>
      <c r="Y970" s="20"/>
      <c r="Z970" s="20"/>
      <c r="AA970" s="229"/>
      <c r="AB970" s="20"/>
      <c r="AC970" s="20"/>
      <c r="AD970" s="20"/>
      <c r="AE970" s="20"/>
      <c r="AF970" s="20"/>
      <c r="AG970" s="20"/>
      <c r="AH970" s="20"/>
      <c r="AI970" s="20"/>
    </row>
    <row r="971" spans="1:35" customFormat="1" ht="14.25" customHeight="1">
      <c r="A971" s="189" t="s">
        <v>3752</v>
      </c>
      <c r="B971" s="9">
        <v>3.5</v>
      </c>
      <c r="C971" s="157" t="s">
        <v>3645</v>
      </c>
      <c r="D971" s="183"/>
      <c r="E971" s="183"/>
      <c r="F971" s="188"/>
      <c r="G971" s="188"/>
      <c r="H971" s="183"/>
      <c r="I971" s="183"/>
      <c r="J971" s="188"/>
      <c r="K971" s="188"/>
      <c r="L971" s="9"/>
      <c r="M971" s="9"/>
      <c r="N971" s="183">
        <v>6</v>
      </c>
      <c r="O971" s="7">
        <v>0.2</v>
      </c>
      <c r="P971" s="9"/>
      <c r="Q971" s="9"/>
      <c r="S971" s="229"/>
      <c r="T971" s="229"/>
      <c r="U971" s="238"/>
      <c r="V971" s="234"/>
      <c r="W971" s="20"/>
      <c r="X971" s="20"/>
      <c r="Y971" s="20"/>
      <c r="Z971" s="20"/>
      <c r="AA971" s="229"/>
      <c r="AB971" s="20"/>
      <c r="AC971" s="20"/>
      <c r="AD971" s="20"/>
      <c r="AE971" s="20"/>
      <c r="AF971" s="20"/>
      <c r="AG971" s="20"/>
      <c r="AH971" s="20"/>
      <c r="AI971" s="20"/>
    </row>
    <row r="972" spans="1:35" customFormat="1" ht="14.25" customHeight="1">
      <c r="A972" s="190" t="s">
        <v>3753</v>
      </c>
      <c r="B972" s="9">
        <v>5</v>
      </c>
      <c r="C972" s="160" t="s">
        <v>3684</v>
      </c>
      <c r="D972" s="183"/>
      <c r="E972" s="183"/>
      <c r="F972" s="188"/>
      <c r="G972" s="188"/>
      <c r="H972" s="183"/>
      <c r="I972" s="183"/>
      <c r="J972" s="188"/>
      <c r="K972" s="188"/>
      <c r="L972" s="9"/>
      <c r="M972" s="9"/>
      <c r="N972" s="183">
        <v>100</v>
      </c>
      <c r="O972" s="198">
        <v>0.3</v>
      </c>
      <c r="P972" s="226"/>
      <c r="Q972" s="226"/>
      <c r="S972" s="229"/>
      <c r="T972" s="229"/>
      <c r="U972" s="238"/>
      <c r="V972" s="234"/>
      <c r="W972" s="20"/>
      <c r="X972" s="20"/>
      <c r="Y972" s="20"/>
      <c r="Z972" s="20"/>
      <c r="AA972" s="229"/>
      <c r="AB972" s="20"/>
      <c r="AC972" s="20"/>
      <c r="AD972" s="20"/>
      <c r="AE972" s="20"/>
      <c r="AF972" s="20"/>
      <c r="AG972" s="20"/>
      <c r="AH972" s="20"/>
      <c r="AI972" s="20"/>
    </row>
    <row r="973" spans="1:35" customFormat="1" ht="14.25" customHeight="1">
      <c r="A973" s="189" t="s">
        <v>3754</v>
      </c>
      <c r="B973" s="9">
        <v>7</v>
      </c>
      <c r="C973" s="157" t="s">
        <v>3649</v>
      </c>
      <c r="D973" s="183"/>
      <c r="E973" s="183"/>
      <c r="F973" s="188"/>
      <c r="G973" s="188"/>
      <c r="H973" s="183"/>
      <c r="I973" s="183"/>
      <c r="J973" s="188"/>
      <c r="K973" s="188"/>
      <c r="L973" s="9"/>
      <c r="M973" s="9"/>
      <c r="N973" s="183">
        <v>3</v>
      </c>
      <c r="O973" s="7">
        <v>1.3</v>
      </c>
      <c r="P973" s="9"/>
      <c r="Q973" s="9"/>
      <c r="S973" s="229"/>
      <c r="T973" s="229"/>
      <c r="U973" s="238"/>
      <c r="V973" s="234"/>
      <c r="W973" s="20"/>
      <c r="X973" s="20"/>
      <c r="Y973" s="20"/>
      <c r="Z973" s="20"/>
      <c r="AA973" s="229"/>
      <c r="AB973" s="20"/>
      <c r="AC973" s="20"/>
      <c r="AD973" s="20"/>
      <c r="AE973" s="20"/>
      <c r="AF973" s="20"/>
      <c r="AG973" s="20"/>
      <c r="AH973" s="20"/>
      <c r="AI973" s="20"/>
    </row>
    <row r="974" spans="1:35" customFormat="1" ht="14.25" customHeight="1">
      <c r="A974" s="189" t="s">
        <v>3755</v>
      </c>
      <c r="B974" s="9">
        <v>3.2</v>
      </c>
      <c r="C974" s="157" t="s">
        <v>3651</v>
      </c>
      <c r="D974" s="183"/>
      <c r="E974" s="183"/>
      <c r="F974" s="188"/>
      <c r="G974" s="188"/>
      <c r="H974" s="183"/>
      <c r="I974" s="183"/>
      <c r="J974" s="188"/>
      <c r="K974" s="188"/>
      <c r="L974" s="9"/>
      <c r="M974" s="9"/>
      <c r="N974" s="183">
        <v>50</v>
      </c>
      <c r="O974" s="7">
        <v>0.22</v>
      </c>
      <c r="P974" s="9"/>
      <c r="Q974" s="9"/>
      <c r="S974" s="229"/>
      <c r="T974" s="229"/>
      <c r="U974" s="238"/>
      <c r="V974" s="234"/>
      <c r="W974" s="20"/>
      <c r="X974" s="20"/>
      <c r="Y974" s="20"/>
      <c r="Z974" s="20"/>
      <c r="AA974" s="229"/>
      <c r="AB974" s="20"/>
      <c r="AC974" s="20"/>
      <c r="AD974" s="20"/>
      <c r="AE974" s="20"/>
      <c r="AF974" s="20"/>
      <c r="AG974" s="20"/>
      <c r="AH974" s="20"/>
      <c r="AI974" s="20"/>
    </row>
    <row r="975" spans="1:35" customFormat="1" ht="14.25" customHeight="1">
      <c r="A975" s="189" t="s">
        <v>3756</v>
      </c>
      <c r="B975" s="9">
        <v>4.9000000000000004</v>
      </c>
      <c r="C975" s="157" t="s">
        <v>3648</v>
      </c>
      <c r="D975" s="183"/>
      <c r="E975" s="183"/>
      <c r="F975" s="188"/>
      <c r="G975" s="188"/>
      <c r="H975" s="183"/>
      <c r="I975" s="183"/>
      <c r="J975" s="188"/>
      <c r="K975" s="188"/>
      <c r="L975" s="9"/>
      <c r="M975" s="9"/>
      <c r="N975" s="183">
        <v>5</v>
      </c>
      <c r="O975" s="7">
        <v>0.7</v>
      </c>
      <c r="P975" s="9"/>
      <c r="Q975" s="9"/>
      <c r="S975" s="229"/>
      <c r="T975" s="229"/>
      <c r="U975" s="238"/>
      <c r="V975" s="234"/>
      <c r="W975" s="20"/>
      <c r="X975" s="20"/>
      <c r="Y975" s="20"/>
      <c r="Z975" s="20"/>
      <c r="AA975" s="229"/>
      <c r="AB975" s="20"/>
      <c r="AC975" s="20"/>
      <c r="AD975" s="20"/>
      <c r="AE975" s="20"/>
      <c r="AF975" s="20"/>
      <c r="AG975" s="20"/>
      <c r="AH975" s="20"/>
      <c r="AI975" s="20"/>
    </row>
    <row r="976" spans="1:35" customFormat="1" ht="14.25" customHeight="1">
      <c r="A976" s="190" t="s">
        <v>3757</v>
      </c>
      <c r="B976" s="9">
        <v>5</v>
      </c>
      <c r="C976" s="160" t="s">
        <v>3718</v>
      </c>
      <c r="D976" s="183"/>
      <c r="E976" s="183"/>
      <c r="F976" s="188"/>
      <c r="G976" s="188"/>
      <c r="H976" s="183"/>
      <c r="I976" s="183"/>
      <c r="J976" s="188"/>
      <c r="K976" s="188"/>
      <c r="L976" s="9"/>
      <c r="M976" s="9"/>
      <c r="N976" s="183">
        <v>100</v>
      </c>
      <c r="O976" s="198">
        <v>0.3</v>
      </c>
      <c r="P976" s="226"/>
      <c r="Q976" s="226"/>
      <c r="S976" s="229"/>
      <c r="T976" s="229"/>
      <c r="U976" s="238"/>
      <c r="V976" s="234"/>
      <c r="W976" s="20"/>
      <c r="X976" s="20"/>
      <c r="Y976" s="20"/>
      <c r="Z976" s="20"/>
      <c r="AA976" s="229"/>
      <c r="AB976" s="20"/>
      <c r="AC976" s="20"/>
      <c r="AD976" s="20"/>
      <c r="AE976" s="20"/>
      <c r="AF976" s="20"/>
      <c r="AG976" s="20"/>
      <c r="AH976" s="20"/>
      <c r="AI976" s="20"/>
    </row>
    <row r="977" spans="1:35" customFormat="1" ht="14.25" customHeight="1">
      <c r="A977" s="190" t="s">
        <v>3758</v>
      </c>
      <c r="B977" s="9">
        <v>8</v>
      </c>
      <c r="C977" s="160" t="s">
        <v>3722</v>
      </c>
      <c r="D977" s="183"/>
      <c r="E977" s="183"/>
      <c r="F977" s="188"/>
      <c r="G977" s="188"/>
      <c r="H977" s="183"/>
      <c r="I977" s="183"/>
      <c r="J977" s="188"/>
      <c r="K977" s="188"/>
      <c r="L977" s="9"/>
      <c r="M977" s="9"/>
      <c r="N977" s="183">
        <v>100</v>
      </c>
      <c r="O977" s="198">
        <v>0.4</v>
      </c>
      <c r="P977" s="226"/>
      <c r="Q977" s="226"/>
      <c r="S977" s="229"/>
      <c r="T977" s="229"/>
      <c r="U977" s="238"/>
      <c r="V977" s="234"/>
      <c r="W977" s="20"/>
      <c r="X977" s="20"/>
      <c r="Y977" s="20"/>
      <c r="Z977" s="20"/>
      <c r="AA977" s="229"/>
      <c r="AB977" s="20"/>
      <c r="AC977" s="20"/>
      <c r="AD977" s="20"/>
      <c r="AE977" s="20"/>
      <c r="AF977" s="20"/>
      <c r="AG977" s="20"/>
      <c r="AH977" s="20"/>
      <c r="AI977" s="20"/>
    </row>
    <row r="978" spans="1:35" customFormat="1" ht="14.25" customHeight="1">
      <c r="A978" s="189" t="s">
        <v>3759</v>
      </c>
      <c r="B978" s="9">
        <v>7.7</v>
      </c>
      <c r="C978" s="157" t="s">
        <v>3654</v>
      </c>
      <c r="D978" s="183"/>
      <c r="E978" s="183"/>
      <c r="F978" s="188"/>
      <c r="G978" s="188"/>
      <c r="H978" s="183"/>
      <c r="I978" s="183"/>
      <c r="J978" s="188"/>
      <c r="K978" s="188"/>
      <c r="L978" s="9"/>
      <c r="M978" s="9"/>
      <c r="N978" s="183">
        <v>5</v>
      </c>
      <c r="O978" s="7">
        <v>1.2</v>
      </c>
      <c r="P978" s="9"/>
      <c r="Q978" s="9"/>
      <c r="S978" s="229"/>
      <c r="T978" s="229"/>
      <c r="U978" s="238"/>
      <c r="V978" s="234"/>
      <c r="W978" s="20"/>
      <c r="X978" s="20"/>
      <c r="Y978" s="20"/>
      <c r="Z978" s="20"/>
      <c r="AA978" s="229"/>
      <c r="AB978" s="20"/>
      <c r="AC978" s="20"/>
      <c r="AD978" s="20"/>
      <c r="AE978" s="20"/>
      <c r="AF978" s="20"/>
      <c r="AG978" s="20"/>
      <c r="AH978" s="20"/>
      <c r="AI978" s="20"/>
    </row>
    <row r="979" spans="1:35" customFormat="1" ht="14.25" customHeight="1">
      <c r="A979" s="189" t="s">
        <v>3760</v>
      </c>
      <c r="B979" s="9">
        <v>7.2</v>
      </c>
      <c r="C979" s="157" t="s">
        <v>3653</v>
      </c>
      <c r="D979" s="188"/>
      <c r="E979" s="188"/>
      <c r="F979" s="188"/>
      <c r="G979" s="188"/>
      <c r="H979" s="188"/>
      <c r="I979" s="188"/>
      <c r="J979" s="188"/>
      <c r="K979" s="188"/>
      <c r="L979" s="119"/>
      <c r="M979" s="119"/>
      <c r="N979" s="188">
        <v>5</v>
      </c>
      <c r="O979" s="7">
        <v>1.1000000000000001</v>
      </c>
      <c r="P979" s="9"/>
      <c r="Q979" s="9"/>
      <c r="S979" s="229"/>
      <c r="T979" s="229"/>
      <c r="U979" s="238"/>
      <c r="V979" s="234"/>
      <c r="W979" s="20"/>
      <c r="X979" s="20"/>
      <c r="Y979" s="20"/>
      <c r="Z979" s="20"/>
      <c r="AA979" s="229"/>
      <c r="AB979" s="20"/>
      <c r="AC979" s="20"/>
      <c r="AD979" s="20"/>
      <c r="AE979" s="20"/>
      <c r="AF979" s="20"/>
      <c r="AG979" s="20"/>
      <c r="AH979" s="20"/>
      <c r="AI979" s="20"/>
    </row>
    <row r="980" spans="1:35" customFormat="1" ht="14.25" customHeight="1">
      <c r="A980" s="189" t="s">
        <v>3761</v>
      </c>
      <c r="B980" s="9">
        <v>7</v>
      </c>
      <c r="C980" s="157" t="s">
        <v>3644</v>
      </c>
      <c r="D980" s="183"/>
      <c r="E980" s="183"/>
      <c r="F980" s="188"/>
      <c r="G980" s="188"/>
      <c r="H980" s="183"/>
      <c r="I980" s="183"/>
      <c r="J980" s="188"/>
      <c r="K980" s="188"/>
      <c r="L980" s="9"/>
      <c r="M980" s="9"/>
      <c r="N980" s="183">
        <v>5</v>
      </c>
      <c r="O980" s="7">
        <v>0.5</v>
      </c>
      <c r="P980" s="9"/>
      <c r="Q980" s="9"/>
      <c r="S980" s="229"/>
      <c r="T980" s="229"/>
      <c r="U980" s="238"/>
      <c r="V980" s="234"/>
      <c r="W980" s="20"/>
      <c r="X980" s="20"/>
      <c r="Y980" s="20"/>
      <c r="Z980" s="20"/>
      <c r="AA980" s="229"/>
      <c r="AB980" s="20"/>
      <c r="AC980" s="20"/>
      <c r="AD980" s="20"/>
      <c r="AE980" s="20"/>
      <c r="AF980" s="20"/>
      <c r="AG980" s="20"/>
      <c r="AH980" s="20"/>
      <c r="AI980" s="20"/>
    </row>
    <row r="981" spans="1:35" customFormat="1" ht="14.25" customHeight="1">
      <c r="A981" s="189" t="s">
        <v>3762</v>
      </c>
      <c r="B981" s="9">
        <v>6.2</v>
      </c>
      <c r="C981" s="157" t="s">
        <v>3656</v>
      </c>
      <c r="D981" s="183"/>
      <c r="E981" s="183"/>
      <c r="F981" s="188"/>
      <c r="G981" s="188"/>
      <c r="H981" s="183"/>
      <c r="I981" s="183"/>
      <c r="J981" s="188"/>
      <c r="K981" s="188"/>
      <c r="L981" s="9"/>
      <c r="M981" s="9"/>
      <c r="N981" s="183">
        <v>3</v>
      </c>
      <c r="O981" s="7">
        <v>1.3</v>
      </c>
      <c r="P981" s="9"/>
      <c r="Q981" s="9"/>
      <c r="S981" s="229"/>
      <c r="T981" s="229"/>
      <c r="U981" s="238"/>
      <c r="V981" s="234"/>
      <c r="W981" s="20"/>
      <c r="X981" s="20"/>
      <c r="Y981" s="20"/>
      <c r="Z981" s="20"/>
      <c r="AA981" s="229"/>
      <c r="AB981" s="20"/>
      <c r="AC981" s="20"/>
      <c r="AD981" s="20"/>
      <c r="AE981" s="20"/>
      <c r="AF981" s="20"/>
      <c r="AG981" s="20"/>
      <c r="AH981" s="20"/>
      <c r="AI981" s="20"/>
    </row>
    <row r="982" spans="1:35" customFormat="1" ht="14.25" customHeight="1">
      <c r="A982" s="189" t="s">
        <v>3763</v>
      </c>
      <c r="B982" s="9">
        <v>7.2</v>
      </c>
      <c r="C982" s="157" t="s">
        <v>3657</v>
      </c>
      <c r="D982" s="183"/>
      <c r="E982" s="183"/>
      <c r="F982" s="188"/>
      <c r="G982" s="188"/>
      <c r="H982" s="183"/>
      <c r="I982" s="183"/>
      <c r="J982" s="188"/>
      <c r="K982" s="188"/>
      <c r="L982" s="9"/>
      <c r="M982" s="9"/>
      <c r="N982" s="183">
        <v>5</v>
      </c>
      <c r="O982" s="7">
        <v>1.1000000000000001</v>
      </c>
      <c r="P982" s="9"/>
      <c r="Q982" s="9"/>
      <c r="S982" s="229"/>
      <c r="T982" s="229"/>
      <c r="U982" s="238"/>
      <c r="V982" s="234"/>
      <c r="W982" s="20"/>
      <c r="X982" s="20"/>
      <c r="Y982" s="20"/>
      <c r="Z982" s="20"/>
      <c r="AA982" s="229"/>
      <c r="AB982" s="20"/>
      <c r="AC982" s="20"/>
      <c r="AD982" s="20"/>
      <c r="AE982" s="20"/>
      <c r="AF982" s="20"/>
      <c r="AG982" s="20"/>
      <c r="AH982" s="20"/>
      <c r="AI982" s="20"/>
    </row>
    <row r="983" spans="1:35" customFormat="1" ht="14.25" customHeight="1">
      <c r="A983" s="189" t="s">
        <v>3764</v>
      </c>
      <c r="B983" s="9">
        <v>8.9</v>
      </c>
      <c r="C983" s="157" t="s">
        <v>3655</v>
      </c>
      <c r="D983" s="183"/>
      <c r="E983" s="183"/>
      <c r="F983" s="188"/>
      <c r="G983" s="188"/>
      <c r="H983" s="183"/>
      <c r="I983" s="183"/>
      <c r="J983" s="188"/>
      <c r="K983" s="188"/>
      <c r="L983" s="9"/>
      <c r="M983" s="9"/>
      <c r="N983" s="183">
        <v>3</v>
      </c>
      <c r="O983" s="7">
        <v>1.6</v>
      </c>
      <c r="P983" s="9"/>
      <c r="Q983" s="9"/>
      <c r="S983" s="229"/>
      <c r="T983" s="229"/>
      <c r="U983" s="238"/>
      <c r="V983" s="234"/>
      <c r="W983" s="20"/>
      <c r="X983" s="20"/>
      <c r="Y983" s="20"/>
      <c r="Z983" s="20"/>
      <c r="AA983" s="229"/>
      <c r="AB983" s="20"/>
      <c r="AC983" s="20"/>
      <c r="AD983" s="20"/>
      <c r="AE983" s="20"/>
      <c r="AF983" s="20"/>
      <c r="AG983" s="20"/>
      <c r="AH983" s="20"/>
      <c r="AI983" s="20"/>
    </row>
    <row r="984" spans="1:35" customFormat="1" ht="14.25" customHeight="1">
      <c r="A984" s="189" t="s">
        <v>3765</v>
      </c>
      <c r="B984" s="9">
        <v>7.5</v>
      </c>
      <c r="C984" s="157" t="s">
        <v>3647</v>
      </c>
      <c r="D984" s="183"/>
      <c r="E984" s="183"/>
      <c r="F984" s="188"/>
      <c r="G984" s="188"/>
      <c r="H984" s="183"/>
      <c r="I984" s="183"/>
      <c r="J984" s="188"/>
      <c r="K984" s="188"/>
      <c r="L984" s="9"/>
      <c r="M984" s="9"/>
      <c r="N984" s="183">
        <v>3</v>
      </c>
      <c r="O984" s="7">
        <v>0.9</v>
      </c>
      <c r="P984" s="9"/>
      <c r="Q984" s="9"/>
      <c r="S984" s="229"/>
      <c r="T984" s="229"/>
      <c r="U984" s="238"/>
      <c r="V984" s="234"/>
      <c r="W984" s="20"/>
      <c r="X984" s="20"/>
      <c r="Y984" s="20"/>
      <c r="Z984" s="20"/>
      <c r="AA984" s="229"/>
      <c r="AB984" s="20"/>
      <c r="AC984" s="20"/>
      <c r="AD984" s="20"/>
      <c r="AE984" s="20"/>
      <c r="AF984" s="20"/>
      <c r="AG984" s="20"/>
      <c r="AH984" s="20"/>
      <c r="AI984" s="20"/>
    </row>
    <row r="985" spans="1:35" customFormat="1" ht="14.25" customHeight="1">
      <c r="A985" s="189" t="s">
        <v>3766</v>
      </c>
      <c r="B985" s="9">
        <v>10.5</v>
      </c>
      <c r="C985" s="157" t="s">
        <v>3659</v>
      </c>
      <c r="D985" s="183"/>
      <c r="E985" s="183"/>
      <c r="F985" s="188"/>
      <c r="G985" s="188"/>
      <c r="H985" s="183"/>
      <c r="I985" s="183"/>
      <c r="J985" s="188"/>
      <c r="K985" s="188"/>
      <c r="L985" s="9"/>
      <c r="M985" s="9"/>
      <c r="N985" s="183">
        <v>10</v>
      </c>
      <c r="O985" s="7">
        <v>0.76</v>
      </c>
      <c r="P985" s="9"/>
      <c r="Q985" s="9"/>
      <c r="S985" s="229"/>
      <c r="T985" s="229"/>
      <c r="U985" s="238"/>
      <c r="V985" s="234"/>
      <c r="W985" s="20"/>
      <c r="X985" s="20"/>
      <c r="Y985" s="20"/>
      <c r="Z985" s="20"/>
      <c r="AA985" s="229"/>
      <c r="AB985" s="20"/>
      <c r="AC985" s="20"/>
      <c r="AD985" s="20"/>
      <c r="AE985" s="20"/>
      <c r="AF985" s="20"/>
      <c r="AG985" s="20"/>
      <c r="AH985" s="20"/>
      <c r="AI985" s="20"/>
    </row>
    <row r="986" spans="1:35" customFormat="1" ht="14.25" customHeight="1">
      <c r="A986" s="189" t="s">
        <v>3767</v>
      </c>
      <c r="B986" s="9">
        <v>7.7</v>
      </c>
      <c r="C986" s="157" t="s">
        <v>3652</v>
      </c>
      <c r="D986" s="183"/>
      <c r="E986" s="183"/>
      <c r="F986" s="188"/>
      <c r="G986" s="188"/>
      <c r="H986" s="183"/>
      <c r="I986" s="183"/>
      <c r="J986" s="188"/>
      <c r="K986" s="188"/>
      <c r="L986" s="9"/>
      <c r="M986" s="9"/>
      <c r="N986" s="183">
        <v>5</v>
      </c>
      <c r="O986" s="7">
        <v>0.9</v>
      </c>
      <c r="P986" s="9"/>
      <c r="Q986" s="9"/>
      <c r="S986" s="229"/>
      <c r="T986" s="229"/>
      <c r="U986" s="238"/>
      <c r="V986" s="234"/>
      <c r="W986" s="20"/>
      <c r="X986" s="20"/>
      <c r="Y986" s="20"/>
      <c r="Z986" s="20"/>
      <c r="AA986" s="229"/>
      <c r="AB986" s="20"/>
      <c r="AC986" s="20"/>
      <c r="AD986" s="20"/>
      <c r="AE986" s="20"/>
      <c r="AF986" s="20"/>
      <c r="AG986" s="20"/>
      <c r="AH986" s="20"/>
      <c r="AI986" s="20"/>
    </row>
    <row r="987" spans="1:35" customFormat="1" ht="14.25" customHeight="1">
      <c r="A987" s="189" t="s">
        <v>3768</v>
      </c>
      <c r="B987" s="9">
        <v>11</v>
      </c>
      <c r="C987" s="157" t="s">
        <v>3658</v>
      </c>
      <c r="D987" s="183"/>
      <c r="E987" s="183"/>
      <c r="F987" s="188"/>
      <c r="G987" s="188"/>
      <c r="H987" s="183"/>
      <c r="I987" s="183"/>
      <c r="J987" s="188"/>
      <c r="K987" s="188"/>
      <c r="L987" s="9"/>
      <c r="M987" s="9"/>
      <c r="N987" s="183">
        <v>3</v>
      </c>
      <c r="O987" s="7">
        <v>1.8</v>
      </c>
      <c r="P987" s="9"/>
      <c r="Q987" s="9"/>
      <c r="S987" s="229"/>
      <c r="T987" s="229"/>
      <c r="U987" s="238"/>
      <c r="V987" s="234"/>
      <c r="W987" s="20"/>
      <c r="X987" s="20"/>
      <c r="Y987" s="20"/>
      <c r="Z987" s="20"/>
      <c r="AA987" s="229"/>
      <c r="AB987" s="20"/>
      <c r="AC987" s="20"/>
      <c r="AD987" s="20"/>
      <c r="AE987" s="20"/>
      <c r="AF987" s="20"/>
      <c r="AG987" s="20"/>
      <c r="AH987" s="20"/>
      <c r="AI987" s="20"/>
    </row>
    <row r="988" spans="1:35" customFormat="1" ht="14.25" customHeight="1">
      <c r="A988" s="189" t="s">
        <v>3769</v>
      </c>
      <c r="B988" s="9">
        <v>7.9</v>
      </c>
      <c r="C988" s="157" t="s">
        <v>3646</v>
      </c>
      <c r="D988" s="183"/>
      <c r="E988" s="183"/>
      <c r="F988" s="188"/>
      <c r="G988" s="188"/>
      <c r="H988" s="183"/>
      <c r="I988" s="183"/>
      <c r="J988" s="188"/>
      <c r="K988" s="188"/>
      <c r="L988" s="9"/>
      <c r="M988" s="9"/>
      <c r="N988" s="183">
        <v>3</v>
      </c>
      <c r="O988" s="7">
        <v>0.8</v>
      </c>
      <c r="P988" s="9"/>
      <c r="Q988" s="9"/>
      <c r="S988" s="229"/>
      <c r="T988" s="229"/>
      <c r="U988" s="238"/>
      <c r="V988" s="234"/>
      <c r="W988" s="20"/>
      <c r="X988" s="20"/>
      <c r="Y988" s="20"/>
      <c r="Z988" s="20"/>
      <c r="AA988" s="229"/>
      <c r="AB988" s="20"/>
      <c r="AC988" s="20"/>
      <c r="AD988" s="20"/>
      <c r="AE988" s="20"/>
      <c r="AF988" s="20"/>
      <c r="AG988" s="20"/>
      <c r="AH988" s="20"/>
      <c r="AI988" s="20"/>
    </row>
    <row r="989" spans="1:35" customFormat="1" ht="14.25" customHeight="1">
      <c r="A989" s="190" t="s">
        <v>3770</v>
      </c>
      <c r="B989" s="9">
        <v>7</v>
      </c>
      <c r="C989" s="158" t="s">
        <v>3682</v>
      </c>
      <c r="D989" s="183"/>
      <c r="E989" s="183"/>
      <c r="F989" s="188"/>
      <c r="G989" s="188"/>
      <c r="H989" s="183"/>
      <c r="I989" s="183"/>
      <c r="J989" s="188"/>
      <c r="K989" s="188"/>
      <c r="L989" s="9"/>
      <c r="M989" s="9"/>
      <c r="N989" s="183">
        <v>100</v>
      </c>
      <c r="O989" s="198">
        <v>0.4</v>
      </c>
      <c r="P989" s="226"/>
      <c r="Q989" s="226"/>
      <c r="S989" s="229"/>
      <c r="T989" s="229"/>
      <c r="U989" s="238"/>
      <c r="V989" s="234"/>
      <c r="W989" s="20"/>
      <c r="X989" s="20"/>
      <c r="Y989" s="20"/>
      <c r="Z989" s="20"/>
      <c r="AA989" s="229"/>
      <c r="AB989" s="20"/>
      <c r="AC989" s="20"/>
      <c r="AD989" s="20"/>
      <c r="AE989" s="20"/>
      <c r="AF989" s="20"/>
      <c r="AG989" s="20"/>
      <c r="AH989" s="20"/>
      <c r="AI989" s="20"/>
    </row>
    <row r="990" spans="1:35" customFormat="1" ht="14.25" customHeight="1">
      <c r="A990" s="189" t="s">
        <v>3771</v>
      </c>
      <c r="B990" s="9">
        <v>4.8</v>
      </c>
      <c r="C990" s="157" t="s">
        <v>3679</v>
      </c>
      <c r="D990" s="183"/>
      <c r="E990" s="183"/>
      <c r="F990" s="188"/>
      <c r="G990" s="188"/>
      <c r="H990" s="183"/>
      <c r="I990" s="183"/>
      <c r="J990" s="188"/>
      <c r="K990" s="188"/>
      <c r="L990" s="9"/>
      <c r="M990" s="9"/>
      <c r="N990" s="183">
        <v>10</v>
      </c>
      <c r="O990" s="7">
        <v>0.5</v>
      </c>
      <c r="P990" s="9"/>
      <c r="Q990" s="9"/>
      <c r="S990" s="229"/>
      <c r="T990" s="229"/>
      <c r="U990" s="238"/>
      <c r="V990" s="234"/>
      <c r="W990" s="20"/>
      <c r="X990" s="20"/>
      <c r="Y990" s="20"/>
      <c r="Z990" s="20"/>
      <c r="AA990" s="229"/>
      <c r="AB990" s="20"/>
      <c r="AC990" s="20"/>
      <c r="AD990" s="20"/>
      <c r="AE990" s="20"/>
      <c r="AF990" s="20"/>
      <c r="AG990" s="20"/>
      <c r="AH990" s="20"/>
      <c r="AI990" s="20"/>
    </row>
    <row r="991" spans="1:35" customFormat="1" ht="14.25" customHeight="1">
      <c r="A991" s="114" t="s">
        <v>3837</v>
      </c>
      <c r="B991" s="9">
        <v>6</v>
      </c>
      <c r="C991" s="157" t="s">
        <v>3678</v>
      </c>
      <c r="D991" s="183"/>
      <c r="E991" s="183"/>
      <c r="F991" s="188"/>
      <c r="G991" s="188"/>
      <c r="H991" s="183"/>
      <c r="I991" s="183"/>
      <c r="J991" s="188"/>
      <c r="K991" s="188"/>
      <c r="L991" s="9"/>
      <c r="M991" s="9"/>
      <c r="N991" s="183">
        <v>10</v>
      </c>
      <c r="O991" s="7">
        <v>0.5</v>
      </c>
      <c r="P991" s="9"/>
      <c r="Q991" s="9"/>
      <c r="S991" s="229"/>
      <c r="T991" s="229"/>
      <c r="U991" s="238"/>
      <c r="V991" s="234"/>
      <c r="W991" s="20"/>
      <c r="X991" s="20"/>
      <c r="Y991" s="20"/>
      <c r="Z991" s="20"/>
      <c r="AA991" s="229"/>
      <c r="AB991" s="20"/>
      <c r="AC991" s="20"/>
      <c r="AD991" s="20"/>
      <c r="AE991" s="20"/>
      <c r="AF991" s="20"/>
      <c r="AG991" s="20"/>
      <c r="AH991" s="20"/>
      <c r="AI991" s="20"/>
    </row>
    <row r="992" spans="1:35" customFormat="1" ht="14.25" customHeight="1">
      <c r="A992" s="189" t="s">
        <v>3772</v>
      </c>
      <c r="B992" s="9">
        <v>4.8</v>
      </c>
      <c r="C992" s="157" t="s">
        <v>3686</v>
      </c>
      <c r="D992" s="183"/>
      <c r="E992" s="183"/>
      <c r="F992" s="188"/>
      <c r="G992" s="188"/>
      <c r="H992" s="183"/>
      <c r="I992" s="183"/>
      <c r="J992" s="188"/>
      <c r="K992" s="188"/>
      <c r="L992" s="9"/>
      <c r="M992" s="9"/>
      <c r="N992" s="183">
        <v>10</v>
      </c>
      <c r="O992" s="7">
        <v>0.5</v>
      </c>
      <c r="P992" s="9"/>
      <c r="Q992" s="9"/>
      <c r="S992" s="229"/>
      <c r="T992" s="229"/>
      <c r="U992" s="238"/>
      <c r="V992" s="234"/>
      <c r="W992" s="20"/>
      <c r="X992" s="20"/>
      <c r="Y992" s="20"/>
      <c r="Z992" s="20"/>
      <c r="AA992" s="229"/>
      <c r="AB992" s="20"/>
      <c r="AC992" s="20"/>
      <c r="AD992" s="20"/>
      <c r="AE992" s="20"/>
      <c r="AF992" s="20"/>
      <c r="AG992" s="20"/>
      <c r="AH992" s="20"/>
      <c r="AI992" s="20"/>
    </row>
    <row r="993" spans="1:35" customFormat="1" ht="14.25" customHeight="1">
      <c r="A993" s="114" t="s">
        <v>3836</v>
      </c>
      <c r="B993" s="9">
        <v>17.100000000000001</v>
      </c>
      <c r="C993" s="157" t="s">
        <v>3681</v>
      </c>
      <c r="D993" s="183"/>
      <c r="E993" s="183"/>
      <c r="F993" s="188"/>
      <c r="G993" s="188"/>
      <c r="H993" s="183"/>
      <c r="I993" s="183"/>
      <c r="J993" s="188"/>
      <c r="K993" s="188"/>
      <c r="L993" s="9"/>
      <c r="M993" s="9"/>
      <c r="N993" s="183">
        <v>5</v>
      </c>
      <c r="O993" s="7">
        <v>1.3</v>
      </c>
      <c r="P993" s="9"/>
      <c r="Q993" s="9"/>
      <c r="S993" s="229"/>
      <c r="T993" s="229"/>
      <c r="U993" s="238"/>
      <c r="V993" s="234"/>
      <c r="W993" s="20"/>
      <c r="X993" s="20"/>
      <c r="Y993" s="20"/>
      <c r="Z993" s="20"/>
      <c r="AA993" s="229"/>
      <c r="AB993" s="20"/>
      <c r="AC993" s="20"/>
      <c r="AD993" s="20"/>
      <c r="AE993" s="20"/>
      <c r="AF993" s="20"/>
      <c r="AG993" s="20"/>
      <c r="AH993" s="20"/>
      <c r="AI993" s="20"/>
    </row>
    <row r="994" spans="1:35" customFormat="1" ht="14.25" customHeight="1">
      <c r="A994" s="189" t="s">
        <v>3773</v>
      </c>
      <c r="B994" s="9">
        <v>11.5</v>
      </c>
      <c r="C994" s="157" t="s">
        <v>3693</v>
      </c>
      <c r="D994" s="183"/>
      <c r="E994" s="183"/>
      <c r="F994" s="188"/>
      <c r="G994" s="188"/>
      <c r="H994" s="183"/>
      <c r="I994" s="183"/>
      <c r="J994" s="188"/>
      <c r="K994" s="188"/>
      <c r="L994" s="9"/>
      <c r="M994" s="9"/>
      <c r="N994" s="183">
        <v>3</v>
      </c>
      <c r="O994" s="7">
        <v>1.3</v>
      </c>
      <c r="P994" s="9"/>
      <c r="Q994" s="9"/>
      <c r="S994" s="229"/>
      <c r="T994" s="229"/>
      <c r="U994" s="238"/>
      <c r="V994" s="234"/>
      <c r="W994" s="20"/>
      <c r="X994" s="20"/>
      <c r="Y994" s="20"/>
      <c r="Z994" s="20"/>
      <c r="AA994" s="229"/>
      <c r="AB994" s="20"/>
      <c r="AC994" s="20"/>
      <c r="AD994" s="20"/>
      <c r="AE994" s="20"/>
      <c r="AF994" s="20"/>
      <c r="AG994" s="20"/>
      <c r="AH994" s="20"/>
      <c r="AI994" s="20"/>
    </row>
    <row r="995" spans="1:35" customFormat="1" ht="14.25" customHeight="1">
      <c r="A995" s="189" t="s">
        <v>3774</v>
      </c>
      <c r="B995" s="9">
        <v>14.1</v>
      </c>
      <c r="C995" s="157" t="s">
        <v>3723</v>
      </c>
      <c r="D995" s="183"/>
      <c r="E995" s="183"/>
      <c r="F995" s="188"/>
      <c r="G995" s="188"/>
      <c r="H995" s="183"/>
      <c r="I995" s="183"/>
      <c r="J995" s="188"/>
      <c r="K995" s="188"/>
      <c r="L995" s="9"/>
      <c r="M995" s="9"/>
      <c r="N995" s="183">
        <v>5</v>
      </c>
      <c r="O995" s="7">
        <v>0.98</v>
      </c>
      <c r="P995" s="9"/>
      <c r="Q995" s="9"/>
      <c r="S995" s="229"/>
      <c r="T995" s="229"/>
      <c r="U995" s="238"/>
      <c r="V995" s="234"/>
      <c r="W995" s="20"/>
      <c r="X995" s="20"/>
      <c r="Y995" s="20"/>
      <c r="Z995" s="20"/>
      <c r="AA995" s="229"/>
      <c r="AB995" s="20"/>
      <c r="AC995" s="20"/>
      <c r="AD995" s="20"/>
      <c r="AE995" s="20"/>
      <c r="AF995" s="20"/>
      <c r="AG995" s="20"/>
      <c r="AH995" s="20"/>
      <c r="AI995" s="20"/>
    </row>
    <row r="996" spans="1:35" customFormat="1" ht="14.25" customHeight="1">
      <c r="A996" s="189" t="s">
        <v>3775</v>
      </c>
      <c r="B996" s="9">
        <v>14.1</v>
      </c>
      <c r="C996" s="157" t="s">
        <v>3724</v>
      </c>
      <c r="D996" s="183"/>
      <c r="E996" s="183"/>
      <c r="F996" s="188"/>
      <c r="G996" s="188"/>
      <c r="H996" s="183"/>
      <c r="I996" s="183"/>
      <c r="J996" s="188"/>
      <c r="K996" s="188"/>
      <c r="L996" s="9"/>
      <c r="M996" s="9"/>
      <c r="N996" s="183">
        <v>3</v>
      </c>
      <c r="O996" s="7">
        <v>0.98</v>
      </c>
      <c r="P996" s="9"/>
      <c r="Q996" s="9"/>
      <c r="S996" s="229"/>
      <c r="T996" s="229"/>
      <c r="U996" s="238"/>
      <c r="V996" s="234"/>
      <c r="W996" s="20"/>
      <c r="X996" s="20"/>
      <c r="Y996" s="20"/>
      <c r="Z996" s="20"/>
      <c r="AA996" s="229"/>
      <c r="AB996" s="20"/>
      <c r="AC996" s="20"/>
      <c r="AD996" s="20"/>
      <c r="AE996" s="20"/>
      <c r="AF996" s="20"/>
      <c r="AG996" s="20"/>
      <c r="AH996" s="20"/>
      <c r="AI996" s="20"/>
    </row>
    <row r="997" spans="1:35" customFormat="1" ht="14.25" customHeight="1">
      <c r="A997" s="189" t="s">
        <v>3776</v>
      </c>
      <c r="B997" s="9">
        <v>13.1</v>
      </c>
      <c r="C997" s="157" t="s">
        <v>3690</v>
      </c>
      <c r="D997" s="183"/>
      <c r="E997" s="183"/>
      <c r="F997" s="188"/>
      <c r="G997" s="188"/>
      <c r="H997" s="183"/>
      <c r="I997" s="183"/>
      <c r="J997" s="188"/>
      <c r="K997" s="188"/>
      <c r="L997" s="9"/>
      <c r="M997" s="9"/>
      <c r="N997" s="183">
        <v>3</v>
      </c>
      <c r="O997" s="7">
        <v>1.5</v>
      </c>
      <c r="P997" s="9"/>
      <c r="Q997" s="9"/>
      <c r="S997" s="229"/>
      <c r="T997" s="229"/>
      <c r="U997" s="238"/>
      <c r="V997" s="234"/>
      <c r="W997" s="20"/>
      <c r="X997" s="20"/>
      <c r="Y997" s="20"/>
      <c r="Z997" s="20"/>
      <c r="AA997" s="229"/>
      <c r="AB997" s="20"/>
      <c r="AC997" s="20"/>
      <c r="AD997" s="20"/>
      <c r="AE997" s="20"/>
      <c r="AF997" s="20"/>
      <c r="AG997" s="20"/>
      <c r="AH997" s="20"/>
      <c r="AI997" s="20"/>
    </row>
    <row r="998" spans="1:35" customFormat="1" ht="14.25" customHeight="1">
      <c r="A998" s="189" t="s">
        <v>3777</v>
      </c>
      <c r="B998" s="9">
        <v>12.4</v>
      </c>
      <c r="C998" s="160" t="s">
        <v>3692</v>
      </c>
      <c r="D998" s="183"/>
      <c r="E998" s="183"/>
      <c r="F998" s="188"/>
      <c r="G998" s="188"/>
      <c r="H998" s="183"/>
      <c r="I998" s="183"/>
      <c r="J998" s="188"/>
      <c r="K998" s="188"/>
      <c r="L998" s="9"/>
      <c r="M998" s="9"/>
      <c r="N998" s="183">
        <v>3</v>
      </c>
      <c r="O998" s="7">
        <v>1.3</v>
      </c>
      <c r="P998" s="9"/>
      <c r="Q998" s="9"/>
      <c r="S998" s="229"/>
      <c r="T998" s="229"/>
      <c r="U998" s="238"/>
      <c r="V998" s="234"/>
      <c r="W998" s="20"/>
      <c r="X998" s="20"/>
      <c r="Y998" s="20"/>
      <c r="Z998" s="20"/>
      <c r="AA998" s="229"/>
      <c r="AB998" s="20"/>
      <c r="AC998" s="20"/>
      <c r="AD998" s="20"/>
      <c r="AE998" s="20"/>
      <c r="AF998" s="20"/>
      <c r="AG998" s="20"/>
      <c r="AH998" s="20"/>
      <c r="AI998" s="20"/>
    </row>
    <row r="999" spans="1:35" customFormat="1" ht="14.25" customHeight="1">
      <c r="A999" s="189" t="s">
        <v>3778</v>
      </c>
      <c r="B999" s="9">
        <v>14.2</v>
      </c>
      <c r="C999" s="157" t="s">
        <v>3677</v>
      </c>
      <c r="D999" s="183"/>
      <c r="E999" s="183"/>
      <c r="F999" s="188"/>
      <c r="G999" s="188"/>
      <c r="H999" s="183"/>
      <c r="I999" s="183"/>
      <c r="J999" s="188"/>
      <c r="K999" s="188"/>
      <c r="L999" s="9"/>
      <c r="M999" s="9"/>
      <c r="N999" s="183">
        <v>5</v>
      </c>
      <c r="O999" s="7">
        <v>0.98</v>
      </c>
      <c r="P999" s="9"/>
      <c r="Q999" s="9"/>
      <c r="S999" s="229"/>
      <c r="T999" s="229"/>
      <c r="U999" s="238"/>
      <c r="V999" s="234"/>
      <c r="W999" s="20"/>
      <c r="X999" s="20"/>
      <c r="Y999" s="20"/>
      <c r="Z999" s="20"/>
      <c r="AA999" s="229"/>
      <c r="AB999" s="20"/>
      <c r="AC999" s="20"/>
      <c r="AD999" s="20"/>
      <c r="AE999" s="20"/>
      <c r="AF999" s="20"/>
      <c r="AG999" s="20"/>
      <c r="AH999" s="20"/>
      <c r="AI999" s="20"/>
    </row>
    <row r="1000" spans="1:35" customFormat="1" ht="14.25" customHeight="1">
      <c r="A1000" s="189" t="s">
        <v>3779</v>
      </c>
      <c r="B1000" s="9">
        <v>11.8</v>
      </c>
      <c r="C1000" s="157" t="s">
        <v>3687</v>
      </c>
      <c r="D1000" s="183"/>
      <c r="E1000" s="183"/>
      <c r="F1000" s="188"/>
      <c r="G1000" s="188"/>
      <c r="H1000" s="183"/>
      <c r="I1000" s="183"/>
      <c r="J1000" s="188"/>
      <c r="K1000" s="188"/>
      <c r="L1000" s="9"/>
      <c r="M1000" s="9"/>
      <c r="N1000" s="183">
        <v>3</v>
      </c>
      <c r="O1000" s="7">
        <v>1.3</v>
      </c>
      <c r="P1000" s="9"/>
      <c r="Q1000" s="9"/>
      <c r="S1000" s="229"/>
      <c r="T1000" s="229"/>
      <c r="U1000" s="238"/>
      <c r="V1000" s="234"/>
      <c r="W1000" s="20"/>
      <c r="X1000" s="20"/>
      <c r="Y1000" s="20"/>
      <c r="Z1000" s="20"/>
      <c r="AA1000" s="229"/>
      <c r="AB1000" s="20"/>
      <c r="AC1000" s="20"/>
      <c r="AD1000" s="20"/>
      <c r="AE1000" s="20"/>
      <c r="AF1000" s="20"/>
      <c r="AG1000" s="20"/>
      <c r="AH1000" s="20"/>
      <c r="AI1000" s="20"/>
    </row>
    <row r="1001" spans="1:35" customFormat="1" ht="14.25" customHeight="1">
      <c r="A1001" s="189" t="s">
        <v>3780</v>
      </c>
      <c r="B1001" s="9">
        <v>11</v>
      </c>
      <c r="C1001" s="157" t="s">
        <v>3691</v>
      </c>
      <c r="D1001" s="183"/>
      <c r="E1001" s="183"/>
      <c r="F1001" s="188"/>
      <c r="G1001" s="188"/>
      <c r="H1001" s="183"/>
      <c r="I1001" s="183"/>
      <c r="J1001" s="188"/>
      <c r="K1001" s="188"/>
      <c r="L1001" s="9"/>
      <c r="M1001" s="9"/>
      <c r="N1001" s="183">
        <v>3</v>
      </c>
      <c r="O1001" s="7">
        <v>1.2</v>
      </c>
      <c r="P1001" s="9"/>
      <c r="Q1001" s="9"/>
      <c r="S1001" s="229"/>
      <c r="T1001" s="229"/>
      <c r="U1001" s="238"/>
      <c r="V1001" s="234"/>
      <c r="W1001" s="20"/>
      <c r="X1001" s="20"/>
      <c r="Y1001" s="20"/>
      <c r="Z1001" s="20"/>
      <c r="AA1001" s="229"/>
      <c r="AB1001" s="20"/>
      <c r="AC1001" s="20"/>
      <c r="AD1001" s="20"/>
      <c r="AE1001" s="20"/>
      <c r="AF1001" s="20"/>
      <c r="AG1001" s="20"/>
      <c r="AH1001" s="20"/>
      <c r="AI1001" s="20"/>
    </row>
    <row r="1002" spans="1:35" customFormat="1" ht="14.25" customHeight="1">
      <c r="A1002" s="189" t="s">
        <v>3781</v>
      </c>
      <c r="B1002" s="9">
        <v>12.2</v>
      </c>
      <c r="C1002" s="157" t="s">
        <v>3689</v>
      </c>
      <c r="D1002" s="183"/>
      <c r="E1002" s="183"/>
      <c r="F1002" s="188"/>
      <c r="G1002" s="188"/>
      <c r="H1002" s="183"/>
      <c r="I1002" s="183"/>
      <c r="J1002" s="188"/>
      <c r="K1002" s="188"/>
      <c r="L1002" s="9"/>
      <c r="M1002" s="9"/>
      <c r="N1002" s="183">
        <v>3</v>
      </c>
      <c r="O1002" s="7">
        <v>1.8</v>
      </c>
      <c r="P1002" s="9"/>
      <c r="Q1002" s="9"/>
      <c r="S1002" s="229"/>
      <c r="T1002" s="229"/>
      <c r="U1002" s="238"/>
      <c r="V1002" s="234"/>
      <c r="W1002" s="20"/>
      <c r="X1002" s="20"/>
      <c r="Y1002" s="20"/>
      <c r="Z1002" s="20"/>
      <c r="AA1002" s="229"/>
      <c r="AB1002" s="20"/>
      <c r="AC1002" s="20"/>
      <c r="AD1002" s="20"/>
      <c r="AE1002" s="20"/>
      <c r="AF1002" s="20"/>
      <c r="AG1002" s="20"/>
      <c r="AH1002" s="20"/>
      <c r="AI1002" s="20"/>
    </row>
    <row r="1003" spans="1:35" customFormat="1" ht="14.25" customHeight="1">
      <c r="A1003" s="189" t="s">
        <v>3782</v>
      </c>
      <c r="B1003" s="9">
        <v>14.2</v>
      </c>
      <c r="C1003" s="157" t="s">
        <v>3676</v>
      </c>
      <c r="D1003" s="183"/>
      <c r="E1003" s="183"/>
      <c r="F1003" s="188"/>
      <c r="G1003" s="188"/>
      <c r="H1003" s="183"/>
      <c r="I1003" s="183"/>
      <c r="J1003" s="188"/>
      <c r="K1003" s="188"/>
      <c r="L1003" s="9"/>
      <c r="M1003" s="9"/>
      <c r="N1003" s="183">
        <v>5</v>
      </c>
      <c r="O1003" s="7">
        <v>0.79</v>
      </c>
      <c r="P1003" s="9"/>
      <c r="Q1003" s="9"/>
      <c r="S1003" s="229"/>
      <c r="T1003" s="229"/>
      <c r="U1003" s="238"/>
      <c r="V1003" s="234"/>
      <c r="W1003" s="20"/>
      <c r="X1003" s="20"/>
      <c r="Y1003" s="20"/>
      <c r="Z1003" s="20"/>
      <c r="AA1003" s="229"/>
      <c r="AB1003" s="20"/>
      <c r="AC1003" s="20"/>
      <c r="AD1003" s="20"/>
      <c r="AE1003" s="20"/>
      <c r="AF1003" s="20"/>
      <c r="AG1003" s="20"/>
      <c r="AH1003" s="20"/>
      <c r="AI1003" s="20"/>
    </row>
    <row r="1004" spans="1:35" customFormat="1" ht="14.25" customHeight="1">
      <c r="A1004" s="189" t="s">
        <v>3783</v>
      </c>
      <c r="B1004" s="9">
        <v>11.6</v>
      </c>
      <c r="C1004" s="157" t="s">
        <v>3695</v>
      </c>
      <c r="D1004" s="183"/>
      <c r="E1004" s="183"/>
      <c r="F1004" s="188"/>
      <c r="G1004" s="188"/>
      <c r="H1004" s="183"/>
      <c r="I1004" s="183"/>
      <c r="J1004" s="188"/>
      <c r="K1004" s="188"/>
      <c r="L1004" s="9"/>
      <c r="M1004" s="9"/>
      <c r="N1004" s="183">
        <v>3</v>
      </c>
      <c r="O1004" s="7">
        <v>1.3</v>
      </c>
      <c r="P1004" s="9"/>
      <c r="Q1004" s="9"/>
      <c r="S1004" s="229"/>
      <c r="T1004" s="229"/>
      <c r="U1004" s="238"/>
      <c r="V1004" s="234"/>
      <c r="W1004" s="20"/>
      <c r="X1004" s="20"/>
      <c r="Y1004" s="20"/>
      <c r="Z1004" s="20"/>
      <c r="AA1004" s="229"/>
      <c r="AB1004" s="20"/>
      <c r="AC1004" s="20"/>
      <c r="AD1004" s="20"/>
      <c r="AE1004" s="20"/>
      <c r="AF1004" s="20"/>
      <c r="AG1004" s="20"/>
      <c r="AH1004" s="20"/>
      <c r="AI1004" s="20"/>
    </row>
    <row r="1005" spans="1:35" customFormat="1" ht="14.25" customHeight="1">
      <c r="A1005" s="189" t="s">
        <v>3784</v>
      </c>
      <c r="B1005" s="9">
        <v>12.1</v>
      </c>
      <c r="C1005" s="157" t="s">
        <v>3694</v>
      </c>
      <c r="D1005" s="183"/>
      <c r="E1005" s="183"/>
      <c r="F1005" s="188"/>
      <c r="G1005" s="188"/>
      <c r="H1005" s="183"/>
      <c r="I1005" s="183"/>
      <c r="J1005" s="188"/>
      <c r="K1005" s="188"/>
      <c r="L1005" s="9"/>
      <c r="M1005" s="9"/>
      <c r="N1005" s="183">
        <v>3</v>
      </c>
      <c r="O1005" s="7">
        <v>0.99</v>
      </c>
      <c r="P1005" s="9"/>
      <c r="Q1005" s="9"/>
      <c r="S1005" s="229"/>
      <c r="T1005" s="229"/>
      <c r="U1005" s="238"/>
      <c r="V1005" s="234"/>
      <c r="W1005" s="20"/>
      <c r="X1005" s="20"/>
      <c r="Y1005" s="20"/>
      <c r="Z1005" s="20"/>
      <c r="AA1005" s="229"/>
      <c r="AB1005" s="20"/>
      <c r="AC1005" s="20"/>
      <c r="AD1005" s="20"/>
      <c r="AE1005" s="20"/>
      <c r="AF1005" s="20"/>
      <c r="AG1005" s="20"/>
      <c r="AH1005" s="20"/>
      <c r="AI1005" s="20"/>
    </row>
    <row r="1006" spans="1:35" customFormat="1" ht="14.25" customHeight="1">
      <c r="A1006" s="189" t="s">
        <v>3785</v>
      </c>
      <c r="B1006" s="9">
        <v>12</v>
      </c>
      <c r="C1006" s="157" t="s">
        <v>3688</v>
      </c>
      <c r="D1006" s="183"/>
      <c r="E1006" s="183"/>
      <c r="F1006" s="188"/>
      <c r="G1006" s="188"/>
      <c r="H1006" s="183"/>
      <c r="I1006" s="183"/>
      <c r="J1006" s="188"/>
      <c r="K1006" s="188"/>
      <c r="L1006" s="9"/>
      <c r="M1006" s="9"/>
      <c r="N1006" s="183">
        <v>3</v>
      </c>
      <c r="O1006" s="7">
        <v>0.99</v>
      </c>
      <c r="P1006" s="9"/>
      <c r="Q1006" s="9"/>
      <c r="S1006" s="229"/>
      <c r="T1006" s="229"/>
      <c r="U1006" s="238"/>
      <c r="V1006" s="234"/>
      <c r="W1006" s="20"/>
      <c r="X1006" s="20"/>
      <c r="Y1006" s="20"/>
      <c r="Z1006" s="20"/>
      <c r="AA1006" s="229"/>
      <c r="AB1006" s="20"/>
      <c r="AC1006" s="20"/>
      <c r="AD1006" s="20"/>
      <c r="AE1006" s="20"/>
      <c r="AF1006" s="20"/>
      <c r="AG1006" s="20"/>
      <c r="AH1006" s="20"/>
      <c r="AI1006" s="20"/>
    </row>
    <row r="1007" spans="1:35" customFormat="1" ht="14.25" customHeight="1">
      <c r="A1007" s="190" t="s">
        <v>3786</v>
      </c>
      <c r="B1007" s="9">
        <v>7</v>
      </c>
      <c r="C1007" s="160" t="s">
        <v>3717</v>
      </c>
      <c r="D1007" s="183"/>
      <c r="E1007" s="183"/>
      <c r="F1007" s="188"/>
      <c r="G1007" s="188"/>
      <c r="H1007" s="183"/>
      <c r="I1007" s="183"/>
      <c r="J1007" s="188"/>
      <c r="K1007" s="188"/>
      <c r="L1007" s="9"/>
      <c r="M1007" s="9"/>
      <c r="N1007" s="183">
        <v>100</v>
      </c>
      <c r="O1007" s="198">
        <v>4</v>
      </c>
      <c r="P1007" s="226"/>
      <c r="Q1007" s="226"/>
      <c r="S1007" s="229"/>
      <c r="T1007" s="229"/>
      <c r="U1007" s="238"/>
      <c r="V1007" s="234"/>
      <c r="W1007" s="20"/>
      <c r="X1007" s="20"/>
      <c r="Y1007" s="20"/>
      <c r="Z1007" s="20"/>
      <c r="AA1007" s="229"/>
      <c r="AB1007" s="20"/>
      <c r="AC1007" s="20"/>
      <c r="AD1007" s="20"/>
      <c r="AE1007" s="20"/>
      <c r="AF1007" s="20"/>
      <c r="AG1007" s="20"/>
      <c r="AH1007" s="20"/>
      <c r="AI1007" s="20"/>
    </row>
    <row r="1008" spans="1:35" customFormat="1" ht="14.25" customHeight="1">
      <c r="A1008" s="114" t="s">
        <v>3835</v>
      </c>
      <c r="B1008" s="9">
        <v>5.9</v>
      </c>
      <c r="C1008" s="157" t="s">
        <v>3680</v>
      </c>
      <c r="D1008" s="183"/>
      <c r="E1008" s="183"/>
      <c r="F1008" s="188"/>
      <c r="G1008" s="188"/>
      <c r="H1008" s="183"/>
      <c r="I1008" s="183"/>
      <c r="J1008" s="188"/>
      <c r="K1008" s="188"/>
      <c r="L1008" s="9"/>
      <c r="M1008" s="9"/>
      <c r="N1008" s="183">
        <v>3</v>
      </c>
      <c r="O1008" s="7">
        <v>0.55000000000000004</v>
      </c>
      <c r="P1008" s="9"/>
      <c r="Q1008" s="9"/>
      <c r="S1008" s="229"/>
      <c r="T1008" s="229"/>
      <c r="U1008" s="238"/>
      <c r="V1008" s="234"/>
      <c r="W1008" s="20"/>
      <c r="X1008" s="20"/>
      <c r="Y1008" s="20"/>
      <c r="Z1008" s="20"/>
      <c r="AA1008" s="229"/>
      <c r="AB1008" s="20"/>
      <c r="AC1008" s="20"/>
      <c r="AD1008" s="20"/>
      <c r="AE1008" s="20"/>
      <c r="AF1008" s="20"/>
      <c r="AG1008" s="20"/>
      <c r="AH1008" s="20"/>
      <c r="AI1008" s="20"/>
    </row>
    <row r="1009" spans="1:36" customFormat="1" ht="14.25" customHeight="1">
      <c r="A1009" s="190" t="s">
        <v>3787</v>
      </c>
      <c r="B1009" s="9">
        <v>18</v>
      </c>
      <c r="C1009" s="160" t="s">
        <v>3698</v>
      </c>
      <c r="D1009" s="183"/>
      <c r="E1009" s="183"/>
      <c r="F1009" s="188"/>
      <c r="G1009" s="188"/>
      <c r="H1009" s="183"/>
      <c r="I1009" s="183"/>
      <c r="J1009" s="188"/>
      <c r="K1009" s="188"/>
      <c r="L1009" s="9"/>
      <c r="M1009" s="9"/>
      <c r="N1009" s="183">
        <v>100</v>
      </c>
      <c r="O1009" s="198">
        <v>1.5</v>
      </c>
      <c r="P1009" s="226"/>
      <c r="Q1009" s="226"/>
      <c r="S1009" s="229"/>
      <c r="T1009" s="229"/>
      <c r="U1009" s="238"/>
      <c r="V1009" s="234"/>
      <c r="W1009" s="20"/>
      <c r="X1009" s="20"/>
      <c r="Y1009" s="20"/>
      <c r="Z1009" s="20"/>
      <c r="AA1009" s="229"/>
      <c r="AB1009" s="20"/>
      <c r="AC1009" s="20"/>
      <c r="AD1009" s="20"/>
      <c r="AE1009" s="20"/>
      <c r="AF1009" s="20"/>
      <c r="AG1009" s="20"/>
      <c r="AH1009" s="20"/>
      <c r="AI1009" s="20"/>
    </row>
    <row r="1010" spans="1:36" customFormat="1" ht="14.25" customHeight="1">
      <c r="A1010" s="189" t="s">
        <v>3788</v>
      </c>
      <c r="B1010" s="9">
        <v>15.1</v>
      </c>
      <c r="C1010" s="157" t="s">
        <v>3701</v>
      </c>
      <c r="D1010" s="183"/>
      <c r="E1010" s="183"/>
      <c r="F1010" s="188"/>
      <c r="G1010" s="188"/>
      <c r="H1010" s="183"/>
      <c r="I1010" s="183"/>
      <c r="J1010" s="188"/>
      <c r="K1010" s="188"/>
      <c r="L1010" s="9"/>
      <c r="M1010" s="9"/>
      <c r="N1010" s="183">
        <v>3</v>
      </c>
      <c r="O1010" s="7">
        <v>1.6</v>
      </c>
      <c r="P1010" s="9"/>
      <c r="Q1010" s="9"/>
      <c r="S1010" s="229"/>
      <c r="T1010" s="229"/>
      <c r="U1010" s="238"/>
      <c r="V1010" s="234"/>
      <c r="W1010" s="20"/>
      <c r="X1010" s="20"/>
      <c r="Y1010" s="20"/>
      <c r="Z1010" s="20"/>
      <c r="AA1010" s="229"/>
      <c r="AB1010" s="20"/>
      <c r="AC1010" s="20"/>
      <c r="AD1010" s="20"/>
      <c r="AE1010" s="20"/>
      <c r="AF1010" s="20"/>
      <c r="AG1010" s="20"/>
      <c r="AH1010" s="20"/>
      <c r="AI1010" s="20"/>
    </row>
    <row r="1011" spans="1:36" customFormat="1" ht="14.25" customHeight="1">
      <c r="A1011" s="189" t="s">
        <v>3789</v>
      </c>
      <c r="B1011" s="9">
        <v>19.100000000000001</v>
      </c>
      <c r="C1011" s="157" t="s">
        <v>3697</v>
      </c>
      <c r="D1011" s="183"/>
      <c r="E1011" s="183"/>
      <c r="F1011" s="188"/>
      <c r="G1011" s="188"/>
      <c r="H1011" s="183"/>
      <c r="I1011" s="183"/>
      <c r="J1011" s="188"/>
      <c r="K1011" s="188"/>
      <c r="L1011" s="9"/>
      <c r="M1011" s="9"/>
      <c r="N1011" s="183">
        <v>5</v>
      </c>
      <c r="O1011" s="7">
        <v>1.9</v>
      </c>
      <c r="P1011" s="9"/>
      <c r="Q1011" s="9"/>
      <c r="S1011" s="229"/>
      <c r="T1011" s="229"/>
      <c r="U1011" s="238"/>
      <c r="V1011" s="234"/>
      <c r="W1011" s="20"/>
      <c r="X1011" s="20"/>
      <c r="Y1011" s="20"/>
      <c r="Z1011" s="20"/>
      <c r="AA1011" s="229"/>
      <c r="AB1011" s="20"/>
      <c r="AC1011" s="20"/>
      <c r="AD1011" s="20"/>
      <c r="AE1011" s="20"/>
      <c r="AF1011" s="20"/>
      <c r="AG1011" s="20"/>
      <c r="AH1011" s="20"/>
      <c r="AI1011" s="20"/>
    </row>
    <row r="1012" spans="1:36" customFormat="1" ht="14.25" customHeight="1">
      <c r="A1012" s="189" t="s">
        <v>3790</v>
      </c>
      <c r="B1012" s="9">
        <v>17.600000000000001</v>
      </c>
      <c r="C1012" s="157" t="s">
        <v>3700</v>
      </c>
      <c r="D1012" s="183"/>
      <c r="E1012" s="183"/>
      <c r="F1012" s="188"/>
      <c r="G1012" s="188"/>
      <c r="H1012" s="183"/>
      <c r="I1012" s="183"/>
      <c r="J1012" s="188"/>
      <c r="K1012" s="188"/>
      <c r="L1012" s="9"/>
      <c r="M1012" s="9"/>
      <c r="N1012" s="183">
        <v>3</v>
      </c>
      <c r="O1012" s="7">
        <v>2.8</v>
      </c>
      <c r="P1012" s="9"/>
      <c r="Q1012" s="9"/>
      <c r="S1012" s="229"/>
      <c r="T1012" s="229"/>
      <c r="U1012" s="238"/>
      <c r="V1012" s="234"/>
      <c r="W1012" s="20"/>
      <c r="X1012" s="20"/>
      <c r="Y1012" s="20"/>
      <c r="Z1012" s="20"/>
      <c r="AA1012" s="229"/>
      <c r="AB1012" s="20"/>
      <c r="AC1012" s="20"/>
      <c r="AD1012" s="20"/>
      <c r="AE1012" s="20"/>
      <c r="AF1012" s="20"/>
      <c r="AG1012" s="20"/>
      <c r="AH1012" s="20"/>
      <c r="AI1012" s="20"/>
    </row>
    <row r="1013" spans="1:36" customFormat="1" ht="14.25" customHeight="1">
      <c r="A1013" s="189" t="s">
        <v>3791</v>
      </c>
      <c r="B1013" s="9">
        <v>19.399999999999999</v>
      </c>
      <c r="C1013" s="157" t="s">
        <v>3702</v>
      </c>
      <c r="D1013" s="183"/>
      <c r="E1013" s="183"/>
      <c r="F1013" s="188"/>
      <c r="G1013" s="188"/>
      <c r="H1013" s="183"/>
      <c r="I1013" s="183"/>
      <c r="J1013" s="188"/>
      <c r="K1013" s="188"/>
      <c r="L1013" s="9"/>
      <c r="M1013" s="9"/>
      <c r="N1013" s="183">
        <v>3</v>
      </c>
      <c r="O1013" s="7">
        <v>2.8</v>
      </c>
      <c r="P1013" s="9"/>
      <c r="Q1013" s="9"/>
      <c r="S1013" s="229"/>
      <c r="T1013" s="229"/>
      <c r="U1013" s="238"/>
      <c r="V1013" s="234"/>
      <c r="W1013" s="20"/>
      <c r="X1013" s="20"/>
      <c r="Y1013" s="20"/>
      <c r="Z1013" s="20"/>
      <c r="AA1013" s="229"/>
      <c r="AB1013" s="20"/>
      <c r="AC1013" s="20"/>
      <c r="AD1013" s="20"/>
      <c r="AE1013" s="20"/>
      <c r="AF1013" s="20"/>
      <c r="AG1013" s="20"/>
      <c r="AH1013" s="20"/>
      <c r="AI1013" s="20"/>
    </row>
    <row r="1014" spans="1:36" customFormat="1" ht="14.25" customHeight="1">
      <c r="A1014" s="189" t="s">
        <v>3792</v>
      </c>
      <c r="B1014" s="9">
        <v>15.2</v>
      </c>
      <c r="C1014" s="157" t="s">
        <v>3704</v>
      </c>
      <c r="D1014" s="183"/>
      <c r="E1014" s="183"/>
      <c r="F1014" s="188"/>
      <c r="G1014" s="188"/>
      <c r="H1014" s="183"/>
      <c r="I1014" s="183"/>
      <c r="J1014" s="188"/>
      <c r="K1014" s="188"/>
      <c r="L1014" s="9"/>
      <c r="M1014" s="9"/>
      <c r="N1014" s="183">
        <v>3</v>
      </c>
      <c r="O1014" s="7">
        <v>1.19</v>
      </c>
      <c r="P1014" s="9"/>
      <c r="Q1014" s="9"/>
      <c r="S1014" s="229"/>
      <c r="T1014" s="229"/>
      <c r="U1014" s="238"/>
      <c r="V1014" s="234"/>
      <c r="W1014" s="20"/>
      <c r="X1014" s="20"/>
      <c r="Y1014" s="20"/>
      <c r="Z1014" s="20"/>
      <c r="AA1014" s="229"/>
      <c r="AB1014" s="20"/>
      <c r="AC1014" s="20"/>
      <c r="AD1014" s="20"/>
      <c r="AE1014" s="20"/>
      <c r="AF1014" s="20"/>
      <c r="AG1014" s="20"/>
      <c r="AH1014" s="20"/>
      <c r="AI1014" s="20"/>
    </row>
    <row r="1015" spans="1:36" customFormat="1" ht="14.25" customHeight="1">
      <c r="A1015" s="189" t="s">
        <v>3793</v>
      </c>
      <c r="B1015" s="9">
        <v>28.3</v>
      </c>
      <c r="C1015" s="160" t="s">
        <v>3728</v>
      </c>
      <c r="D1015" s="183"/>
      <c r="E1015" s="183"/>
      <c r="F1015" s="188"/>
      <c r="G1015" s="188"/>
      <c r="H1015" s="183"/>
      <c r="I1015" s="183"/>
      <c r="J1015" s="188"/>
      <c r="K1015" s="188"/>
      <c r="L1015" s="9"/>
      <c r="M1015" s="9"/>
      <c r="N1015" s="183">
        <v>3</v>
      </c>
      <c r="O1015" s="7">
        <v>3.3</v>
      </c>
      <c r="P1015" s="9"/>
      <c r="Q1015" s="9"/>
      <c r="S1015" s="229"/>
      <c r="T1015" s="229"/>
      <c r="U1015" s="238"/>
      <c r="V1015" s="234"/>
      <c r="W1015" s="20"/>
      <c r="X1015" s="20"/>
      <c r="Y1015" s="20"/>
      <c r="Z1015" s="20"/>
      <c r="AA1015" s="229"/>
      <c r="AB1015" s="20"/>
      <c r="AC1015" s="20"/>
      <c r="AD1015" s="20"/>
      <c r="AE1015" s="20"/>
      <c r="AF1015" s="20"/>
      <c r="AG1015" s="20"/>
      <c r="AH1015" s="20"/>
      <c r="AI1015" s="20"/>
    </row>
    <row r="1016" spans="1:36" customFormat="1" ht="14.25" customHeight="1">
      <c r="A1016" s="189" t="s">
        <v>3794</v>
      </c>
      <c r="B1016" s="9">
        <v>17</v>
      </c>
      <c r="C1016" s="157" t="s">
        <v>3707</v>
      </c>
      <c r="D1016" s="183"/>
      <c r="E1016" s="183"/>
      <c r="F1016" s="188"/>
      <c r="G1016" s="188"/>
      <c r="H1016" s="183"/>
      <c r="I1016" s="183"/>
      <c r="J1016" s="188"/>
      <c r="K1016" s="188"/>
      <c r="L1016" s="9"/>
      <c r="M1016" s="9"/>
      <c r="N1016" s="183">
        <v>3</v>
      </c>
      <c r="O1016" s="7">
        <v>2.6</v>
      </c>
      <c r="P1016" s="9"/>
      <c r="Q1016" s="9"/>
      <c r="S1016" s="229"/>
      <c r="T1016" s="229"/>
      <c r="U1016" s="238"/>
      <c r="V1016" s="234"/>
      <c r="W1016" s="20"/>
      <c r="X1016" s="20"/>
      <c r="Y1016" s="20"/>
      <c r="Z1016" s="20"/>
      <c r="AA1016" s="229"/>
      <c r="AB1016" s="20"/>
      <c r="AC1016" s="20"/>
      <c r="AD1016" s="20"/>
      <c r="AE1016" s="20"/>
      <c r="AF1016" s="20"/>
      <c r="AG1016" s="20"/>
      <c r="AH1016" s="20"/>
      <c r="AI1016" s="20"/>
    </row>
    <row r="1017" spans="1:36" customFormat="1" ht="14.25" customHeight="1">
      <c r="A1017" s="189" t="s">
        <v>3795</v>
      </c>
      <c r="B1017" s="9">
        <v>24.3</v>
      </c>
      <c r="C1017" s="157" t="s">
        <v>3706</v>
      </c>
      <c r="D1017" s="183"/>
      <c r="E1017" s="183"/>
      <c r="F1017" s="188"/>
      <c r="G1017" s="188"/>
      <c r="H1017" s="183"/>
      <c r="I1017" s="183"/>
      <c r="J1017" s="188"/>
      <c r="K1017" s="188"/>
      <c r="L1017" s="9"/>
      <c r="M1017" s="9"/>
      <c r="N1017" s="183">
        <v>3</v>
      </c>
      <c r="O1017" s="7">
        <v>3.9</v>
      </c>
      <c r="P1017" s="9"/>
      <c r="Q1017" s="9"/>
      <c r="S1017" s="229"/>
      <c r="T1017" s="229"/>
      <c r="U1017" s="238"/>
      <c r="V1017" s="234"/>
      <c r="W1017" s="20"/>
      <c r="X1017" s="20"/>
      <c r="Y1017" s="20"/>
      <c r="Z1017" s="20"/>
      <c r="AA1017" s="229"/>
      <c r="AB1017" s="20"/>
      <c r="AC1017" s="20"/>
      <c r="AD1017" s="20"/>
      <c r="AE1017" s="20"/>
      <c r="AF1017" s="20"/>
      <c r="AG1017" s="20"/>
      <c r="AH1017" s="20"/>
      <c r="AI1017" s="20"/>
    </row>
    <row r="1018" spans="1:36" customFormat="1" ht="14.25" customHeight="1">
      <c r="A1018" s="189" t="s">
        <v>3796</v>
      </c>
      <c r="B1018" s="9">
        <v>18.100000000000001</v>
      </c>
      <c r="C1018" s="157" t="s">
        <v>3709</v>
      </c>
      <c r="D1018" s="183"/>
      <c r="E1018" s="183"/>
      <c r="F1018" s="188"/>
      <c r="G1018" s="188"/>
      <c r="H1018" s="183"/>
      <c r="I1018" s="183"/>
      <c r="J1018" s="188"/>
      <c r="K1018" s="188"/>
      <c r="L1018" s="9"/>
      <c r="M1018" s="9"/>
      <c r="N1018" s="183">
        <v>3</v>
      </c>
      <c r="O1018" s="7">
        <v>2.5</v>
      </c>
      <c r="P1018" s="9"/>
      <c r="Q1018" s="9"/>
      <c r="S1018" s="229"/>
      <c r="T1018" s="229"/>
      <c r="U1018" s="238"/>
      <c r="V1018" s="234"/>
      <c r="W1018" s="20"/>
      <c r="X1018" s="20"/>
      <c r="Y1018" s="20"/>
      <c r="Z1018" s="20"/>
      <c r="AA1018" s="229"/>
      <c r="AB1018" s="20"/>
      <c r="AC1018" s="20"/>
      <c r="AD1018" s="20"/>
      <c r="AE1018" s="20"/>
      <c r="AF1018" s="20"/>
      <c r="AG1018" s="20"/>
      <c r="AH1018" s="20"/>
      <c r="AI1018" s="20"/>
    </row>
    <row r="1019" spans="1:36" customFormat="1" ht="14.25" customHeight="1">
      <c r="A1019" s="189" t="s">
        <v>3797</v>
      </c>
      <c r="B1019" s="9">
        <v>18.8</v>
      </c>
      <c r="C1019" s="157" t="s">
        <v>3708</v>
      </c>
      <c r="D1019" s="183"/>
      <c r="E1019" s="183"/>
      <c r="F1019" s="188"/>
      <c r="G1019" s="188"/>
      <c r="H1019" s="183"/>
      <c r="I1019" s="183"/>
      <c r="J1019" s="188"/>
      <c r="K1019" s="188"/>
      <c r="L1019" s="9"/>
      <c r="M1019" s="9"/>
      <c r="N1019" s="183">
        <v>3</v>
      </c>
      <c r="O1019" s="7">
        <v>2.8</v>
      </c>
      <c r="P1019" s="9"/>
      <c r="Q1019" s="9"/>
      <c r="S1019" s="229"/>
      <c r="T1019" s="229"/>
      <c r="U1019" s="238"/>
      <c r="V1019" s="234"/>
      <c r="W1019" s="20"/>
      <c r="X1019" s="20"/>
      <c r="Y1019" s="20"/>
      <c r="Z1019" s="20"/>
      <c r="AA1019" s="229"/>
      <c r="AB1019" s="20"/>
      <c r="AC1019" s="20"/>
      <c r="AD1019" s="20"/>
      <c r="AE1019" s="20"/>
      <c r="AF1019" s="20"/>
      <c r="AG1019" s="20"/>
      <c r="AH1019" s="20"/>
      <c r="AI1019" s="20"/>
    </row>
    <row r="1020" spans="1:36" customFormat="1" ht="14.25" customHeight="1">
      <c r="A1020" s="189" t="s">
        <v>3798</v>
      </c>
      <c r="B1020" s="9">
        <v>24.4</v>
      </c>
      <c r="C1020" s="157" t="s">
        <v>3703</v>
      </c>
      <c r="D1020" s="183"/>
      <c r="E1020" s="183"/>
      <c r="F1020" s="188"/>
      <c r="G1020" s="188"/>
      <c r="H1020" s="183"/>
      <c r="I1020" s="183"/>
      <c r="J1020" s="188"/>
      <c r="K1020" s="188"/>
      <c r="L1020" s="9"/>
      <c r="M1020" s="9"/>
      <c r="N1020" s="183">
        <v>3</v>
      </c>
      <c r="O1020" s="7">
        <v>3.9</v>
      </c>
      <c r="P1020" s="9"/>
      <c r="Q1020" s="9"/>
      <c r="S1020" s="229"/>
      <c r="T1020" s="229"/>
      <c r="U1020" s="238"/>
      <c r="V1020" s="234"/>
      <c r="W1020" s="20"/>
      <c r="X1020" s="20"/>
      <c r="Y1020" s="20"/>
      <c r="Z1020" s="20"/>
      <c r="AA1020" s="229"/>
      <c r="AB1020" s="20"/>
      <c r="AC1020" s="20"/>
      <c r="AD1020" s="20"/>
      <c r="AE1020" s="20"/>
      <c r="AF1020" s="20"/>
      <c r="AG1020" s="20"/>
      <c r="AH1020" s="20"/>
      <c r="AI1020" s="20"/>
    </row>
    <row r="1021" spans="1:36" customFormat="1" ht="14.25" customHeight="1">
      <c r="A1021" s="189" t="s">
        <v>3799</v>
      </c>
      <c r="B1021" s="9">
        <v>18</v>
      </c>
      <c r="C1021" s="215" t="s">
        <v>3712</v>
      </c>
      <c r="D1021" s="183"/>
      <c r="E1021" s="183"/>
      <c r="F1021" s="188"/>
      <c r="G1021" s="188"/>
      <c r="H1021" s="183"/>
      <c r="I1021" s="183"/>
      <c r="J1021" s="188"/>
      <c r="K1021" s="188"/>
      <c r="L1021" s="9"/>
      <c r="M1021" s="9"/>
      <c r="N1021" s="183">
        <v>3</v>
      </c>
      <c r="O1021" s="7">
        <v>1.88</v>
      </c>
      <c r="P1021" s="9"/>
      <c r="Q1021" s="9"/>
      <c r="S1021" s="229"/>
      <c r="T1021" s="229"/>
      <c r="U1021" s="238"/>
      <c r="V1021" s="234"/>
      <c r="W1021" s="20"/>
      <c r="X1021" s="20"/>
      <c r="Y1021" s="20"/>
      <c r="Z1021" s="20"/>
      <c r="AA1021" s="229"/>
      <c r="AB1021" s="20"/>
      <c r="AC1021" s="20"/>
      <c r="AD1021" s="20"/>
      <c r="AE1021" s="20"/>
      <c r="AF1021" s="20"/>
      <c r="AG1021" s="20"/>
      <c r="AH1021" s="20"/>
      <c r="AI1021" s="20"/>
      <c r="AJ1021" s="215" t="s">
        <v>3712</v>
      </c>
    </row>
    <row r="1022" spans="1:36" customFormat="1" ht="14.25" customHeight="1">
      <c r="A1022" s="189" t="s">
        <v>3800</v>
      </c>
      <c r="B1022" s="9">
        <v>18</v>
      </c>
      <c r="C1022" s="160" t="s">
        <v>3714</v>
      </c>
      <c r="D1022" s="183"/>
      <c r="E1022" s="183"/>
      <c r="F1022" s="188"/>
      <c r="G1022" s="188"/>
      <c r="H1022" s="183"/>
      <c r="I1022" s="183"/>
      <c r="J1022" s="188"/>
      <c r="K1022" s="188"/>
      <c r="L1022" s="9"/>
      <c r="M1022" s="9"/>
      <c r="N1022" s="183">
        <v>3</v>
      </c>
      <c r="O1022" s="7">
        <v>2.8</v>
      </c>
      <c r="P1022" s="9"/>
      <c r="Q1022" s="9"/>
      <c r="S1022" s="229"/>
      <c r="T1022" s="229"/>
      <c r="U1022" s="238"/>
      <c r="V1022" s="234"/>
      <c r="W1022" s="20"/>
      <c r="X1022" s="20"/>
      <c r="Y1022" s="20"/>
      <c r="Z1022" s="20"/>
      <c r="AA1022" s="229"/>
      <c r="AB1022" s="20"/>
      <c r="AC1022" s="20"/>
      <c r="AD1022" s="20"/>
      <c r="AE1022" s="20"/>
      <c r="AF1022" s="20"/>
      <c r="AG1022" s="20"/>
      <c r="AH1022" s="20"/>
      <c r="AI1022" s="20"/>
    </row>
    <row r="1023" spans="1:36" customFormat="1" ht="14.25" customHeight="1">
      <c r="A1023" s="190" t="s">
        <v>3801</v>
      </c>
      <c r="B1023" s="9">
        <v>18</v>
      </c>
      <c r="C1023" s="214" t="s">
        <v>3807</v>
      </c>
      <c r="D1023" s="183"/>
      <c r="E1023" s="183"/>
      <c r="F1023" s="188"/>
      <c r="G1023" s="188"/>
      <c r="H1023" s="183"/>
      <c r="I1023" s="183"/>
      <c r="J1023" s="188"/>
      <c r="K1023" s="188"/>
      <c r="L1023" s="9"/>
      <c r="M1023" s="9"/>
      <c r="N1023" s="183">
        <v>100</v>
      </c>
      <c r="O1023" s="198">
        <v>3</v>
      </c>
      <c r="P1023" s="226"/>
      <c r="Q1023" s="226"/>
      <c r="S1023" s="229"/>
      <c r="T1023" s="229"/>
      <c r="U1023" s="238"/>
      <c r="V1023" s="234"/>
      <c r="W1023" s="20"/>
      <c r="X1023" s="20"/>
      <c r="Y1023" s="20"/>
      <c r="Z1023" s="20"/>
      <c r="AA1023" s="229"/>
      <c r="AB1023" s="20"/>
      <c r="AC1023" s="20"/>
      <c r="AD1023" s="20"/>
      <c r="AE1023" s="20"/>
      <c r="AF1023" s="20"/>
      <c r="AG1023" s="20"/>
      <c r="AH1023" s="20"/>
      <c r="AI1023" s="20"/>
    </row>
    <row r="1024" spans="1:36" customFormat="1" ht="14.25" customHeight="1">
      <c r="A1024" s="189" t="s">
        <v>3802</v>
      </c>
      <c r="B1024" s="9">
        <v>18</v>
      </c>
      <c r="C1024" s="160" t="s">
        <v>3716</v>
      </c>
      <c r="D1024" s="183"/>
      <c r="E1024" s="183"/>
      <c r="F1024" s="188"/>
      <c r="G1024" s="188"/>
      <c r="H1024" s="183"/>
      <c r="I1024" s="183"/>
      <c r="J1024" s="188"/>
      <c r="K1024" s="188"/>
      <c r="L1024" s="9"/>
      <c r="M1024" s="9"/>
      <c r="N1024" s="183">
        <v>3</v>
      </c>
      <c r="O1024" s="7">
        <v>3.2</v>
      </c>
      <c r="P1024" s="9"/>
      <c r="Q1024" s="9"/>
      <c r="S1024" s="229"/>
      <c r="T1024" s="229"/>
      <c r="U1024" s="238"/>
      <c r="V1024" s="234"/>
      <c r="W1024" s="20"/>
      <c r="X1024" s="20"/>
      <c r="Y1024" s="20"/>
      <c r="Z1024" s="20"/>
      <c r="AA1024" s="229"/>
      <c r="AB1024" s="20"/>
      <c r="AC1024" s="20"/>
      <c r="AD1024" s="20"/>
      <c r="AE1024" s="20"/>
      <c r="AF1024" s="20"/>
      <c r="AG1024" s="20"/>
      <c r="AH1024" s="20"/>
      <c r="AI1024" s="20"/>
    </row>
    <row r="1025" spans="1:40" customFormat="1" ht="14.25" customHeight="1">
      <c r="A1025" s="190" t="s">
        <v>3803</v>
      </c>
      <c r="B1025" s="9">
        <v>18</v>
      </c>
      <c r="C1025" s="160" t="s">
        <v>3808</v>
      </c>
      <c r="D1025" s="183"/>
      <c r="E1025" s="183"/>
      <c r="F1025" s="188"/>
      <c r="G1025" s="188"/>
      <c r="H1025" s="183"/>
      <c r="I1025" s="183"/>
      <c r="J1025" s="188"/>
      <c r="K1025" s="188"/>
      <c r="L1025" s="9"/>
      <c r="M1025" s="9"/>
      <c r="N1025" s="183">
        <v>100</v>
      </c>
      <c r="O1025" s="198">
        <v>3</v>
      </c>
      <c r="P1025" s="226"/>
      <c r="Q1025" s="226"/>
      <c r="S1025" s="229"/>
      <c r="T1025" s="229"/>
      <c r="U1025" s="238"/>
      <c r="V1025" s="103"/>
      <c r="W1025" s="9"/>
      <c r="X1025" s="9"/>
      <c r="Y1025" s="9"/>
      <c r="Z1025" s="9"/>
      <c r="AA1025" s="229"/>
      <c r="AB1025" s="9"/>
      <c r="AC1025" s="9"/>
      <c r="AD1025" s="9"/>
      <c r="AE1025" s="9"/>
      <c r="AF1025" s="9"/>
      <c r="AG1025" s="9"/>
      <c r="AH1025" s="9"/>
      <c r="AI1025" s="9"/>
    </row>
    <row r="1026" spans="1:40" customFormat="1" ht="14.25" customHeight="1">
      <c r="A1026" s="189" t="s">
        <v>3804</v>
      </c>
      <c r="B1026" s="9">
        <v>18</v>
      </c>
      <c r="C1026" s="160" t="s">
        <v>3715</v>
      </c>
      <c r="D1026" s="183"/>
      <c r="E1026" s="183"/>
      <c r="F1026" s="188"/>
      <c r="G1026" s="188"/>
      <c r="H1026" s="183"/>
      <c r="I1026" s="183"/>
      <c r="J1026" s="188"/>
      <c r="K1026" s="188"/>
      <c r="L1026" s="9"/>
      <c r="M1026" s="9"/>
      <c r="N1026" s="183">
        <v>3</v>
      </c>
      <c r="O1026" s="7">
        <v>3.2</v>
      </c>
      <c r="P1026" s="9"/>
      <c r="Q1026" s="9"/>
      <c r="S1026" s="229"/>
      <c r="T1026" s="229"/>
      <c r="U1026" s="238"/>
      <c r="V1026" s="103"/>
      <c r="W1026" s="9"/>
      <c r="X1026" s="9"/>
      <c r="Y1026" s="9"/>
      <c r="Z1026" s="9"/>
      <c r="AA1026" s="229"/>
      <c r="AB1026" s="9"/>
      <c r="AC1026" s="9"/>
      <c r="AD1026" s="9"/>
      <c r="AE1026" s="9"/>
      <c r="AF1026" s="9"/>
      <c r="AG1026" s="9"/>
      <c r="AH1026" s="9"/>
      <c r="AI1026" s="9"/>
    </row>
    <row r="1027" spans="1:40" customFormat="1" ht="14.25" customHeight="1">
      <c r="A1027" s="189" t="s">
        <v>3809</v>
      </c>
      <c r="B1027" s="9">
        <v>18</v>
      </c>
      <c r="C1027" s="160" t="s">
        <v>3713</v>
      </c>
      <c r="D1027" s="183"/>
      <c r="E1027" s="183"/>
      <c r="F1027" s="188"/>
      <c r="G1027" s="188"/>
      <c r="H1027" s="183"/>
      <c r="I1027" s="183"/>
      <c r="J1027" s="188"/>
      <c r="K1027" s="188"/>
      <c r="L1027" s="9"/>
      <c r="M1027" s="9"/>
      <c r="N1027" s="183">
        <v>3</v>
      </c>
      <c r="O1027" s="7">
        <v>2.9</v>
      </c>
      <c r="P1027" s="9"/>
      <c r="Q1027" s="9"/>
      <c r="S1027" s="229"/>
      <c r="T1027" s="229"/>
      <c r="U1027" s="238"/>
      <c r="V1027" s="103"/>
      <c r="W1027" s="9"/>
      <c r="X1027" s="9"/>
      <c r="Y1027" s="9"/>
      <c r="Z1027" s="9"/>
      <c r="AA1027" s="229"/>
      <c r="AB1027" s="9"/>
      <c r="AC1027" s="9"/>
      <c r="AD1027" s="9"/>
      <c r="AE1027" s="9"/>
      <c r="AF1027" s="9"/>
      <c r="AG1027" s="9"/>
      <c r="AH1027" s="9"/>
      <c r="AI1027" s="9"/>
    </row>
    <row r="1028" spans="1:40" customFormat="1" ht="14.25" customHeight="1">
      <c r="A1028" s="190" t="s">
        <v>3810</v>
      </c>
      <c r="B1028" s="9">
        <v>18</v>
      </c>
      <c r="C1028" s="160" t="s">
        <v>3811</v>
      </c>
      <c r="D1028" s="183"/>
      <c r="E1028" s="183"/>
      <c r="F1028" s="188"/>
      <c r="G1028" s="188"/>
      <c r="H1028" s="183"/>
      <c r="I1028" s="183"/>
      <c r="J1028" s="188"/>
      <c r="K1028" s="188"/>
      <c r="L1028" s="9"/>
      <c r="M1028" s="9"/>
      <c r="N1028" s="183">
        <v>100</v>
      </c>
      <c r="O1028" s="198">
        <v>3</v>
      </c>
      <c r="P1028" s="226"/>
      <c r="Q1028" s="226"/>
      <c r="S1028" s="229"/>
      <c r="T1028" s="229"/>
      <c r="U1028" s="238"/>
      <c r="V1028" s="103"/>
      <c r="W1028" s="9"/>
      <c r="X1028" s="9"/>
      <c r="Y1028" s="9"/>
      <c r="Z1028" s="9"/>
      <c r="AA1028" s="229"/>
      <c r="AB1028" s="9"/>
      <c r="AC1028" s="9"/>
      <c r="AD1028" s="9"/>
      <c r="AE1028" s="9"/>
      <c r="AF1028" s="9"/>
      <c r="AG1028" s="9"/>
      <c r="AH1028" s="9"/>
      <c r="AI1028" s="9"/>
    </row>
    <row r="1029" spans="1:40" customFormat="1" ht="14.25" customHeight="1">
      <c r="A1029" s="190" t="s">
        <v>3823</v>
      </c>
      <c r="B1029" s="9">
        <v>18</v>
      </c>
      <c r="C1029" s="160" t="s">
        <v>3812</v>
      </c>
      <c r="D1029" s="183"/>
      <c r="E1029" s="183"/>
      <c r="F1029" s="188"/>
      <c r="G1029" s="188"/>
      <c r="H1029" s="183"/>
      <c r="I1029" s="183"/>
      <c r="J1029" s="188"/>
      <c r="K1029" s="188"/>
      <c r="L1029" s="9"/>
      <c r="M1029" s="9"/>
      <c r="N1029" s="183">
        <v>100</v>
      </c>
      <c r="O1029" s="198">
        <v>3</v>
      </c>
      <c r="P1029" s="226"/>
      <c r="Q1029" s="226"/>
      <c r="S1029" s="229"/>
      <c r="T1029" s="229"/>
      <c r="U1029" s="238"/>
      <c r="V1029" s="103"/>
      <c r="W1029" s="9"/>
      <c r="X1029" s="9"/>
      <c r="Y1029" s="9"/>
      <c r="Z1029" s="9"/>
      <c r="AA1029" s="229"/>
      <c r="AB1029" s="9"/>
      <c r="AC1029" s="9"/>
      <c r="AD1029" s="9"/>
      <c r="AE1029" s="9"/>
      <c r="AF1029" s="9"/>
      <c r="AG1029" s="9"/>
      <c r="AH1029" s="9"/>
      <c r="AI1029" s="9"/>
    </row>
    <row r="1030" spans="1:40" customFormat="1" ht="14.25" customHeight="1">
      <c r="A1030" s="190" t="s">
        <v>3824</v>
      </c>
      <c r="B1030" s="9">
        <v>18</v>
      </c>
      <c r="C1030" s="160" t="s">
        <v>3813</v>
      </c>
      <c r="D1030" s="183"/>
      <c r="E1030" s="183"/>
      <c r="F1030" s="188"/>
      <c r="G1030" s="188"/>
      <c r="H1030" s="183"/>
      <c r="I1030" s="183"/>
      <c r="J1030" s="188"/>
      <c r="K1030" s="188"/>
      <c r="L1030" s="9"/>
      <c r="M1030" s="9"/>
      <c r="N1030" s="183">
        <v>100</v>
      </c>
      <c r="O1030" s="198">
        <v>3</v>
      </c>
      <c r="P1030" s="226"/>
      <c r="Q1030" s="226"/>
      <c r="S1030" s="229"/>
      <c r="T1030" s="229"/>
      <c r="U1030" s="238"/>
      <c r="V1030" s="103"/>
      <c r="W1030" s="9"/>
      <c r="X1030" s="9"/>
      <c r="Y1030" s="9"/>
      <c r="Z1030" s="9"/>
      <c r="AA1030" s="229"/>
      <c r="AB1030" s="9"/>
      <c r="AC1030" s="9"/>
      <c r="AD1030" s="9"/>
      <c r="AE1030" s="9"/>
      <c r="AF1030" s="9"/>
      <c r="AG1030" s="9"/>
      <c r="AH1030" s="9"/>
      <c r="AI1030" s="9"/>
    </row>
    <row r="1031" spans="1:40" customFormat="1" ht="14.25" customHeight="1">
      <c r="A1031" s="190" t="s">
        <v>3825</v>
      </c>
      <c r="B1031" s="9">
        <v>18</v>
      </c>
      <c r="C1031" s="160" t="s">
        <v>3814</v>
      </c>
      <c r="D1031" s="183"/>
      <c r="E1031" s="183"/>
      <c r="F1031" s="188"/>
      <c r="G1031" s="188"/>
      <c r="H1031" s="183"/>
      <c r="I1031" s="183"/>
      <c r="J1031" s="188"/>
      <c r="K1031" s="188"/>
      <c r="L1031" s="9"/>
      <c r="M1031" s="9"/>
      <c r="N1031" s="183">
        <v>100</v>
      </c>
      <c r="O1031" s="198">
        <v>3</v>
      </c>
      <c r="P1031" s="226"/>
      <c r="Q1031" s="226"/>
      <c r="S1031" s="229"/>
      <c r="T1031" s="229"/>
      <c r="U1031" s="238"/>
      <c r="V1031" s="103"/>
      <c r="W1031" s="9"/>
      <c r="X1031" s="9"/>
      <c r="Y1031" s="9"/>
      <c r="Z1031" s="9"/>
      <c r="AA1031" s="229"/>
      <c r="AB1031" s="9"/>
      <c r="AC1031" s="9"/>
      <c r="AD1031" s="9"/>
      <c r="AE1031" s="9"/>
      <c r="AF1031" s="9"/>
      <c r="AG1031" s="9"/>
      <c r="AH1031" s="9"/>
      <c r="AI1031" s="9"/>
    </row>
    <row r="1032" spans="1:40" customFormat="1" ht="14.25" customHeight="1">
      <c r="A1032" s="189" t="s">
        <v>3826</v>
      </c>
      <c r="B1032" s="9">
        <v>8</v>
      </c>
      <c r="C1032" s="215" t="s">
        <v>3711</v>
      </c>
      <c r="D1032" s="183"/>
      <c r="E1032" s="183"/>
      <c r="F1032" s="188"/>
      <c r="G1032" s="188"/>
      <c r="H1032" s="183"/>
      <c r="I1032" s="183"/>
      <c r="J1032" s="188"/>
      <c r="K1032" s="188"/>
      <c r="L1032" s="9"/>
      <c r="M1032" s="9"/>
      <c r="N1032" s="183">
        <v>5</v>
      </c>
      <c r="O1032" s="7">
        <v>0.33</v>
      </c>
      <c r="P1032" s="9"/>
      <c r="Q1032" s="9"/>
      <c r="S1032" s="229"/>
      <c r="T1032" s="229"/>
      <c r="U1032" s="238"/>
      <c r="V1032" s="103"/>
      <c r="W1032" s="9"/>
      <c r="X1032" s="9"/>
      <c r="Y1032" s="9"/>
      <c r="Z1032" s="9"/>
      <c r="AA1032" s="229"/>
      <c r="AB1032" s="9"/>
      <c r="AC1032" s="9"/>
      <c r="AD1032" s="9"/>
      <c r="AE1032" s="9"/>
      <c r="AF1032" s="9"/>
      <c r="AG1032" s="9"/>
      <c r="AH1032" s="9"/>
      <c r="AI1032" s="9"/>
      <c r="AJ1032" s="215" t="s">
        <v>3711</v>
      </c>
    </row>
    <row r="1033" spans="1:40" customFormat="1" ht="14.25" customHeight="1">
      <c r="A1033" s="189" t="s">
        <v>3827</v>
      </c>
      <c r="B1033" s="9">
        <v>9.1999999999999993</v>
      </c>
      <c r="C1033" s="157" t="s">
        <v>3710</v>
      </c>
      <c r="D1033" s="183"/>
      <c r="E1033" s="183"/>
      <c r="F1033" s="188"/>
      <c r="G1033" s="188"/>
      <c r="H1033" s="183"/>
      <c r="I1033" s="183"/>
      <c r="J1033" s="188"/>
      <c r="K1033" s="188"/>
      <c r="L1033" s="9"/>
      <c r="M1033" s="9"/>
      <c r="N1033" s="183">
        <v>5</v>
      </c>
      <c r="O1033" s="7">
        <v>0.45</v>
      </c>
      <c r="P1033" s="9"/>
      <c r="Q1033" s="9"/>
      <c r="S1033" s="229"/>
      <c r="T1033" s="229"/>
      <c r="U1033" s="238"/>
      <c r="V1033" s="103"/>
      <c r="W1033" s="9"/>
      <c r="X1033" s="9"/>
      <c r="Y1033" s="9"/>
      <c r="Z1033" s="9"/>
      <c r="AA1033" s="229"/>
      <c r="AB1033" s="9"/>
      <c r="AC1033" s="9"/>
      <c r="AD1033" s="9"/>
      <c r="AE1033" s="9"/>
      <c r="AF1033" s="9"/>
      <c r="AG1033" s="9"/>
      <c r="AH1033" s="9"/>
      <c r="AI1033" s="9"/>
    </row>
    <row r="1034" spans="1:40" customFormat="1" ht="14.25" customHeight="1">
      <c r="A1034" s="190" t="s">
        <v>3828</v>
      </c>
      <c r="B1034" s="9">
        <v>9</v>
      </c>
      <c r="C1034" s="160" t="s">
        <v>3815</v>
      </c>
      <c r="D1034" s="183"/>
      <c r="E1034" s="183"/>
      <c r="F1034" s="188"/>
      <c r="G1034" s="188"/>
      <c r="H1034" s="183"/>
      <c r="I1034" s="183"/>
      <c r="J1034" s="188"/>
      <c r="K1034" s="188"/>
      <c r="L1034" s="9"/>
      <c r="M1034" s="9"/>
      <c r="N1034" s="183">
        <v>100</v>
      </c>
      <c r="O1034" s="198">
        <v>0.6</v>
      </c>
      <c r="P1034" s="226"/>
      <c r="Q1034" s="226"/>
      <c r="S1034" s="229"/>
      <c r="T1034" s="229"/>
      <c r="U1034" s="238"/>
      <c r="V1034" s="103"/>
      <c r="W1034" s="9"/>
      <c r="X1034" s="9"/>
      <c r="Y1034" s="9"/>
      <c r="Z1034" s="9"/>
      <c r="AA1034" s="229"/>
      <c r="AB1034" s="9"/>
      <c r="AC1034" s="9"/>
      <c r="AD1034" s="9"/>
      <c r="AE1034" s="9"/>
      <c r="AF1034" s="9"/>
      <c r="AG1034" s="9"/>
      <c r="AH1034" s="9"/>
      <c r="AI1034" s="9"/>
    </row>
    <row r="1035" spans="1:40" customFormat="1" ht="14.25" customHeight="1">
      <c r="A1035" s="190" t="s">
        <v>3829</v>
      </c>
      <c r="B1035" s="9">
        <v>12</v>
      </c>
      <c r="C1035" s="160" t="s">
        <v>3822</v>
      </c>
      <c r="D1035" s="183"/>
      <c r="E1035" s="183"/>
      <c r="F1035" s="188"/>
      <c r="G1035" s="188"/>
      <c r="H1035" s="183"/>
      <c r="I1035" s="183"/>
      <c r="J1035" s="188"/>
      <c r="K1035" s="188"/>
      <c r="L1035" s="9"/>
      <c r="M1035" s="9"/>
      <c r="N1035" s="183">
        <v>100</v>
      </c>
      <c r="O1035" s="198">
        <v>0.8</v>
      </c>
      <c r="P1035" s="226"/>
      <c r="Q1035" s="226"/>
      <c r="S1035" s="229"/>
      <c r="T1035" s="229"/>
      <c r="U1035" s="238"/>
      <c r="V1035" s="103"/>
      <c r="W1035" s="9"/>
      <c r="X1035" s="9"/>
      <c r="Y1035" s="9"/>
      <c r="Z1035" s="9"/>
      <c r="AA1035" s="229"/>
      <c r="AB1035" s="9"/>
      <c r="AC1035" s="9"/>
      <c r="AD1035" s="9"/>
      <c r="AE1035" s="9"/>
      <c r="AF1035" s="9"/>
      <c r="AG1035" s="9"/>
      <c r="AH1035" s="9"/>
      <c r="AI1035" s="9"/>
    </row>
    <row r="1036" spans="1:40" customFormat="1" ht="14.25" customHeight="1">
      <c r="A1036" s="189" t="s">
        <v>3830</v>
      </c>
      <c r="B1036" s="9">
        <v>55</v>
      </c>
      <c r="C1036" s="157" t="s">
        <v>3696</v>
      </c>
      <c r="D1036" s="183"/>
      <c r="E1036" s="183"/>
      <c r="F1036" s="188"/>
      <c r="G1036" s="188"/>
      <c r="H1036" s="183"/>
      <c r="I1036" s="183"/>
      <c r="J1036" s="188"/>
      <c r="K1036" s="188"/>
      <c r="L1036" s="9"/>
      <c r="M1036" s="9"/>
      <c r="N1036" s="183">
        <v>3</v>
      </c>
      <c r="O1036" s="7">
        <v>2.69</v>
      </c>
      <c r="P1036" s="9"/>
      <c r="Q1036" s="9"/>
      <c r="S1036" s="229"/>
      <c r="T1036" s="229"/>
      <c r="U1036" s="238"/>
      <c r="V1036" s="103"/>
      <c r="W1036" s="9"/>
      <c r="X1036" s="9"/>
      <c r="Y1036" s="9"/>
      <c r="Z1036" s="9"/>
      <c r="AA1036" s="229"/>
      <c r="AB1036" s="9"/>
      <c r="AC1036" s="9"/>
      <c r="AD1036" s="9"/>
      <c r="AE1036" s="9"/>
      <c r="AF1036" s="9"/>
      <c r="AG1036" s="9"/>
      <c r="AH1036" s="9"/>
      <c r="AI1036" s="9"/>
    </row>
    <row r="1037" spans="1:40" customFormat="1" ht="14.25" customHeight="1">
      <c r="A1037" s="125" t="s">
        <v>3073</v>
      </c>
      <c r="B1037" s="9">
        <v>40.5</v>
      </c>
      <c r="C1037" s="211" t="s">
        <v>1348</v>
      </c>
      <c r="D1037" s="183"/>
      <c r="E1037" s="183"/>
      <c r="F1037" s="188"/>
      <c r="G1037" s="188"/>
      <c r="H1037" s="183"/>
      <c r="I1037" s="183"/>
      <c r="J1037" s="188"/>
      <c r="K1037" s="188"/>
      <c r="L1037" s="9"/>
      <c r="M1037" s="9"/>
      <c r="N1037" s="183">
        <v>3</v>
      </c>
      <c r="O1037" s="7">
        <v>0.62</v>
      </c>
      <c r="P1037" s="9"/>
      <c r="Q1037" s="9"/>
      <c r="R1037" s="7"/>
      <c r="S1037" s="126"/>
      <c r="T1037" s="126"/>
      <c r="U1037" s="237"/>
      <c r="V1037" s="103"/>
      <c r="W1037" s="9"/>
      <c r="X1037" s="9"/>
      <c r="Y1037" s="9"/>
      <c r="Z1037" s="9"/>
      <c r="AA1037" s="126"/>
      <c r="AB1037" s="9"/>
      <c r="AC1037" s="9"/>
      <c r="AD1037" s="9"/>
      <c r="AE1037" s="9"/>
      <c r="AF1037" s="9"/>
      <c r="AG1037" s="9"/>
      <c r="AH1037" s="9"/>
      <c r="AI1037" s="9"/>
      <c r="AJ1037" s="211" t="s">
        <v>1348</v>
      </c>
      <c r="AK1037" s="7"/>
      <c r="AL1037" s="7"/>
      <c r="AM1037" s="7"/>
      <c r="AN1037" s="7"/>
    </row>
    <row r="1038" spans="1:40" customFormat="1" ht="14.25" customHeight="1">
      <c r="A1038" s="125" t="s">
        <v>3074</v>
      </c>
      <c r="B1038" s="9">
        <v>40.5</v>
      </c>
      <c r="C1038" s="7" t="s">
        <v>1371</v>
      </c>
      <c r="D1038" s="183"/>
      <c r="E1038" s="183"/>
      <c r="F1038" s="188"/>
      <c r="G1038" s="188"/>
      <c r="H1038" s="183"/>
      <c r="I1038" s="183"/>
      <c r="J1038" s="188"/>
      <c r="K1038" s="188"/>
      <c r="L1038" s="9"/>
      <c r="M1038" s="9"/>
      <c r="N1038" s="183">
        <v>3</v>
      </c>
      <c r="O1038" s="7">
        <v>0.62</v>
      </c>
      <c r="P1038" s="9"/>
      <c r="Q1038" s="9"/>
      <c r="R1038" s="7"/>
      <c r="S1038" s="126"/>
      <c r="T1038" s="126"/>
      <c r="U1038" s="237"/>
      <c r="V1038" s="103"/>
      <c r="W1038" s="9"/>
      <c r="X1038" s="9"/>
      <c r="Y1038" s="9"/>
      <c r="Z1038" s="9"/>
      <c r="AA1038" s="126"/>
      <c r="AB1038" s="9"/>
      <c r="AC1038" s="9"/>
      <c r="AD1038" s="9"/>
      <c r="AE1038" s="9"/>
      <c r="AF1038" s="9"/>
      <c r="AG1038" s="9"/>
      <c r="AH1038" s="9"/>
      <c r="AI1038" s="9"/>
      <c r="AJ1038" s="7"/>
      <c r="AK1038" s="7"/>
      <c r="AL1038" s="7"/>
      <c r="AM1038" s="7"/>
      <c r="AN1038" s="7"/>
    </row>
    <row r="1039" spans="1:40" customFormat="1" ht="14.25" customHeight="1">
      <c r="A1039" s="125" t="s">
        <v>3075</v>
      </c>
      <c r="B1039" s="9">
        <v>40.5</v>
      </c>
      <c r="C1039" s="7" t="s">
        <v>5853</v>
      </c>
      <c r="D1039" s="183"/>
      <c r="E1039" s="183"/>
      <c r="F1039" s="188"/>
      <c r="G1039" s="188"/>
      <c r="H1039" s="183"/>
      <c r="I1039" s="183"/>
      <c r="J1039" s="188"/>
      <c r="K1039" s="188"/>
      <c r="L1039" s="9"/>
      <c r="M1039" s="9"/>
      <c r="N1039" s="183">
        <v>3</v>
      </c>
      <c r="O1039" s="7">
        <v>0.62</v>
      </c>
      <c r="P1039" s="9"/>
      <c r="Q1039" s="9"/>
      <c r="R1039" s="7"/>
      <c r="S1039" s="126"/>
      <c r="T1039" s="126"/>
      <c r="U1039" s="237"/>
      <c r="V1039" s="103"/>
      <c r="W1039" s="9"/>
      <c r="X1039" s="9"/>
      <c r="Y1039" s="9"/>
      <c r="Z1039" s="9"/>
      <c r="AA1039" s="126"/>
      <c r="AB1039" s="9"/>
      <c r="AC1039" s="9"/>
      <c r="AD1039" s="9"/>
      <c r="AE1039" s="9"/>
      <c r="AF1039" s="9"/>
      <c r="AG1039" s="9"/>
      <c r="AH1039" s="9"/>
      <c r="AI1039" s="9"/>
      <c r="AJ1039" s="7"/>
      <c r="AK1039" s="7"/>
      <c r="AL1039" s="7"/>
      <c r="AM1039" s="7"/>
      <c r="AN1039" s="7"/>
    </row>
    <row r="1040" spans="1:40" customFormat="1" ht="14.25" customHeight="1">
      <c r="A1040" s="125" t="s">
        <v>3076</v>
      </c>
      <c r="B1040" s="9">
        <v>40.5</v>
      </c>
      <c r="C1040" s="7" t="s">
        <v>5854</v>
      </c>
      <c r="D1040" s="183"/>
      <c r="E1040" s="183"/>
      <c r="F1040" s="188"/>
      <c r="G1040" s="188"/>
      <c r="H1040" s="183"/>
      <c r="I1040" s="183"/>
      <c r="J1040" s="188"/>
      <c r="K1040" s="188"/>
      <c r="L1040" s="9"/>
      <c r="M1040" s="9"/>
      <c r="N1040" s="183">
        <v>3</v>
      </c>
      <c r="O1040" s="7">
        <v>0.62</v>
      </c>
      <c r="P1040" s="9"/>
      <c r="Q1040" s="9"/>
      <c r="R1040" s="7"/>
      <c r="S1040" s="126"/>
      <c r="T1040" s="126"/>
      <c r="U1040" s="237"/>
      <c r="V1040" s="103"/>
      <c r="W1040" s="9"/>
      <c r="X1040" s="9"/>
      <c r="Y1040" s="9"/>
      <c r="Z1040" s="9"/>
      <c r="AA1040" s="126"/>
      <c r="AB1040" s="9"/>
      <c r="AC1040" s="9"/>
      <c r="AD1040" s="9"/>
      <c r="AE1040" s="9"/>
      <c r="AF1040" s="9"/>
      <c r="AG1040" s="9"/>
      <c r="AH1040" s="9"/>
      <c r="AI1040" s="9"/>
      <c r="AJ1040" s="7"/>
      <c r="AK1040" s="7"/>
      <c r="AL1040" s="7"/>
      <c r="AM1040" s="7"/>
      <c r="AN1040" s="7"/>
    </row>
    <row r="1041" spans="1:40" customFormat="1" ht="14.25" customHeight="1">
      <c r="A1041" s="125" t="s">
        <v>3077</v>
      </c>
      <c r="B1041" s="9">
        <v>40.5</v>
      </c>
      <c r="C1041" s="7" t="s">
        <v>5855</v>
      </c>
      <c r="D1041" s="183"/>
      <c r="E1041" s="183"/>
      <c r="F1041" s="188"/>
      <c r="G1041" s="188"/>
      <c r="H1041" s="183"/>
      <c r="I1041" s="183"/>
      <c r="J1041" s="188"/>
      <c r="K1041" s="188"/>
      <c r="L1041" s="9"/>
      <c r="M1041" s="9"/>
      <c r="N1041" s="183">
        <v>3</v>
      </c>
      <c r="O1041" s="7">
        <v>0.62</v>
      </c>
      <c r="P1041" s="9"/>
      <c r="Q1041" s="9"/>
      <c r="R1041" s="7"/>
      <c r="S1041" s="126"/>
      <c r="T1041" s="126"/>
      <c r="U1041" s="237"/>
      <c r="V1041" s="103"/>
      <c r="W1041" s="9"/>
      <c r="X1041" s="9"/>
      <c r="Y1041" s="9"/>
      <c r="Z1041" s="9"/>
      <c r="AA1041" s="126"/>
      <c r="AB1041" s="9"/>
      <c r="AC1041" s="9"/>
      <c r="AD1041" s="9"/>
      <c r="AE1041" s="9"/>
      <c r="AF1041" s="9"/>
      <c r="AG1041" s="9"/>
      <c r="AH1041" s="9"/>
      <c r="AI1041" s="9"/>
      <c r="AJ1041" s="7"/>
      <c r="AK1041" s="7"/>
      <c r="AL1041" s="7"/>
      <c r="AM1041" s="7"/>
      <c r="AN1041" s="7"/>
    </row>
    <row r="1042" spans="1:40" customFormat="1" ht="14.25" customHeight="1">
      <c r="A1042" s="125" t="s">
        <v>3078</v>
      </c>
      <c r="B1042" s="9">
        <v>40.5</v>
      </c>
      <c r="C1042" s="7" t="s">
        <v>5856</v>
      </c>
      <c r="D1042" s="183"/>
      <c r="E1042" s="183"/>
      <c r="F1042" s="188"/>
      <c r="G1042" s="188"/>
      <c r="H1042" s="183"/>
      <c r="I1042" s="183"/>
      <c r="J1042" s="188"/>
      <c r="K1042" s="188"/>
      <c r="L1042" s="9"/>
      <c r="M1042" s="9"/>
      <c r="N1042" s="183">
        <v>3</v>
      </c>
      <c r="O1042" s="7">
        <v>0.62</v>
      </c>
      <c r="P1042" s="9"/>
      <c r="Q1042" s="9"/>
      <c r="R1042" s="7"/>
      <c r="S1042" s="126"/>
      <c r="T1042" s="126"/>
      <c r="U1042" s="237"/>
      <c r="V1042" s="103"/>
      <c r="W1042" s="9"/>
      <c r="X1042" s="9"/>
      <c r="Y1042" s="9"/>
      <c r="Z1042" s="9"/>
      <c r="AA1042" s="126"/>
      <c r="AB1042" s="9"/>
      <c r="AC1042" s="9"/>
      <c r="AD1042" s="9"/>
      <c r="AE1042" s="9"/>
      <c r="AF1042" s="9"/>
      <c r="AG1042" s="9"/>
      <c r="AH1042" s="9"/>
      <c r="AI1042" s="9"/>
      <c r="AJ1042" s="7"/>
      <c r="AK1042" s="7"/>
      <c r="AL1042" s="7"/>
      <c r="AM1042" s="7"/>
      <c r="AN1042" s="7"/>
    </row>
    <row r="1043" spans="1:40" customFormat="1" ht="14.25" customHeight="1">
      <c r="A1043" s="125" t="s">
        <v>3079</v>
      </c>
      <c r="B1043" s="9">
        <v>40.5</v>
      </c>
      <c r="C1043" s="7" t="s">
        <v>5857</v>
      </c>
      <c r="D1043" s="183"/>
      <c r="E1043" s="183"/>
      <c r="F1043" s="188"/>
      <c r="G1043" s="188"/>
      <c r="H1043" s="183"/>
      <c r="I1043" s="183"/>
      <c r="J1043" s="188"/>
      <c r="K1043" s="188"/>
      <c r="L1043" s="9"/>
      <c r="M1043" s="9"/>
      <c r="N1043" s="183">
        <v>3</v>
      </c>
      <c r="O1043" s="7">
        <v>0.62</v>
      </c>
      <c r="P1043" s="9"/>
      <c r="Q1043" s="9"/>
      <c r="R1043" s="7"/>
      <c r="S1043" s="126"/>
      <c r="T1043" s="126"/>
      <c r="U1043" s="237"/>
      <c r="V1043" s="103"/>
      <c r="W1043" s="9"/>
      <c r="X1043" s="9"/>
      <c r="Y1043" s="9"/>
      <c r="Z1043" s="9"/>
      <c r="AA1043" s="126"/>
      <c r="AB1043" s="9"/>
      <c r="AC1043" s="9"/>
      <c r="AD1043" s="9"/>
      <c r="AE1043" s="9"/>
      <c r="AF1043" s="9"/>
      <c r="AG1043" s="9"/>
      <c r="AH1043" s="9"/>
      <c r="AI1043" s="9"/>
      <c r="AJ1043" s="7"/>
      <c r="AK1043" s="7"/>
      <c r="AL1043" s="7"/>
      <c r="AM1043" s="7"/>
      <c r="AN1043" s="7"/>
    </row>
    <row r="1044" spans="1:40" customFormat="1" ht="14.25" customHeight="1">
      <c r="A1044" s="125" t="s">
        <v>3080</v>
      </c>
      <c r="B1044" s="9">
        <f>15.6+30.7</f>
        <v>46.3</v>
      </c>
      <c r="C1044" s="211" t="s">
        <v>1354</v>
      </c>
      <c r="D1044" s="183"/>
      <c r="E1044" s="183"/>
      <c r="F1044" s="188"/>
      <c r="G1044" s="188"/>
      <c r="H1044" s="183"/>
      <c r="I1044" s="183"/>
      <c r="J1044" s="188"/>
      <c r="K1044" s="188"/>
      <c r="L1044" s="9"/>
      <c r="M1044" s="9"/>
      <c r="N1044" s="183">
        <v>3</v>
      </c>
      <c r="O1044" s="7">
        <v>2.4</v>
      </c>
      <c r="P1044" s="9"/>
      <c r="Q1044" s="9"/>
      <c r="R1044" s="7"/>
      <c r="S1044" s="126"/>
      <c r="T1044" s="126"/>
      <c r="U1044" s="237"/>
      <c r="V1044" s="103"/>
      <c r="W1044" s="9"/>
      <c r="X1044" s="9"/>
      <c r="Y1044" s="9"/>
      <c r="Z1044" s="9"/>
      <c r="AA1044" s="126"/>
      <c r="AB1044" s="9"/>
      <c r="AC1044" s="9"/>
      <c r="AD1044" s="9"/>
      <c r="AE1044" s="9"/>
      <c r="AF1044" s="9"/>
      <c r="AG1044" s="9"/>
      <c r="AH1044" s="9"/>
      <c r="AI1044" s="9"/>
      <c r="AJ1044" s="211" t="s">
        <v>1354</v>
      </c>
      <c r="AK1044" s="7"/>
      <c r="AL1044" s="7"/>
      <c r="AM1044" s="7"/>
      <c r="AN1044" s="7"/>
    </row>
    <row r="1045" spans="1:40" customFormat="1" ht="14.25" customHeight="1">
      <c r="A1045" s="125" t="s">
        <v>3081</v>
      </c>
      <c r="B1045" s="9">
        <f>15.6+30.7</f>
        <v>46.3</v>
      </c>
      <c r="C1045" s="7" t="s">
        <v>5858</v>
      </c>
      <c r="D1045" s="183"/>
      <c r="E1045" s="183"/>
      <c r="F1045" s="188"/>
      <c r="G1045" s="188"/>
      <c r="H1045" s="183"/>
      <c r="I1045" s="183"/>
      <c r="J1045" s="188"/>
      <c r="K1045" s="188"/>
      <c r="L1045" s="9"/>
      <c r="M1045" s="9"/>
      <c r="N1045" s="183">
        <v>3</v>
      </c>
      <c r="O1045" s="7">
        <v>2.4</v>
      </c>
      <c r="P1045" s="9"/>
      <c r="Q1045" s="9"/>
      <c r="R1045" s="7"/>
      <c r="S1045" s="126"/>
      <c r="T1045" s="126"/>
      <c r="U1045" s="237"/>
      <c r="V1045" s="103"/>
      <c r="W1045" s="9"/>
      <c r="X1045" s="9"/>
      <c r="Y1045" s="9"/>
      <c r="Z1045" s="9"/>
      <c r="AA1045" s="126"/>
      <c r="AB1045" s="9"/>
      <c r="AC1045" s="9"/>
      <c r="AD1045" s="9"/>
      <c r="AE1045" s="9"/>
      <c r="AF1045" s="9"/>
      <c r="AG1045" s="9"/>
      <c r="AH1045" s="9"/>
      <c r="AI1045" s="9"/>
      <c r="AJ1045" s="7"/>
      <c r="AK1045" s="7"/>
      <c r="AL1045" s="7"/>
      <c r="AM1045" s="7"/>
      <c r="AN1045" s="7"/>
    </row>
    <row r="1046" spans="1:40" customFormat="1" ht="14.25" customHeight="1">
      <c r="A1046" s="125" t="s">
        <v>3082</v>
      </c>
      <c r="B1046" s="9">
        <f>46-7</f>
        <v>39</v>
      </c>
      <c r="C1046" s="7" t="s">
        <v>5859</v>
      </c>
      <c r="D1046" s="183"/>
      <c r="E1046" s="183"/>
      <c r="F1046" s="188"/>
      <c r="G1046" s="188"/>
      <c r="H1046" s="183"/>
      <c r="I1046" s="183"/>
      <c r="J1046" s="188"/>
      <c r="K1046" s="188"/>
      <c r="L1046" s="9"/>
      <c r="M1046" s="9"/>
      <c r="N1046" s="183">
        <v>6</v>
      </c>
      <c r="O1046" s="7">
        <v>1.45</v>
      </c>
      <c r="P1046" s="9"/>
      <c r="Q1046" s="9"/>
      <c r="R1046" s="7"/>
      <c r="S1046" s="126"/>
      <c r="T1046" s="126"/>
      <c r="U1046" s="237"/>
      <c r="V1046" s="103"/>
      <c r="W1046" s="9"/>
      <c r="X1046" s="9"/>
      <c r="Y1046" s="9"/>
      <c r="Z1046" s="9"/>
      <c r="AA1046" s="126"/>
      <c r="AB1046" s="9"/>
      <c r="AC1046" s="9"/>
      <c r="AD1046" s="9"/>
      <c r="AE1046" s="9"/>
      <c r="AF1046" s="9"/>
      <c r="AG1046" s="9"/>
      <c r="AH1046" s="9"/>
      <c r="AI1046" s="9"/>
      <c r="AJ1046" s="7"/>
      <c r="AK1046" s="7"/>
      <c r="AL1046" s="7"/>
      <c r="AM1046" s="7"/>
      <c r="AN1046" s="7"/>
    </row>
    <row r="1047" spans="1:40" customFormat="1" ht="14.25" customHeight="1">
      <c r="A1047" s="125" t="s">
        <v>3083</v>
      </c>
      <c r="B1047" s="9">
        <f>53.2-7</f>
        <v>46.2</v>
      </c>
      <c r="C1047" s="7" t="s">
        <v>5860</v>
      </c>
      <c r="D1047" s="183"/>
      <c r="E1047" s="183"/>
      <c r="F1047" s="188"/>
      <c r="G1047" s="188"/>
      <c r="H1047" s="183"/>
      <c r="I1047" s="183"/>
      <c r="J1047" s="188"/>
      <c r="K1047" s="188"/>
      <c r="L1047" s="9"/>
      <c r="M1047" s="9"/>
      <c r="N1047" s="183">
        <v>3</v>
      </c>
      <c r="O1047" s="7">
        <v>2.1</v>
      </c>
      <c r="P1047" s="9"/>
      <c r="Q1047" s="9"/>
      <c r="R1047" s="7"/>
      <c r="S1047" s="126"/>
      <c r="T1047" s="126"/>
      <c r="U1047" s="237"/>
      <c r="V1047" s="103"/>
      <c r="W1047" s="9"/>
      <c r="X1047" s="9"/>
      <c r="Y1047" s="9"/>
      <c r="Z1047" s="9"/>
      <c r="AA1047" s="126"/>
      <c r="AB1047" s="9"/>
      <c r="AC1047" s="9"/>
      <c r="AD1047" s="9"/>
      <c r="AE1047" s="9"/>
      <c r="AF1047" s="9"/>
      <c r="AG1047" s="9"/>
      <c r="AH1047" s="9"/>
      <c r="AI1047" s="9"/>
      <c r="AJ1047" s="7"/>
      <c r="AK1047" s="7"/>
      <c r="AL1047" s="7"/>
      <c r="AM1047" s="7"/>
      <c r="AN1047" s="7"/>
    </row>
    <row r="1048" spans="1:40" customFormat="1" ht="14.25" customHeight="1">
      <c r="A1048" s="125" t="s">
        <v>3084</v>
      </c>
      <c r="B1048" s="9">
        <f>85.4-7</f>
        <v>78.400000000000006</v>
      </c>
      <c r="C1048" s="211" t="s">
        <v>5861</v>
      </c>
      <c r="D1048" s="183"/>
      <c r="E1048" s="183"/>
      <c r="F1048" s="188"/>
      <c r="G1048" s="188"/>
      <c r="H1048" s="183"/>
      <c r="I1048" s="183"/>
      <c r="J1048" s="188"/>
      <c r="K1048" s="188"/>
      <c r="L1048" s="9"/>
      <c r="M1048" s="9"/>
      <c r="N1048" s="183">
        <v>3</v>
      </c>
      <c r="O1048" s="7">
        <v>1.94</v>
      </c>
      <c r="P1048" s="9"/>
      <c r="Q1048" s="9"/>
      <c r="R1048" s="7"/>
      <c r="S1048" s="126"/>
      <c r="T1048" s="126"/>
      <c r="U1048" s="237"/>
      <c r="V1048" s="103"/>
      <c r="W1048" s="9"/>
      <c r="X1048" s="9"/>
      <c r="Y1048" s="9"/>
      <c r="Z1048" s="9"/>
      <c r="AA1048" s="126"/>
      <c r="AB1048" s="9"/>
      <c r="AC1048" s="9"/>
      <c r="AD1048" s="9"/>
      <c r="AE1048" s="9"/>
      <c r="AF1048" s="9"/>
      <c r="AG1048" s="9"/>
      <c r="AH1048" s="9"/>
      <c r="AI1048" s="9"/>
      <c r="AJ1048" s="211" t="s">
        <v>5861</v>
      </c>
      <c r="AK1048" s="7"/>
      <c r="AL1048" s="7"/>
      <c r="AM1048" s="7"/>
      <c r="AN1048" s="7"/>
    </row>
    <row r="1049" spans="1:40" customFormat="1" ht="14.25" customHeight="1">
      <c r="A1049" s="125" t="s">
        <v>3085</v>
      </c>
      <c r="B1049" s="9">
        <f>85.4-7</f>
        <v>78.400000000000006</v>
      </c>
      <c r="C1049" s="7" t="s">
        <v>5862</v>
      </c>
      <c r="D1049" s="183"/>
      <c r="E1049" s="183"/>
      <c r="F1049" s="188"/>
      <c r="G1049" s="188"/>
      <c r="H1049" s="183"/>
      <c r="I1049" s="183"/>
      <c r="J1049" s="188"/>
      <c r="K1049" s="188"/>
      <c r="L1049" s="9"/>
      <c r="M1049" s="9"/>
      <c r="N1049" s="183">
        <v>3</v>
      </c>
      <c r="O1049" s="7">
        <v>1.94</v>
      </c>
      <c r="P1049" s="9"/>
      <c r="Q1049" s="9"/>
      <c r="R1049" s="7"/>
      <c r="S1049" s="126"/>
      <c r="T1049" s="126"/>
      <c r="U1049" s="237"/>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3086</v>
      </c>
      <c r="B1050" s="9">
        <f>85.4-7</f>
        <v>78.400000000000006</v>
      </c>
      <c r="C1050" s="7" t="s">
        <v>5863</v>
      </c>
      <c r="D1050" s="183"/>
      <c r="E1050" s="183"/>
      <c r="F1050" s="188"/>
      <c r="G1050" s="188"/>
      <c r="H1050" s="183"/>
      <c r="I1050" s="183"/>
      <c r="J1050" s="188"/>
      <c r="K1050" s="188"/>
      <c r="L1050" s="9"/>
      <c r="M1050" s="9"/>
      <c r="N1050" s="183">
        <v>3</v>
      </c>
      <c r="O1050" s="7">
        <v>1.94</v>
      </c>
      <c r="P1050" s="9"/>
      <c r="Q1050" s="9"/>
      <c r="R1050" s="7"/>
      <c r="S1050" s="126"/>
      <c r="T1050" s="126"/>
      <c r="U1050" s="237"/>
      <c r="V1050" s="103"/>
      <c r="W1050" s="9"/>
      <c r="X1050" s="9"/>
      <c r="Y1050" s="9"/>
      <c r="Z1050" s="9"/>
      <c r="AA1050" s="126"/>
      <c r="AB1050" s="9"/>
      <c r="AC1050" s="9"/>
      <c r="AD1050" s="9"/>
      <c r="AE1050" s="9"/>
      <c r="AF1050" s="9"/>
      <c r="AG1050" s="9"/>
      <c r="AH1050" s="9"/>
      <c r="AI1050" s="9"/>
      <c r="AJ1050" s="7"/>
      <c r="AK1050" s="7"/>
      <c r="AL1050" s="7"/>
      <c r="AM1050" s="7"/>
      <c r="AN1050" s="4"/>
    </row>
    <row r="1051" spans="1:40" customFormat="1" ht="14.25" customHeight="1">
      <c r="A1051" s="125" t="s">
        <v>3087</v>
      </c>
      <c r="B1051" s="9">
        <f>39.5-7</f>
        <v>32.5</v>
      </c>
      <c r="C1051" s="211" t="s">
        <v>5864</v>
      </c>
      <c r="D1051" s="183"/>
      <c r="E1051" s="183"/>
      <c r="F1051" s="188"/>
      <c r="G1051" s="188"/>
      <c r="H1051" s="183"/>
      <c r="I1051" s="183"/>
      <c r="J1051" s="188"/>
      <c r="K1051" s="188"/>
      <c r="L1051" s="9"/>
      <c r="M1051" s="9"/>
      <c r="N1051" s="183">
        <v>3</v>
      </c>
      <c r="O1051" s="7">
        <v>1.88</v>
      </c>
      <c r="P1051" s="9"/>
      <c r="Q1051" s="9"/>
      <c r="R1051" s="7"/>
      <c r="S1051" s="126"/>
      <c r="T1051" s="126"/>
      <c r="U1051" s="237"/>
      <c r="V1051" s="103"/>
      <c r="W1051" s="9"/>
      <c r="X1051" s="9"/>
      <c r="Y1051" s="9"/>
      <c r="Z1051" s="9"/>
      <c r="AA1051" s="126"/>
      <c r="AB1051" s="9"/>
      <c r="AC1051" s="9"/>
      <c r="AD1051" s="9"/>
      <c r="AE1051" s="9"/>
      <c r="AF1051" s="9"/>
      <c r="AG1051" s="9"/>
      <c r="AH1051" s="9"/>
      <c r="AI1051" s="9"/>
      <c r="AJ1051" s="211" t="s">
        <v>5864</v>
      </c>
      <c r="AK1051" s="7"/>
      <c r="AL1051" s="7"/>
      <c r="AM1051" s="7"/>
      <c r="AN1051" s="7"/>
    </row>
    <row r="1052" spans="1:40" customFormat="1" ht="14.25" customHeight="1">
      <c r="A1052" s="125" t="s">
        <v>3088</v>
      </c>
      <c r="B1052" s="9">
        <f>39.5-7</f>
        <v>32.5</v>
      </c>
      <c r="C1052" s="7" t="s">
        <v>5865</v>
      </c>
      <c r="D1052" s="183"/>
      <c r="E1052" s="183"/>
      <c r="F1052" s="188"/>
      <c r="G1052" s="188"/>
      <c r="H1052" s="183"/>
      <c r="I1052" s="183"/>
      <c r="J1052" s="188"/>
      <c r="K1052" s="188"/>
      <c r="L1052" s="9"/>
      <c r="M1052" s="9"/>
      <c r="N1052" s="183">
        <v>3</v>
      </c>
      <c r="O1052" s="7">
        <v>1.88</v>
      </c>
      <c r="P1052" s="9"/>
      <c r="Q1052" s="9"/>
      <c r="R1052" s="7"/>
      <c r="S1052" s="126"/>
      <c r="T1052" s="126"/>
      <c r="U1052" s="237"/>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3089</v>
      </c>
      <c r="B1053" s="9">
        <f>39.5-7</f>
        <v>32.5</v>
      </c>
      <c r="C1053" s="7" t="s">
        <v>1379</v>
      </c>
      <c r="D1053" s="183"/>
      <c r="E1053" s="183"/>
      <c r="F1053" s="188"/>
      <c r="G1053" s="188"/>
      <c r="H1053" s="183"/>
      <c r="I1053" s="183"/>
      <c r="J1053" s="188"/>
      <c r="K1053" s="188"/>
      <c r="L1053" s="9"/>
      <c r="M1053" s="9"/>
      <c r="N1053" s="183">
        <v>3</v>
      </c>
      <c r="O1053" s="7">
        <v>1.88</v>
      </c>
      <c r="P1053" s="9"/>
      <c r="Q1053" s="9"/>
      <c r="R1053" s="7"/>
      <c r="S1053" s="126"/>
      <c r="T1053" s="126"/>
      <c r="U1053" s="237"/>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3090</v>
      </c>
      <c r="B1054" s="9">
        <v>25.5</v>
      </c>
      <c r="C1054" s="7" t="s">
        <v>3160</v>
      </c>
      <c r="D1054" s="183"/>
      <c r="E1054" s="183"/>
      <c r="F1054" s="188"/>
      <c r="G1054" s="188"/>
      <c r="H1054" s="183"/>
      <c r="I1054" s="183"/>
      <c r="J1054" s="188"/>
      <c r="K1054" s="188"/>
      <c r="L1054" s="9"/>
      <c r="M1054" s="9"/>
      <c r="N1054" s="183">
        <v>6</v>
      </c>
      <c r="O1054" s="7">
        <v>1.49</v>
      </c>
      <c r="P1054" s="9"/>
      <c r="Q1054" s="9"/>
      <c r="R1054" s="7"/>
      <c r="S1054" s="126"/>
      <c r="T1054" s="126"/>
      <c r="U1054" s="237"/>
      <c r="V1054" s="103"/>
      <c r="W1054" s="9"/>
      <c r="X1054" s="9"/>
      <c r="Y1054" s="9"/>
      <c r="Z1054" s="9"/>
      <c r="AA1054" s="126"/>
      <c r="AB1054" s="9"/>
      <c r="AC1054" s="9"/>
      <c r="AD1054" s="9"/>
      <c r="AE1054" s="9"/>
      <c r="AF1054" s="9"/>
      <c r="AG1054" s="9"/>
      <c r="AH1054" s="9"/>
      <c r="AI1054" s="9"/>
      <c r="AJ1054" s="7"/>
      <c r="AK1054" s="7"/>
      <c r="AL1054" s="7"/>
      <c r="AM1054" s="7"/>
      <c r="AN1054" s="7"/>
    </row>
    <row r="1055" spans="1:40" customFormat="1" ht="14.25" customHeight="1">
      <c r="A1055" s="125" t="s">
        <v>3091</v>
      </c>
      <c r="B1055" s="9">
        <v>24.5</v>
      </c>
      <c r="C1055" s="211" t="s">
        <v>1360</v>
      </c>
      <c r="D1055" s="183"/>
      <c r="E1055" s="183"/>
      <c r="F1055" s="188"/>
      <c r="G1055" s="188"/>
      <c r="H1055" s="183"/>
      <c r="I1055" s="183"/>
      <c r="J1055" s="188"/>
      <c r="K1055" s="188"/>
      <c r="L1055" s="9"/>
      <c r="M1055" s="9"/>
      <c r="N1055" s="183">
        <v>3</v>
      </c>
      <c r="O1055" s="7">
        <v>2.0699999999999998</v>
      </c>
      <c r="P1055" s="9"/>
      <c r="Q1055" s="9"/>
      <c r="R1055" s="7"/>
      <c r="S1055" s="126"/>
      <c r="T1055" s="126"/>
      <c r="U1055" s="237"/>
      <c r="V1055" s="103"/>
      <c r="W1055" s="9"/>
      <c r="X1055" s="9"/>
      <c r="Y1055" s="9"/>
      <c r="Z1055" s="9"/>
      <c r="AA1055" s="126"/>
      <c r="AB1055" s="9"/>
      <c r="AC1055" s="9"/>
      <c r="AD1055" s="9"/>
      <c r="AE1055" s="9"/>
      <c r="AF1055" s="9"/>
      <c r="AG1055" s="9"/>
      <c r="AH1055" s="9"/>
      <c r="AI1055" s="9"/>
      <c r="AJ1055" s="211" t="s">
        <v>1360</v>
      </c>
      <c r="AK1055" s="7"/>
      <c r="AL1055" s="7"/>
      <c r="AM1055" s="7"/>
      <c r="AN1055" s="7"/>
    </row>
    <row r="1056" spans="1:40" customFormat="1" ht="14.25" customHeight="1">
      <c r="A1056" s="125" t="s">
        <v>3092</v>
      </c>
      <c r="B1056" s="9">
        <v>24.5</v>
      </c>
      <c r="C1056" s="7" t="s">
        <v>5866</v>
      </c>
      <c r="D1056" s="183"/>
      <c r="E1056" s="183"/>
      <c r="F1056" s="188"/>
      <c r="G1056" s="188"/>
      <c r="H1056" s="183"/>
      <c r="I1056" s="183"/>
      <c r="J1056" s="188"/>
      <c r="K1056" s="188"/>
      <c r="L1056" s="9"/>
      <c r="M1056" s="9"/>
      <c r="N1056" s="183">
        <v>3</v>
      </c>
      <c r="O1056" s="7">
        <v>2.0699999999999998</v>
      </c>
      <c r="P1056" s="9"/>
      <c r="Q1056" s="9"/>
      <c r="R1056" s="7"/>
      <c r="S1056" s="126"/>
      <c r="T1056" s="126"/>
      <c r="U1056" s="237"/>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3093</v>
      </c>
      <c r="B1057" s="9">
        <v>24.5</v>
      </c>
      <c r="C1057" s="7" t="s">
        <v>1380</v>
      </c>
      <c r="D1057" s="183"/>
      <c r="E1057" s="183"/>
      <c r="F1057" s="188"/>
      <c r="G1057" s="188"/>
      <c r="H1057" s="183"/>
      <c r="I1057" s="183"/>
      <c r="J1057" s="188"/>
      <c r="K1057" s="188"/>
      <c r="L1057" s="9"/>
      <c r="M1057" s="9"/>
      <c r="N1057" s="183">
        <v>3</v>
      </c>
      <c r="O1057" s="7">
        <v>2.0699999999999998</v>
      </c>
      <c r="P1057" s="9"/>
      <c r="Q1057" s="9"/>
      <c r="R1057" s="7"/>
      <c r="S1057" s="126"/>
      <c r="T1057" s="126"/>
      <c r="U1057" s="237"/>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3094</v>
      </c>
      <c r="B1058" s="9">
        <v>28</v>
      </c>
      <c r="C1058" s="211" t="s">
        <v>1372</v>
      </c>
      <c r="D1058" s="183"/>
      <c r="E1058" s="183"/>
      <c r="F1058" s="188"/>
      <c r="G1058" s="188"/>
      <c r="H1058" s="183"/>
      <c r="I1058" s="183"/>
      <c r="J1058" s="188"/>
      <c r="K1058" s="188"/>
      <c r="L1058" s="9"/>
      <c r="M1058" s="9"/>
      <c r="N1058" s="183">
        <v>3</v>
      </c>
      <c r="O1058" s="7">
        <v>2.2200000000000002</v>
      </c>
      <c r="P1058" s="9"/>
      <c r="Q1058" s="9"/>
      <c r="R1058" s="7"/>
      <c r="S1058" s="126"/>
      <c r="T1058" s="126"/>
      <c r="U1058" s="237"/>
      <c r="V1058" s="103"/>
      <c r="W1058" s="9"/>
      <c r="X1058" s="9"/>
      <c r="Y1058" s="9"/>
      <c r="Z1058" s="9"/>
      <c r="AA1058" s="126"/>
      <c r="AB1058" s="9"/>
      <c r="AC1058" s="9"/>
      <c r="AD1058" s="9"/>
      <c r="AE1058" s="9"/>
      <c r="AF1058" s="9"/>
      <c r="AG1058" s="9"/>
      <c r="AH1058" s="9"/>
      <c r="AI1058" s="9"/>
      <c r="AJ1058" s="211" t="s">
        <v>1372</v>
      </c>
      <c r="AK1058" s="7"/>
      <c r="AL1058" s="7"/>
      <c r="AM1058" s="7"/>
      <c r="AN1058" s="7"/>
    </row>
    <row r="1059" spans="1:40" customFormat="1" ht="14.25" customHeight="1">
      <c r="A1059" s="125" t="s">
        <v>3095</v>
      </c>
      <c r="B1059" s="9">
        <v>28</v>
      </c>
      <c r="C1059" s="7" t="s">
        <v>5867</v>
      </c>
      <c r="D1059" s="183"/>
      <c r="E1059" s="183"/>
      <c r="F1059" s="188"/>
      <c r="G1059" s="188"/>
      <c r="H1059" s="183"/>
      <c r="I1059" s="183"/>
      <c r="J1059" s="188"/>
      <c r="K1059" s="188"/>
      <c r="L1059" s="9"/>
      <c r="M1059" s="9"/>
      <c r="N1059" s="183">
        <v>3</v>
      </c>
      <c r="O1059" s="7">
        <v>2.2200000000000002</v>
      </c>
      <c r="P1059" s="9"/>
      <c r="Q1059" s="9"/>
      <c r="R1059" s="7"/>
      <c r="S1059" s="126"/>
      <c r="T1059" s="126"/>
      <c r="U1059" s="237"/>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3096</v>
      </c>
      <c r="B1060" s="9">
        <v>28</v>
      </c>
      <c r="C1060" s="7" t="s">
        <v>1375</v>
      </c>
      <c r="D1060" s="183"/>
      <c r="E1060" s="183"/>
      <c r="F1060" s="188"/>
      <c r="G1060" s="188"/>
      <c r="H1060" s="183"/>
      <c r="I1060" s="183"/>
      <c r="J1060" s="188"/>
      <c r="K1060" s="188"/>
      <c r="L1060" s="9"/>
      <c r="M1060" s="9"/>
      <c r="N1060" s="183">
        <v>3</v>
      </c>
      <c r="O1060" s="7">
        <v>2.2200000000000002</v>
      </c>
      <c r="P1060" s="9"/>
      <c r="Q1060" s="9"/>
      <c r="R1060" s="7"/>
      <c r="S1060" s="126"/>
      <c r="T1060" s="126"/>
      <c r="U1060" s="237"/>
      <c r="V1060" s="103"/>
      <c r="W1060" s="9"/>
      <c r="X1060" s="9"/>
      <c r="Y1060" s="9"/>
      <c r="Z1060" s="9"/>
      <c r="AA1060" s="126"/>
      <c r="AB1060" s="9"/>
      <c r="AC1060" s="9"/>
      <c r="AD1060" s="9"/>
      <c r="AE1060" s="9"/>
      <c r="AF1060" s="9"/>
      <c r="AG1060" s="9"/>
      <c r="AH1060" s="9"/>
      <c r="AI1060" s="9"/>
      <c r="AJ1060" s="7"/>
      <c r="AK1060" s="7"/>
      <c r="AL1060" s="7"/>
      <c r="AM1060" s="7"/>
      <c r="AN1060" s="7"/>
    </row>
    <row r="1061" spans="1:40" customFormat="1" ht="14.25" customHeight="1">
      <c r="A1061" s="148" t="s">
        <v>3360</v>
      </c>
      <c r="B1061" s="9">
        <v>16.5</v>
      </c>
      <c r="C1061" s="198" t="s">
        <v>5923</v>
      </c>
      <c r="D1061" s="183"/>
      <c r="E1061" s="183"/>
      <c r="F1061" s="188"/>
      <c r="G1061" s="188"/>
      <c r="H1061" s="183"/>
      <c r="I1061" s="183"/>
      <c r="J1061" s="188"/>
      <c r="K1061" s="188"/>
      <c r="L1061" s="9"/>
      <c r="M1061" s="9"/>
      <c r="N1061" s="183">
        <v>5</v>
      </c>
      <c r="O1061" s="7">
        <v>0.28000000000000003</v>
      </c>
      <c r="P1061" s="9"/>
      <c r="Q1061" s="9"/>
      <c r="R1061" s="7"/>
      <c r="S1061" s="126"/>
      <c r="T1061" s="126"/>
      <c r="U1061" s="237"/>
      <c r="V1061" s="103"/>
      <c r="W1061" s="9"/>
      <c r="X1061" s="9"/>
      <c r="Y1061" s="9"/>
      <c r="Z1061" s="9"/>
      <c r="AA1061" s="126"/>
      <c r="AB1061" s="9"/>
      <c r="AC1061" s="9"/>
      <c r="AD1061" s="9"/>
      <c r="AE1061" s="9"/>
      <c r="AF1061" s="9"/>
      <c r="AG1061" s="9"/>
      <c r="AH1061" s="9"/>
      <c r="AI1061" s="9"/>
      <c r="AJ1061" s="7"/>
      <c r="AK1061" s="7"/>
      <c r="AL1061" s="7"/>
      <c r="AM1061" s="7"/>
      <c r="AN1061" s="7"/>
    </row>
    <row r="1062" spans="1:40" customFormat="1" ht="14.25" customHeight="1">
      <c r="A1062" s="148" t="s">
        <v>3361</v>
      </c>
      <c r="B1062" s="9">
        <v>9.1999999999999993</v>
      </c>
      <c r="C1062" s="198" t="s">
        <v>5949</v>
      </c>
      <c r="D1062" s="186"/>
      <c r="E1062" s="186"/>
      <c r="F1062" s="188"/>
      <c r="G1062" s="188"/>
      <c r="H1062" s="186"/>
      <c r="I1062" s="186"/>
      <c r="J1062" s="188"/>
      <c r="K1062" s="188"/>
      <c r="L1062" s="168"/>
      <c r="M1062" s="168"/>
      <c r="N1062" s="186">
        <v>5</v>
      </c>
      <c r="O1062" s="7">
        <v>0.32</v>
      </c>
      <c r="P1062" s="9"/>
      <c r="Q1062" s="9"/>
      <c r="R1062" s="7"/>
      <c r="S1062" s="126"/>
      <c r="T1062" s="126"/>
      <c r="U1062" s="237"/>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47" t="s">
        <v>3627</v>
      </c>
      <c r="B1063" s="9">
        <v>22.2</v>
      </c>
      <c r="C1063" s="198" t="s">
        <v>5922</v>
      </c>
      <c r="D1063" s="186"/>
      <c r="E1063" s="186"/>
      <c r="F1063" s="188"/>
      <c r="G1063" s="188"/>
      <c r="H1063" s="186"/>
      <c r="I1063" s="186"/>
      <c r="J1063" s="188"/>
      <c r="K1063" s="188"/>
      <c r="L1063" s="168"/>
      <c r="M1063" s="168"/>
      <c r="N1063" s="186">
        <v>5</v>
      </c>
      <c r="O1063" s="7">
        <v>0.9</v>
      </c>
      <c r="P1063" s="9"/>
      <c r="Q1063" s="9"/>
      <c r="R1063" s="7"/>
      <c r="S1063" s="126"/>
      <c r="T1063" s="126"/>
      <c r="U1063" s="237"/>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47" t="s">
        <v>3632</v>
      </c>
      <c r="B1064" s="9">
        <v>31.5</v>
      </c>
      <c r="C1064" s="212" t="s">
        <v>5921</v>
      </c>
      <c r="D1064" s="183"/>
      <c r="E1064" s="183"/>
      <c r="F1064" s="188"/>
      <c r="G1064" s="188"/>
      <c r="H1064" s="183"/>
      <c r="I1064" s="183"/>
      <c r="J1064" s="188"/>
      <c r="K1064" s="188"/>
      <c r="L1064" s="9"/>
      <c r="M1064" s="9"/>
      <c r="N1064" s="183">
        <v>5</v>
      </c>
      <c r="O1064" s="7">
        <v>1</v>
      </c>
      <c r="P1064" s="9"/>
      <c r="Q1064" s="9"/>
      <c r="R1064" s="7"/>
      <c r="S1064" s="126"/>
      <c r="T1064" s="126"/>
      <c r="U1064" s="237"/>
      <c r="V1064" s="103"/>
      <c r="W1064" s="9"/>
      <c r="X1064" s="9"/>
      <c r="Y1064" s="9"/>
      <c r="Z1064" s="9"/>
      <c r="AA1064" s="126"/>
      <c r="AB1064" s="9"/>
      <c r="AC1064" s="9"/>
      <c r="AD1064" s="9"/>
      <c r="AE1064" s="9"/>
      <c r="AF1064" s="9"/>
      <c r="AG1064" s="9"/>
      <c r="AH1064" s="9"/>
      <c r="AI1064" s="9"/>
      <c r="AJ1064" s="212" t="s">
        <v>5921</v>
      </c>
      <c r="AK1064" s="7"/>
      <c r="AL1064" s="7"/>
      <c r="AM1064" s="7"/>
      <c r="AN1064" s="4"/>
    </row>
    <row r="1065" spans="1:40" customFormat="1" ht="14.25" customHeight="1">
      <c r="A1065" s="147" t="s">
        <v>3364</v>
      </c>
      <c r="B1065" s="9">
        <v>31.5</v>
      </c>
      <c r="C1065" s="198" t="s">
        <v>5920</v>
      </c>
      <c r="D1065" s="183"/>
      <c r="E1065" s="183"/>
      <c r="F1065" s="188"/>
      <c r="G1065" s="188"/>
      <c r="H1065" s="183"/>
      <c r="I1065" s="183"/>
      <c r="J1065" s="188"/>
      <c r="K1065" s="188"/>
      <c r="L1065" s="9"/>
      <c r="M1065" s="9"/>
      <c r="N1065" s="183">
        <v>3</v>
      </c>
      <c r="O1065" s="7">
        <v>1</v>
      </c>
      <c r="P1065" s="9"/>
      <c r="Q1065" s="9"/>
      <c r="R1065" s="7"/>
      <c r="S1065" s="126"/>
      <c r="T1065" s="126"/>
      <c r="U1065" s="237"/>
      <c r="V1065" s="103"/>
      <c r="W1065" s="9"/>
      <c r="X1065" s="9"/>
      <c r="Y1065" s="9"/>
      <c r="Z1065" s="9"/>
      <c r="AA1065" s="126"/>
      <c r="AB1065" s="9"/>
      <c r="AC1065" s="9"/>
      <c r="AD1065" s="9"/>
      <c r="AE1065" s="9"/>
      <c r="AF1065" s="9"/>
      <c r="AG1065" s="9"/>
      <c r="AH1065" s="9"/>
      <c r="AI1065" s="9"/>
      <c r="AJ1065" s="7"/>
      <c r="AK1065" s="7"/>
      <c r="AL1065" s="7"/>
      <c r="AM1065" s="7"/>
      <c r="AN1065" s="7"/>
    </row>
    <row r="1066" spans="1:40" customFormat="1" ht="14.25" customHeight="1">
      <c r="A1066" s="147" t="s">
        <v>3365</v>
      </c>
      <c r="B1066" s="9">
        <v>31.5</v>
      </c>
      <c r="C1066" s="198" t="s">
        <v>5916</v>
      </c>
      <c r="D1066" s="183"/>
      <c r="E1066" s="183"/>
      <c r="F1066" s="188"/>
      <c r="G1066" s="188"/>
      <c r="H1066" s="183"/>
      <c r="I1066" s="183"/>
      <c r="J1066" s="188"/>
      <c r="K1066" s="188"/>
      <c r="L1066" s="9"/>
      <c r="M1066" s="9"/>
      <c r="N1066" s="183">
        <v>3</v>
      </c>
      <c r="O1066" s="7">
        <v>1</v>
      </c>
      <c r="P1066" s="9"/>
      <c r="Q1066" s="9"/>
      <c r="R1066" s="7"/>
      <c r="S1066" s="126"/>
      <c r="T1066" s="126"/>
      <c r="U1066" s="237"/>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47" t="s">
        <v>3366</v>
      </c>
      <c r="B1067" s="9">
        <v>31.5</v>
      </c>
      <c r="C1067" s="198" t="s">
        <v>5917</v>
      </c>
      <c r="D1067" s="183"/>
      <c r="E1067" s="183"/>
      <c r="F1067" s="188"/>
      <c r="G1067" s="188"/>
      <c r="H1067" s="183"/>
      <c r="I1067" s="183"/>
      <c r="J1067" s="188"/>
      <c r="K1067" s="188"/>
      <c r="L1067" s="9"/>
      <c r="M1067" s="9"/>
      <c r="N1067" s="183">
        <v>2</v>
      </c>
      <c r="O1067" s="7">
        <v>1</v>
      </c>
      <c r="P1067" s="9"/>
      <c r="Q1067" s="9"/>
      <c r="R1067" s="7"/>
      <c r="S1067" s="126"/>
      <c r="T1067" s="126"/>
      <c r="U1067" s="237"/>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47" t="s">
        <v>3367</v>
      </c>
      <c r="B1068" s="9">
        <v>31.5</v>
      </c>
      <c r="C1068" s="198" t="s">
        <v>5918</v>
      </c>
      <c r="D1068" s="183"/>
      <c r="E1068" s="183"/>
      <c r="F1068" s="188"/>
      <c r="G1068" s="188"/>
      <c r="H1068" s="183"/>
      <c r="I1068" s="183"/>
      <c r="J1068" s="188"/>
      <c r="K1068" s="188"/>
      <c r="L1068" s="9"/>
      <c r="M1068" s="9"/>
      <c r="N1068" s="183">
        <v>1</v>
      </c>
      <c r="O1068" s="7">
        <v>1</v>
      </c>
      <c r="P1068" s="9"/>
      <c r="Q1068" s="9"/>
      <c r="R1068" s="7"/>
      <c r="S1068" s="126"/>
      <c r="T1068" s="126"/>
      <c r="U1068" s="237"/>
      <c r="V1068" s="103"/>
      <c r="W1068" s="9"/>
      <c r="X1068" s="9"/>
      <c r="Y1068" s="9"/>
      <c r="Z1068" s="9"/>
      <c r="AA1068" s="126"/>
      <c r="AB1068" s="9"/>
      <c r="AC1068" s="9"/>
      <c r="AD1068" s="9"/>
      <c r="AE1068" s="9"/>
      <c r="AF1068" s="9"/>
      <c r="AG1068" s="9"/>
      <c r="AH1068" s="9"/>
      <c r="AI1068" s="9"/>
      <c r="AJ1068" s="7"/>
      <c r="AK1068" s="7"/>
      <c r="AL1068" s="7"/>
      <c r="AM1068" s="7"/>
      <c r="AN1068" s="7"/>
    </row>
    <row r="1069" spans="1:40" customFormat="1" ht="14.25" customHeight="1">
      <c r="A1069" s="147" t="s">
        <v>3638</v>
      </c>
      <c r="B1069" s="9">
        <v>31.5</v>
      </c>
      <c r="C1069" s="198" t="s">
        <v>5919</v>
      </c>
      <c r="D1069" s="183"/>
      <c r="E1069" s="183"/>
      <c r="F1069" s="188"/>
      <c r="G1069" s="188"/>
      <c r="H1069" s="183"/>
      <c r="I1069" s="183"/>
      <c r="J1069" s="188"/>
      <c r="K1069" s="188"/>
      <c r="L1069" s="9"/>
      <c r="M1069" s="9"/>
      <c r="N1069" s="183">
        <v>1</v>
      </c>
      <c r="O1069" s="7">
        <v>1</v>
      </c>
      <c r="P1069" s="9"/>
      <c r="Q1069" s="9"/>
      <c r="R1069" s="7"/>
      <c r="S1069" s="126"/>
      <c r="T1069" s="126"/>
      <c r="U1069" s="237"/>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25" t="s">
        <v>4074</v>
      </c>
      <c r="B1070" s="9">
        <f>140.8-35.4</f>
        <v>105.4</v>
      </c>
      <c r="C1070" s="7" t="s">
        <v>1133</v>
      </c>
      <c r="D1070" s="183"/>
      <c r="E1070" s="183"/>
      <c r="F1070" s="188"/>
      <c r="G1070" s="188"/>
      <c r="H1070" s="183"/>
      <c r="I1070" s="183"/>
      <c r="J1070" s="188"/>
      <c r="K1070" s="188"/>
      <c r="L1070" s="9"/>
      <c r="M1070" s="9"/>
      <c r="N1070" s="183">
        <v>30</v>
      </c>
      <c r="O1070" s="7">
        <v>2.62</v>
      </c>
      <c r="P1070" s="9"/>
      <c r="Q1070" s="9"/>
      <c r="R1070" s="7"/>
      <c r="S1070" s="126"/>
      <c r="T1070" s="126"/>
      <c r="U1070" s="237"/>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25" t="s">
        <v>2842</v>
      </c>
      <c r="B1071" s="9">
        <v>29.1</v>
      </c>
      <c r="C1071" s="7" t="s">
        <v>1208</v>
      </c>
      <c r="D1071" s="183"/>
      <c r="E1071" s="183"/>
      <c r="F1071" s="188"/>
      <c r="G1071" s="188"/>
      <c r="H1071" s="183"/>
      <c r="I1071" s="183"/>
      <c r="J1071" s="188"/>
      <c r="K1071" s="188"/>
      <c r="L1071" s="9"/>
      <c r="M1071" s="9"/>
      <c r="N1071" s="183">
        <v>30</v>
      </c>
      <c r="O1071" s="7">
        <f>1.8-0.03</f>
        <v>1.77</v>
      </c>
      <c r="P1071" s="9"/>
      <c r="Q1071" s="9"/>
      <c r="R1071" s="7"/>
      <c r="S1071" s="126"/>
      <c r="T1071" s="126"/>
      <c r="U1071" s="237"/>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16" t="s">
        <v>3098</v>
      </c>
      <c r="B1072" s="9">
        <v>17</v>
      </c>
      <c r="C1072" s="211" t="s">
        <v>1851</v>
      </c>
      <c r="D1072" s="184"/>
      <c r="E1072" s="184"/>
      <c r="F1072" s="188"/>
      <c r="G1072" s="188"/>
      <c r="H1072" s="184"/>
      <c r="I1072" s="184"/>
      <c r="J1072" s="188"/>
      <c r="K1072" s="188"/>
      <c r="L1072" s="3"/>
      <c r="M1072" s="3"/>
      <c r="N1072" s="184">
        <v>5</v>
      </c>
      <c r="O1072" s="6">
        <v>0.6</v>
      </c>
      <c r="P1072" s="222"/>
      <c r="Q1072" s="222"/>
      <c r="R1072" s="7"/>
      <c r="S1072" s="126"/>
      <c r="T1072" s="126"/>
      <c r="U1072" s="237"/>
      <c r="V1072" s="103"/>
      <c r="W1072" s="9"/>
      <c r="X1072" s="9"/>
      <c r="Y1072" s="9"/>
      <c r="Z1072" s="9"/>
      <c r="AA1072" s="126"/>
      <c r="AB1072" s="9"/>
      <c r="AC1072" s="9"/>
      <c r="AD1072" s="9"/>
      <c r="AE1072" s="9"/>
      <c r="AF1072" s="9"/>
      <c r="AG1072" s="9"/>
      <c r="AH1072" s="9"/>
      <c r="AI1072" s="9"/>
      <c r="AJ1072" s="211" t="s">
        <v>1851</v>
      </c>
      <c r="AK1072" s="7"/>
      <c r="AL1072" s="7"/>
      <c r="AM1072" s="7"/>
      <c r="AN1072" s="7"/>
    </row>
    <row r="1073" spans="1:40" customFormat="1" ht="14.25" customHeight="1">
      <c r="A1073" s="116" t="s">
        <v>3099</v>
      </c>
      <c r="B1073" s="9">
        <v>17</v>
      </c>
      <c r="C1073" s="1" t="s">
        <v>1852</v>
      </c>
      <c r="D1073" s="184"/>
      <c r="E1073" s="184"/>
      <c r="F1073" s="188"/>
      <c r="G1073" s="188"/>
      <c r="H1073" s="184"/>
      <c r="I1073" s="184"/>
      <c r="J1073" s="188"/>
      <c r="K1073" s="188"/>
      <c r="L1073" s="3"/>
      <c r="M1073" s="3"/>
      <c r="N1073" s="184">
        <v>3</v>
      </c>
      <c r="O1073" s="6">
        <v>0.6</v>
      </c>
      <c r="P1073" s="222"/>
      <c r="Q1073" s="222"/>
      <c r="R1073" s="7"/>
      <c r="S1073" s="126"/>
      <c r="T1073" s="126"/>
      <c r="U1073" s="237"/>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16" t="s">
        <v>3100</v>
      </c>
      <c r="B1074" s="9">
        <v>17</v>
      </c>
      <c r="C1074" s="1" t="s">
        <v>1853</v>
      </c>
      <c r="D1074" s="184"/>
      <c r="E1074" s="184"/>
      <c r="F1074" s="188"/>
      <c r="G1074" s="188"/>
      <c r="H1074" s="184"/>
      <c r="I1074" s="184"/>
      <c r="J1074" s="188"/>
      <c r="K1074" s="188"/>
      <c r="L1074" s="3"/>
      <c r="M1074" s="3"/>
      <c r="N1074" s="184">
        <v>3</v>
      </c>
      <c r="O1074" s="6">
        <v>0.6</v>
      </c>
      <c r="P1074" s="222"/>
      <c r="Q1074" s="222"/>
      <c r="R1074" s="7"/>
      <c r="S1074" s="126"/>
      <c r="T1074" s="126"/>
      <c r="U1074" s="237"/>
      <c r="V1074" s="103"/>
      <c r="W1074" s="9"/>
      <c r="X1074" s="9"/>
      <c r="Y1074" s="9"/>
      <c r="Z1074" s="9"/>
      <c r="AA1074" s="126"/>
      <c r="AB1074" s="9"/>
      <c r="AC1074" s="9"/>
      <c r="AD1074" s="9"/>
      <c r="AE1074" s="9"/>
      <c r="AF1074" s="9"/>
      <c r="AG1074" s="9"/>
      <c r="AH1074" s="9"/>
      <c r="AI1074" s="9"/>
      <c r="AJ1074" s="7"/>
      <c r="AK1074" s="7"/>
      <c r="AL1074" s="7"/>
      <c r="AM1074" s="7"/>
      <c r="AN1074" s="7"/>
    </row>
    <row r="1075" spans="1:40" customFormat="1" ht="14.25" customHeight="1">
      <c r="A1075" s="116" t="s">
        <v>3127</v>
      </c>
      <c r="B1075" s="9">
        <v>17</v>
      </c>
      <c r="C1075" s="1" t="s">
        <v>1854</v>
      </c>
      <c r="D1075" s="184"/>
      <c r="E1075" s="184"/>
      <c r="F1075" s="188"/>
      <c r="G1075" s="188"/>
      <c r="H1075" s="184"/>
      <c r="I1075" s="184"/>
      <c r="J1075" s="188"/>
      <c r="K1075" s="188"/>
      <c r="L1075" s="3"/>
      <c r="M1075" s="3"/>
      <c r="N1075" s="184">
        <v>3</v>
      </c>
      <c r="O1075" s="6">
        <v>0.6</v>
      </c>
      <c r="P1075" s="222"/>
      <c r="Q1075" s="222"/>
      <c r="R1075" s="7"/>
      <c r="S1075" s="126"/>
      <c r="T1075" s="126"/>
      <c r="U1075" s="237"/>
      <c r="V1075" s="103"/>
      <c r="W1075" s="9"/>
      <c r="X1075" s="9"/>
      <c r="Y1075" s="9"/>
      <c r="Z1075" s="9"/>
      <c r="AA1075" s="126"/>
      <c r="AB1075" s="9"/>
      <c r="AC1075" s="9"/>
      <c r="AD1075" s="9"/>
      <c r="AE1075" s="9"/>
      <c r="AF1075" s="9"/>
      <c r="AG1075" s="9"/>
      <c r="AH1075" s="9"/>
      <c r="AI1075" s="9"/>
      <c r="AJ1075" s="7"/>
      <c r="AK1075" s="7"/>
      <c r="AL1075" s="7"/>
      <c r="AM1075" s="7"/>
      <c r="AN1075" s="4"/>
    </row>
    <row r="1076" spans="1:40" customFormat="1" ht="14.25" customHeight="1">
      <c r="A1076" s="116" t="s">
        <v>3101</v>
      </c>
      <c r="B1076" s="9">
        <v>17</v>
      </c>
      <c r="C1076" s="1" t="s">
        <v>1855</v>
      </c>
      <c r="D1076" s="184"/>
      <c r="E1076" s="184"/>
      <c r="F1076" s="188"/>
      <c r="G1076" s="188"/>
      <c r="H1076" s="184"/>
      <c r="I1076" s="184"/>
      <c r="J1076" s="188"/>
      <c r="K1076" s="188"/>
      <c r="L1076" s="3"/>
      <c r="M1076" s="3"/>
      <c r="N1076" s="184">
        <v>3</v>
      </c>
      <c r="O1076" s="6">
        <v>0.6</v>
      </c>
      <c r="P1076" s="222"/>
      <c r="Q1076" s="222"/>
      <c r="R1076" s="7"/>
      <c r="S1076" s="126"/>
      <c r="T1076" s="126"/>
      <c r="U1076" s="237"/>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16" t="s">
        <v>3102</v>
      </c>
      <c r="B1077" s="9">
        <v>32</v>
      </c>
      <c r="C1077" s="211" t="s">
        <v>1856</v>
      </c>
      <c r="D1077" s="184"/>
      <c r="E1077" s="184"/>
      <c r="F1077" s="188"/>
      <c r="G1077" s="188"/>
      <c r="H1077" s="184"/>
      <c r="I1077" s="184"/>
      <c r="J1077" s="188"/>
      <c r="K1077" s="188"/>
      <c r="L1077" s="3"/>
      <c r="M1077" s="3"/>
      <c r="N1077" s="184">
        <v>3</v>
      </c>
      <c r="O1077" s="6">
        <v>1.75</v>
      </c>
      <c r="P1077" s="222"/>
      <c r="Q1077" s="222"/>
      <c r="R1077" s="7"/>
      <c r="S1077" s="126"/>
      <c r="T1077" s="126"/>
      <c r="U1077" s="237"/>
      <c r="V1077" s="103"/>
      <c r="W1077" s="9"/>
      <c r="X1077" s="9"/>
      <c r="Y1077" s="9"/>
      <c r="Z1077" s="9"/>
      <c r="AA1077" s="126"/>
      <c r="AB1077" s="9"/>
      <c r="AC1077" s="9"/>
      <c r="AD1077" s="9"/>
      <c r="AE1077" s="9"/>
      <c r="AF1077" s="9"/>
      <c r="AG1077" s="9"/>
      <c r="AH1077" s="9"/>
      <c r="AI1077" s="9"/>
      <c r="AJ1077" s="211" t="s">
        <v>1856</v>
      </c>
      <c r="AK1077" s="7"/>
      <c r="AL1077" s="7"/>
      <c r="AM1077" s="7"/>
      <c r="AN1077" s="7"/>
    </row>
    <row r="1078" spans="1:40" customFormat="1" ht="14.25" customHeight="1">
      <c r="A1078" s="116" t="s">
        <v>3103</v>
      </c>
      <c r="B1078" s="9">
        <v>32</v>
      </c>
      <c r="C1078" s="1" t="s">
        <v>1857</v>
      </c>
      <c r="D1078" s="184"/>
      <c r="E1078" s="184"/>
      <c r="F1078" s="188"/>
      <c r="G1078" s="188"/>
      <c r="H1078" s="184"/>
      <c r="I1078" s="184"/>
      <c r="J1078" s="188"/>
      <c r="K1078" s="188"/>
      <c r="L1078" s="3"/>
      <c r="M1078" s="3"/>
      <c r="N1078" s="184">
        <v>3</v>
      </c>
      <c r="O1078" s="6">
        <v>1.75</v>
      </c>
      <c r="P1078" s="222"/>
      <c r="Q1078" s="222"/>
      <c r="R1078" s="7"/>
      <c r="S1078" s="126"/>
      <c r="T1078" s="126"/>
      <c r="U1078" s="237"/>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16" t="s">
        <v>3104</v>
      </c>
      <c r="B1079" s="9">
        <v>32</v>
      </c>
      <c r="C1079" s="1" t="s">
        <v>1858</v>
      </c>
      <c r="D1079" s="184"/>
      <c r="E1079" s="184"/>
      <c r="F1079" s="188"/>
      <c r="G1079" s="188"/>
      <c r="H1079" s="184"/>
      <c r="I1079" s="184"/>
      <c r="J1079" s="188"/>
      <c r="K1079" s="188"/>
      <c r="L1079" s="3"/>
      <c r="M1079" s="3"/>
      <c r="N1079" s="184">
        <v>3</v>
      </c>
      <c r="O1079" s="6">
        <v>1.75</v>
      </c>
      <c r="P1079" s="222"/>
      <c r="Q1079" s="222"/>
      <c r="R1079" s="7"/>
      <c r="S1079" s="126"/>
      <c r="T1079" s="126"/>
      <c r="U1079" s="237"/>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16" t="s">
        <v>3105</v>
      </c>
      <c r="B1080" s="9">
        <v>32</v>
      </c>
      <c r="C1080" s="1" t="s">
        <v>1859</v>
      </c>
      <c r="D1080" s="184"/>
      <c r="E1080" s="184"/>
      <c r="F1080" s="188"/>
      <c r="G1080" s="188"/>
      <c r="H1080" s="184"/>
      <c r="I1080" s="184"/>
      <c r="J1080" s="188"/>
      <c r="K1080" s="188"/>
      <c r="L1080" s="3"/>
      <c r="M1080" s="3"/>
      <c r="N1080" s="184">
        <v>3</v>
      </c>
      <c r="O1080" s="6">
        <v>1.75</v>
      </c>
      <c r="P1080" s="222"/>
      <c r="Q1080" s="222"/>
      <c r="R1080" s="7"/>
      <c r="S1080" s="126"/>
      <c r="T1080" s="126"/>
      <c r="U1080" s="237"/>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3106</v>
      </c>
      <c r="B1081" s="9">
        <v>30</v>
      </c>
      <c r="C1081" s="1" t="s">
        <v>1861</v>
      </c>
      <c r="D1081" s="184"/>
      <c r="E1081" s="184"/>
      <c r="F1081" s="188"/>
      <c r="G1081" s="188"/>
      <c r="H1081" s="184"/>
      <c r="I1081" s="184"/>
      <c r="J1081" s="188"/>
      <c r="K1081" s="188"/>
      <c r="L1081" s="3"/>
      <c r="M1081" s="3"/>
      <c r="N1081" s="184">
        <v>5</v>
      </c>
      <c r="O1081" s="6">
        <v>1</v>
      </c>
      <c r="P1081" s="222"/>
      <c r="Q1081" s="222"/>
      <c r="R1081" s="7"/>
      <c r="S1081" s="126"/>
      <c r="T1081" s="126"/>
      <c r="U1081" s="237"/>
      <c r="V1081" s="103"/>
      <c r="W1081" s="9"/>
      <c r="X1081" s="9"/>
      <c r="Y1081" s="9"/>
      <c r="Z1081" s="9"/>
      <c r="AA1081" s="126"/>
      <c r="AB1081" s="9"/>
      <c r="AC1081" s="9"/>
      <c r="AD1081" s="9"/>
      <c r="AE1081" s="9"/>
      <c r="AF1081" s="9"/>
      <c r="AG1081" s="9"/>
      <c r="AH1081" s="9"/>
      <c r="AI1081" s="9"/>
      <c r="AJ1081" s="7"/>
      <c r="AK1081" s="7"/>
      <c r="AL1081" s="7"/>
      <c r="AM1081" s="7"/>
      <c r="AN1081" s="4"/>
    </row>
    <row r="1082" spans="1:40" customFormat="1" ht="14.25" customHeight="1">
      <c r="A1082" s="116" t="s">
        <v>3126</v>
      </c>
      <c r="B1082" s="9">
        <v>24.4</v>
      </c>
      <c r="C1082" s="211" t="s">
        <v>1860</v>
      </c>
      <c r="D1082" s="184"/>
      <c r="E1082" s="184"/>
      <c r="F1082" s="188"/>
      <c r="G1082" s="188"/>
      <c r="H1082" s="184"/>
      <c r="I1082" s="184"/>
      <c r="J1082" s="188"/>
      <c r="K1082" s="188"/>
      <c r="L1082" s="3"/>
      <c r="M1082" s="3"/>
      <c r="N1082" s="184">
        <v>20</v>
      </c>
      <c r="O1082" s="6">
        <v>0.6</v>
      </c>
      <c r="P1082" s="222"/>
      <c r="Q1082" s="222"/>
      <c r="R1082" s="7"/>
      <c r="S1082" s="126"/>
      <c r="T1082" s="126"/>
      <c r="U1082" s="237"/>
      <c r="V1082" s="103"/>
      <c r="W1082" s="9"/>
      <c r="X1082" s="9"/>
      <c r="Y1082" s="9"/>
      <c r="Z1082" s="9"/>
      <c r="AA1082" s="126"/>
      <c r="AB1082" s="9"/>
      <c r="AC1082" s="9"/>
      <c r="AD1082" s="9"/>
      <c r="AE1082" s="9"/>
      <c r="AF1082" s="9"/>
      <c r="AG1082" s="9"/>
      <c r="AH1082" s="9"/>
      <c r="AI1082" s="9"/>
      <c r="AJ1082" s="211" t="s">
        <v>1860</v>
      </c>
      <c r="AK1082" s="7"/>
      <c r="AL1082" s="7"/>
      <c r="AM1082" s="7"/>
      <c r="AN1082" s="7"/>
    </row>
    <row r="1083" spans="1:40" customFormat="1" ht="14.25" customHeight="1">
      <c r="A1083" s="116" t="s">
        <v>3107</v>
      </c>
      <c r="B1083" s="9">
        <v>26</v>
      </c>
      <c r="C1083" s="1" t="s">
        <v>1862</v>
      </c>
      <c r="D1083" s="184"/>
      <c r="E1083" s="184"/>
      <c r="F1083" s="188"/>
      <c r="G1083" s="188"/>
      <c r="H1083" s="184"/>
      <c r="I1083" s="184"/>
      <c r="J1083" s="188"/>
      <c r="K1083" s="188"/>
      <c r="L1083" s="3"/>
      <c r="M1083" s="3"/>
      <c r="N1083" s="184">
        <v>10</v>
      </c>
      <c r="O1083" s="6">
        <v>0.6</v>
      </c>
      <c r="P1083" s="222"/>
      <c r="Q1083" s="222"/>
      <c r="R1083" s="7"/>
      <c r="S1083" s="126"/>
      <c r="T1083" s="126"/>
      <c r="U1083" s="237"/>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3108</v>
      </c>
      <c r="B1084" s="9">
        <v>26.9</v>
      </c>
      <c r="C1084" s="1" t="s">
        <v>1863</v>
      </c>
      <c r="D1084" s="184"/>
      <c r="E1084" s="184"/>
      <c r="F1084" s="188"/>
      <c r="G1084" s="188"/>
      <c r="H1084" s="184"/>
      <c r="I1084" s="184"/>
      <c r="J1084" s="188"/>
      <c r="K1084" s="188"/>
      <c r="L1084" s="3"/>
      <c r="M1084" s="3"/>
      <c r="N1084" s="184">
        <v>10</v>
      </c>
      <c r="O1084" s="6">
        <v>0.6</v>
      </c>
      <c r="P1084" s="222"/>
      <c r="Q1084" s="222"/>
      <c r="R1084" s="7"/>
      <c r="S1084" s="126"/>
      <c r="T1084" s="126"/>
      <c r="U1084" s="237"/>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3109</v>
      </c>
      <c r="B1085" s="9">
        <v>25.2</v>
      </c>
      <c r="C1085" s="1" t="s">
        <v>1864</v>
      </c>
      <c r="D1085" s="184"/>
      <c r="E1085" s="184"/>
      <c r="F1085" s="188"/>
      <c r="G1085" s="188"/>
      <c r="H1085" s="184"/>
      <c r="I1085" s="184"/>
      <c r="J1085" s="188"/>
      <c r="K1085" s="188"/>
      <c r="L1085" s="3"/>
      <c r="M1085" s="3"/>
      <c r="N1085" s="184">
        <v>10</v>
      </c>
      <c r="O1085" s="6">
        <v>0.6</v>
      </c>
      <c r="P1085" s="222"/>
      <c r="Q1085" s="222"/>
      <c r="R1085" s="7"/>
      <c r="S1085" s="126"/>
      <c r="T1085" s="126"/>
      <c r="U1085" s="237"/>
      <c r="V1085" s="103"/>
      <c r="W1085" s="9"/>
      <c r="X1085" s="9"/>
      <c r="Y1085" s="9"/>
      <c r="Z1085" s="9"/>
      <c r="AA1085" s="126"/>
      <c r="AB1085" s="9"/>
      <c r="AC1085" s="9"/>
      <c r="AD1085" s="9"/>
      <c r="AE1085" s="9"/>
      <c r="AF1085" s="9"/>
      <c r="AG1085" s="9"/>
      <c r="AH1085" s="9"/>
      <c r="AI1085" s="9"/>
      <c r="AJ1085" s="7"/>
      <c r="AK1085" s="7"/>
      <c r="AL1085" s="7"/>
      <c r="AM1085" s="7"/>
      <c r="AN1085" s="7"/>
    </row>
    <row r="1086" spans="1:40" customFormat="1" ht="14.25" customHeight="1">
      <c r="A1086" s="116" t="s">
        <v>3110</v>
      </c>
      <c r="B1086" s="9">
        <v>19.3</v>
      </c>
      <c r="C1086" s="211" t="s">
        <v>1865</v>
      </c>
      <c r="D1086" s="184"/>
      <c r="E1086" s="184"/>
      <c r="F1086" s="188"/>
      <c r="G1086" s="188"/>
      <c r="H1086" s="184"/>
      <c r="I1086" s="184"/>
      <c r="J1086" s="188"/>
      <c r="K1086" s="188"/>
      <c r="L1086" s="3"/>
      <c r="M1086" s="3"/>
      <c r="N1086" s="184">
        <v>5</v>
      </c>
      <c r="O1086" s="6">
        <v>1.1000000000000001</v>
      </c>
      <c r="P1086" s="222"/>
      <c r="Q1086" s="222"/>
      <c r="R1086" s="7"/>
      <c r="S1086" s="126"/>
      <c r="T1086" s="126"/>
      <c r="U1086" s="237"/>
      <c r="V1086" s="103"/>
      <c r="W1086" s="9"/>
      <c r="X1086" s="9"/>
      <c r="Y1086" s="9"/>
      <c r="Z1086" s="9"/>
      <c r="AA1086" s="126"/>
      <c r="AB1086" s="9"/>
      <c r="AC1086" s="9"/>
      <c r="AD1086" s="9"/>
      <c r="AE1086" s="9"/>
      <c r="AF1086" s="9"/>
      <c r="AG1086" s="9"/>
      <c r="AH1086" s="9"/>
      <c r="AI1086" s="9"/>
      <c r="AJ1086" s="211" t="s">
        <v>1865</v>
      </c>
      <c r="AK1086" s="7"/>
      <c r="AL1086" s="7"/>
      <c r="AM1086" s="7"/>
      <c r="AN1086" s="4"/>
    </row>
    <row r="1087" spans="1:40" customFormat="1" ht="14.25" customHeight="1">
      <c r="A1087" s="116" t="s">
        <v>3111</v>
      </c>
      <c r="B1087" s="9">
        <v>20</v>
      </c>
      <c r="C1087" s="1" t="s">
        <v>1866</v>
      </c>
      <c r="D1087" s="184"/>
      <c r="E1087" s="184"/>
      <c r="F1087" s="188"/>
      <c r="G1087" s="188"/>
      <c r="H1087" s="184"/>
      <c r="I1087" s="184"/>
      <c r="J1087" s="188"/>
      <c r="K1087" s="188"/>
      <c r="L1087" s="3"/>
      <c r="M1087" s="3"/>
      <c r="N1087" s="184">
        <v>5</v>
      </c>
      <c r="O1087" s="6">
        <v>1.1000000000000001</v>
      </c>
      <c r="P1087" s="222"/>
      <c r="Q1087" s="222"/>
      <c r="R1087" s="7"/>
      <c r="S1087" s="126"/>
      <c r="T1087" s="126"/>
      <c r="U1087" s="237"/>
      <c r="V1087" s="103"/>
      <c r="W1087" s="9"/>
      <c r="X1087" s="9"/>
      <c r="Y1087" s="9"/>
      <c r="Z1087" s="9"/>
      <c r="AA1087" s="126"/>
      <c r="AB1087" s="9"/>
      <c r="AC1087" s="9"/>
      <c r="AD1087" s="9"/>
      <c r="AE1087" s="9"/>
      <c r="AF1087" s="9"/>
      <c r="AG1087" s="9"/>
      <c r="AH1087" s="9"/>
      <c r="AI1087" s="9"/>
      <c r="AJ1087" s="7"/>
      <c r="AK1087" s="7"/>
      <c r="AL1087" s="7"/>
      <c r="AM1087" s="7"/>
      <c r="AN1087" s="7"/>
    </row>
    <row r="1088" spans="1:40" customFormat="1" ht="14.25" customHeight="1">
      <c r="A1088" s="116" t="s">
        <v>3112</v>
      </c>
      <c r="B1088" s="9">
        <v>57</v>
      </c>
      <c r="C1088" s="1" t="s">
        <v>1867</v>
      </c>
      <c r="D1088" s="184"/>
      <c r="E1088" s="184"/>
      <c r="F1088" s="188"/>
      <c r="G1088" s="188"/>
      <c r="H1088" s="184"/>
      <c r="I1088" s="184"/>
      <c r="J1088" s="188"/>
      <c r="K1088" s="188"/>
      <c r="L1088" s="3"/>
      <c r="M1088" s="3"/>
      <c r="N1088" s="184">
        <v>20</v>
      </c>
      <c r="O1088" s="6">
        <v>1.2</v>
      </c>
      <c r="P1088" s="222"/>
      <c r="Q1088" s="222"/>
      <c r="R1088" s="7"/>
      <c r="S1088" s="126"/>
      <c r="T1088" s="126"/>
      <c r="U1088" s="237"/>
      <c r="V1088" s="103"/>
      <c r="W1088" s="9"/>
      <c r="X1088" s="9"/>
      <c r="Y1088" s="9"/>
      <c r="Z1088" s="9"/>
      <c r="AA1088" s="126"/>
      <c r="AB1088" s="9"/>
      <c r="AC1088" s="9"/>
      <c r="AD1088" s="9"/>
      <c r="AE1088" s="9"/>
      <c r="AF1088" s="9"/>
      <c r="AG1088" s="9"/>
      <c r="AH1088" s="9"/>
      <c r="AI1088" s="9"/>
      <c r="AJ1088" s="7"/>
      <c r="AK1088" s="7"/>
      <c r="AL1088" s="7"/>
      <c r="AM1088" s="7"/>
      <c r="AN1088" s="4"/>
    </row>
    <row r="1089" spans="1:40" customFormat="1" ht="14.25" customHeight="1">
      <c r="A1089" s="148" t="s">
        <v>3362</v>
      </c>
      <c r="B1089" s="9">
        <v>12.5</v>
      </c>
      <c r="C1089" s="212" t="s">
        <v>5924</v>
      </c>
      <c r="D1089" s="183"/>
      <c r="E1089" s="183"/>
      <c r="F1089" s="188"/>
      <c r="G1089" s="188"/>
      <c r="H1089" s="183"/>
      <c r="I1089" s="183"/>
      <c r="J1089" s="188"/>
      <c r="K1089" s="188"/>
      <c r="L1089" s="9"/>
      <c r="M1089" s="9"/>
      <c r="N1089" s="183">
        <v>5</v>
      </c>
      <c r="O1089" s="7">
        <v>0.45</v>
      </c>
      <c r="P1089" s="9"/>
      <c r="Q1089" s="9"/>
      <c r="R1089" s="7"/>
      <c r="S1089" s="126"/>
      <c r="T1089" s="126"/>
      <c r="U1089" s="237"/>
      <c r="V1089" s="103"/>
      <c r="W1089" s="9"/>
      <c r="X1089" s="9"/>
      <c r="Y1089" s="9"/>
      <c r="Z1089" s="9"/>
      <c r="AA1089" s="126"/>
      <c r="AB1089" s="9"/>
      <c r="AC1089" s="9"/>
      <c r="AD1089" s="9"/>
      <c r="AE1089" s="9"/>
      <c r="AF1089" s="9"/>
      <c r="AG1089" s="9"/>
      <c r="AH1089" s="9"/>
      <c r="AI1089" s="9"/>
      <c r="AJ1089" s="212" t="s">
        <v>5924</v>
      </c>
      <c r="AK1089" s="7"/>
      <c r="AL1089" s="7"/>
      <c r="AM1089" s="7"/>
      <c r="AN1089" s="7"/>
    </row>
    <row r="1090" spans="1:40" customFormat="1" ht="14.25" customHeight="1">
      <c r="A1090" s="148" t="s">
        <v>3363</v>
      </c>
      <c r="B1090" s="9">
        <v>9.8000000000000007</v>
      </c>
      <c r="C1090" s="198" t="s">
        <v>5925</v>
      </c>
      <c r="D1090" s="183"/>
      <c r="E1090" s="183"/>
      <c r="F1090" s="188"/>
      <c r="G1090" s="188"/>
      <c r="H1090" s="183"/>
      <c r="I1090" s="183"/>
      <c r="J1090" s="188"/>
      <c r="K1090" s="188"/>
      <c r="L1090" s="9"/>
      <c r="M1090" s="9"/>
      <c r="N1090" s="183">
        <v>5</v>
      </c>
      <c r="O1090" s="7">
        <v>0.36</v>
      </c>
      <c r="P1090" s="9"/>
      <c r="Q1090" s="9"/>
      <c r="R1090" s="7"/>
      <c r="S1090" s="126"/>
      <c r="T1090" s="126"/>
      <c r="U1090" s="237"/>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48" t="s">
        <v>3358</v>
      </c>
      <c r="B1091" s="9">
        <v>18.600000000000001</v>
      </c>
      <c r="C1091" s="212" t="s">
        <v>5926</v>
      </c>
      <c r="D1091" s="183"/>
      <c r="E1091" s="183"/>
      <c r="F1091" s="188"/>
      <c r="G1091" s="188"/>
      <c r="H1091" s="183"/>
      <c r="I1091" s="183"/>
      <c r="J1091" s="188"/>
      <c r="K1091" s="188"/>
      <c r="L1091" s="9"/>
      <c r="M1091" s="9"/>
      <c r="N1091" s="183">
        <v>3</v>
      </c>
      <c r="O1091" s="7">
        <v>0.95</v>
      </c>
      <c r="P1091" s="9"/>
      <c r="Q1091" s="9"/>
      <c r="R1091" s="7"/>
      <c r="S1091" s="126"/>
      <c r="T1091" s="126"/>
      <c r="U1091" s="237"/>
      <c r="V1091" s="103"/>
      <c r="W1091" s="9"/>
      <c r="X1091" s="9"/>
      <c r="Y1091" s="9"/>
      <c r="Z1091" s="9"/>
      <c r="AA1091" s="126"/>
      <c r="AB1091" s="9"/>
      <c r="AC1091" s="9"/>
      <c r="AD1091" s="9"/>
      <c r="AE1091" s="9"/>
      <c r="AF1091" s="9"/>
      <c r="AG1091" s="9"/>
      <c r="AH1091" s="9"/>
      <c r="AI1091" s="9"/>
      <c r="AJ1091" s="212" t="s">
        <v>5926</v>
      </c>
      <c r="AK1091" s="7"/>
      <c r="AL1091" s="7"/>
      <c r="AM1091" s="7"/>
      <c r="AN1091" s="7"/>
    </row>
    <row r="1092" spans="1:40" customFormat="1" ht="14.25" customHeight="1">
      <c r="A1092" s="148" t="s">
        <v>3622</v>
      </c>
      <c r="B1092" s="9">
        <v>18.600000000000001</v>
      </c>
      <c r="C1092" s="198" t="s">
        <v>5927</v>
      </c>
      <c r="D1092" s="183"/>
      <c r="E1092" s="183"/>
      <c r="F1092" s="188"/>
      <c r="G1092" s="188"/>
      <c r="H1092" s="183"/>
      <c r="I1092" s="183"/>
      <c r="J1092" s="188"/>
      <c r="K1092" s="188"/>
      <c r="L1092" s="9"/>
      <c r="M1092" s="9"/>
      <c r="N1092" s="183">
        <v>3</v>
      </c>
      <c r="O1092" s="7">
        <v>0.95</v>
      </c>
      <c r="P1092" s="9"/>
      <c r="Q1092" s="9"/>
      <c r="R1092" s="7"/>
      <c r="S1092" s="126"/>
      <c r="T1092" s="126"/>
      <c r="U1092" s="237"/>
      <c r="V1092" s="103"/>
      <c r="W1092" s="9"/>
      <c r="X1092" s="9"/>
      <c r="Y1092" s="9"/>
      <c r="Z1092" s="9"/>
      <c r="AA1092" s="126"/>
      <c r="AB1092" s="9"/>
      <c r="AC1092" s="9"/>
      <c r="AD1092" s="9"/>
      <c r="AE1092" s="9"/>
      <c r="AF1092" s="9"/>
      <c r="AG1092" s="9"/>
      <c r="AH1092" s="9"/>
      <c r="AI1092" s="9"/>
      <c r="AJ1092" s="7"/>
      <c r="AK1092" s="7"/>
      <c r="AL1092" s="7"/>
      <c r="AM1092" s="7"/>
      <c r="AN1092" s="7"/>
    </row>
    <row r="1093" spans="1:40" customFormat="1" ht="14.25" customHeight="1">
      <c r="A1093" s="116" t="s">
        <v>2822</v>
      </c>
      <c r="B1093" s="9">
        <v>23</v>
      </c>
      <c r="C1093" s="211" t="s">
        <v>1187</v>
      </c>
      <c r="D1093" s="183"/>
      <c r="E1093" s="183"/>
      <c r="F1093" s="188"/>
      <c r="G1093" s="188"/>
      <c r="H1093" s="183"/>
      <c r="I1093" s="183"/>
      <c r="J1093" s="188"/>
      <c r="K1093" s="188"/>
      <c r="L1093" s="9"/>
      <c r="M1093" s="9"/>
      <c r="N1093" s="183">
        <v>6</v>
      </c>
      <c r="O1093" s="7">
        <v>3</v>
      </c>
      <c r="P1093" s="183">
        <f t="shared" ref="P1093:P1156" si="47">N1093*O1093</f>
        <v>18</v>
      </c>
      <c r="Q1093" s="9"/>
      <c r="R1093" s="7"/>
      <c r="S1093" s="126"/>
      <c r="T1093" s="126"/>
      <c r="U1093" s="237"/>
      <c r="V1093" s="103"/>
      <c r="W1093" s="9"/>
      <c r="X1093" s="9"/>
      <c r="Y1093" s="9"/>
      <c r="Z1093" s="9"/>
      <c r="AA1093" s="126"/>
      <c r="AB1093" s="9"/>
      <c r="AC1093" s="9"/>
      <c r="AD1093" s="9"/>
      <c r="AE1093" s="9"/>
      <c r="AF1093" s="9"/>
      <c r="AG1093" s="9"/>
      <c r="AH1093" s="9"/>
      <c r="AI1093" s="9"/>
      <c r="AJ1093" s="211" t="s">
        <v>1187</v>
      </c>
      <c r="AK1093" s="7"/>
      <c r="AL1093" s="7"/>
      <c r="AM1093" s="7"/>
      <c r="AN1093" s="7"/>
    </row>
    <row r="1094" spans="1:40" customFormat="1" ht="14.25" customHeight="1">
      <c r="A1094" s="116" t="s">
        <v>2823</v>
      </c>
      <c r="B1094" s="9">
        <v>23</v>
      </c>
      <c r="C1094" s="7" t="s">
        <v>1188</v>
      </c>
      <c r="D1094" s="183"/>
      <c r="E1094" s="183"/>
      <c r="F1094" s="188"/>
      <c r="G1094" s="188"/>
      <c r="H1094" s="183"/>
      <c r="I1094" s="183"/>
      <c r="J1094" s="188"/>
      <c r="K1094" s="188"/>
      <c r="L1094" s="9"/>
      <c r="M1094" s="9"/>
      <c r="N1094" s="183">
        <v>5</v>
      </c>
      <c r="O1094" s="7">
        <v>3</v>
      </c>
      <c r="P1094" s="183">
        <f t="shared" si="47"/>
        <v>15</v>
      </c>
      <c r="Q1094" s="9"/>
      <c r="R1094" s="7"/>
      <c r="S1094" s="126"/>
      <c r="T1094" s="126"/>
      <c r="U1094" s="237"/>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2824</v>
      </c>
      <c r="B1095" s="9">
        <v>23</v>
      </c>
      <c r="C1095" s="7" t="s">
        <v>1189</v>
      </c>
      <c r="D1095" s="183"/>
      <c r="E1095" s="183"/>
      <c r="F1095" s="188"/>
      <c r="G1095" s="188"/>
      <c r="H1095" s="183"/>
      <c r="I1095" s="183"/>
      <c r="J1095" s="188"/>
      <c r="K1095" s="188"/>
      <c r="L1095" s="9"/>
      <c r="M1095" s="9"/>
      <c r="N1095" s="183">
        <v>5</v>
      </c>
      <c r="O1095" s="7">
        <v>3</v>
      </c>
      <c r="P1095" s="183">
        <f t="shared" si="47"/>
        <v>15</v>
      </c>
      <c r="Q1095" s="9"/>
      <c r="R1095" s="7"/>
      <c r="S1095" s="126"/>
      <c r="T1095" s="126"/>
      <c r="U1095" s="237"/>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2825</v>
      </c>
      <c r="B1096" s="9">
        <v>23</v>
      </c>
      <c r="C1096" s="7" t="s">
        <v>1190</v>
      </c>
      <c r="D1096" s="183"/>
      <c r="E1096" s="183"/>
      <c r="F1096" s="188"/>
      <c r="G1096" s="188"/>
      <c r="H1096" s="183"/>
      <c r="I1096" s="183"/>
      <c r="J1096" s="188"/>
      <c r="K1096" s="188"/>
      <c r="L1096" s="9"/>
      <c r="M1096" s="9"/>
      <c r="N1096" s="183">
        <v>5</v>
      </c>
      <c r="O1096" s="7">
        <v>3</v>
      </c>
      <c r="P1096" s="183">
        <f t="shared" si="47"/>
        <v>15</v>
      </c>
      <c r="Q1096" s="9"/>
      <c r="R1096" s="7"/>
      <c r="S1096" s="126"/>
      <c r="T1096" s="126"/>
      <c r="U1096" s="237"/>
      <c r="V1096" s="103"/>
      <c r="W1096" s="9"/>
      <c r="X1096" s="9"/>
      <c r="Y1096" s="9"/>
      <c r="Z1096" s="9"/>
      <c r="AA1096" s="126"/>
      <c r="AB1096" s="9"/>
      <c r="AC1096" s="9"/>
      <c r="AD1096" s="9"/>
      <c r="AE1096" s="9"/>
      <c r="AF1096" s="9"/>
      <c r="AG1096" s="9"/>
      <c r="AH1096" s="9"/>
      <c r="AI1096" s="9"/>
      <c r="AJ1096" s="7"/>
      <c r="AK1096" s="7"/>
      <c r="AL1096" s="7"/>
      <c r="AM1096" s="7"/>
      <c r="AN1096" s="7"/>
    </row>
    <row r="1097" spans="1:40" customFormat="1" ht="14.25" customHeight="1">
      <c r="A1097" s="116" t="s">
        <v>2826</v>
      </c>
      <c r="B1097" s="9">
        <v>23</v>
      </c>
      <c r="C1097" s="7" t="s">
        <v>1192</v>
      </c>
      <c r="D1097" s="183"/>
      <c r="E1097" s="183"/>
      <c r="F1097" s="188"/>
      <c r="G1097" s="188"/>
      <c r="H1097" s="183"/>
      <c r="I1097" s="183"/>
      <c r="J1097" s="188"/>
      <c r="K1097" s="188"/>
      <c r="L1097" s="9"/>
      <c r="M1097" s="9"/>
      <c r="N1097" s="183">
        <v>3</v>
      </c>
      <c r="O1097" s="7">
        <v>3</v>
      </c>
      <c r="P1097" s="183">
        <f t="shared" si="47"/>
        <v>9</v>
      </c>
      <c r="Q1097" s="9"/>
      <c r="R1097" s="7"/>
      <c r="S1097" s="126"/>
      <c r="T1097" s="126"/>
      <c r="U1097" s="237"/>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16" t="s">
        <v>2827</v>
      </c>
      <c r="B1098" s="9">
        <v>23</v>
      </c>
      <c r="C1098" s="7" t="s">
        <v>1191</v>
      </c>
      <c r="D1098" s="183"/>
      <c r="E1098" s="183"/>
      <c r="F1098" s="188"/>
      <c r="G1098" s="188"/>
      <c r="H1098" s="183"/>
      <c r="I1098" s="183"/>
      <c r="J1098" s="188"/>
      <c r="K1098" s="188"/>
      <c r="L1098" s="9"/>
      <c r="M1098" s="9"/>
      <c r="N1098" s="183">
        <v>3</v>
      </c>
      <c r="O1098" s="7">
        <v>3</v>
      </c>
      <c r="P1098" s="183">
        <f t="shared" si="47"/>
        <v>9</v>
      </c>
      <c r="Q1098" s="9"/>
      <c r="R1098" s="7"/>
      <c r="S1098" s="126"/>
      <c r="T1098" s="126"/>
      <c r="U1098" s="237"/>
      <c r="V1098" s="103"/>
      <c r="W1098" s="9"/>
      <c r="X1098" s="9"/>
      <c r="Y1098" s="9"/>
      <c r="Z1098" s="9"/>
      <c r="AA1098" s="126"/>
      <c r="AB1098" s="9"/>
      <c r="AC1098" s="9"/>
      <c r="AD1098" s="9"/>
      <c r="AE1098" s="9"/>
      <c r="AF1098" s="9"/>
      <c r="AG1098" s="9"/>
      <c r="AH1098" s="9"/>
      <c r="AI1098" s="9"/>
      <c r="AJ1098" s="7"/>
      <c r="AK1098" s="7"/>
      <c r="AL1098" s="7"/>
      <c r="AM1098" s="7"/>
      <c r="AN1098" s="7"/>
    </row>
    <row r="1099" spans="1:40" customFormat="1" ht="14.25" customHeight="1">
      <c r="A1099" s="116" t="s">
        <v>2828</v>
      </c>
      <c r="B1099" s="9">
        <v>22</v>
      </c>
      <c r="C1099" s="211" t="s">
        <v>1193</v>
      </c>
      <c r="D1099" s="183"/>
      <c r="E1099" s="183"/>
      <c r="F1099" s="188"/>
      <c r="G1099" s="188"/>
      <c r="H1099" s="183"/>
      <c r="I1099" s="183"/>
      <c r="J1099" s="188"/>
      <c r="K1099" s="188"/>
      <c r="L1099" s="9"/>
      <c r="M1099" s="9"/>
      <c r="N1099" s="183">
        <v>3</v>
      </c>
      <c r="O1099" s="7">
        <v>1.7</v>
      </c>
      <c r="P1099" s="183">
        <f t="shared" si="47"/>
        <v>5.0999999999999996</v>
      </c>
      <c r="Q1099" s="9"/>
      <c r="R1099" s="7"/>
      <c r="S1099" s="126"/>
      <c r="T1099" s="126"/>
      <c r="U1099" s="237"/>
      <c r="V1099" s="103"/>
      <c r="W1099" s="9"/>
      <c r="X1099" s="9"/>
      <c r="Y1099" s="9"/>
      <c r="Z1099" s="9"/>
      <c r="AA1099" s="126"/>
      <c r="AB1099" s="9"/>
      <c r="AC1099" s="9"/>
      <c r="AD1099" s="9"/>
      <c r="AE1099" s="9"/>
      <c r="AF1099" s="9"/>
      <c r="AG1099" s="9"/>
      <c r="AH1099" s="9"/>
      <c r="AI1099" s="9"/>
      <c r="AJ1099" s="211" t="s">
        <v>1193</v>
      </c>
      <c r="AK1099" s="7"/>
      <c r="AL1099" s="7"/>
      <c r="AM1099" s="7"/>
      <c r="AN1099" s="7"/>
    </row>
    <row r="1100" spans="1:40" customFormat="1" ht="14.25" customHeight="1">
      <c r="A1100" s="116" t="s">
        <v>2829</v>
      </c>
      <c r="B1100" s="9">
        <v>22</v>
      </c>
      <c r="C1100" s="7" t="s">
        <v>1194</v>
      </c>
      <c r="D1100" s="183"/>
      <c r="E1100" s="183"/>
      <c r="F1100" s="188"/>
      <c r="G1100" s="188"/>
      <c r="H1100" s="183"/>
      <c r="I1100" s="183"/>
      <c r="J1100" s="188"/>
      <c r="K1100" s="188"/>
      <c r="L1100" s="9"/>
      <c r="M1100" s="9"/>
      <c r="N1100" s="183">
        <v>3</v>
      </c>
      <c r="O1100" s="7">
        <v>1.7</v>
      </c>
      <c r="P1100" s="183">
        <f t="shared" si="47"/>
        <v>5.0999999999999996</v>
      </c>
      <c r="Q1100" s="9"/>
      <c r="R1100" s="7"/>
      <c r="S1100" s="126"/>
      <c r="T1100" s="126"/>
      <c r="U1100" s="237"/>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16" t="s">
        <v>2830</v>
      </c>
      <c r="B1101" s="9">
        <v>22</v>
      </c>
      <c r="C1101" s="7" t="s">
        <v>1195</v>
      </c>
      <c r="D1101" s="183"/>
      <c r="E1101" s="183"/>
      <c r="F1101" s="188"/>
      <c r="G1101" s="188"/>
      <c r="H1101" s="183"/>
      <c r="I1101" s="183"/>
      <c r="J1101" s="188"/>
      <c r="K1101" s="188"/>
      <c r="L1101" s="9"/>
      <c r="M1101" s="9"/>
      <c r="N1101" s="183">
        <v>3</v>
      </c>
      <c r="O1101" s="7">
        <v>1.7</v>
      </c>
      <c r="P1101" s="183">
        <f t="shared" si="47"/>
        <v>5.0999999999999996</v>
      </c>
      <c r="Q1101" s="9"/>
      <c r="R1101" s="7"/>
      <c r="S1101" s="126"/>
      <c r="T1101" s="126"/>
      <c r="U1101" s="237"/>
      <c r="V1101" s="103"/>
      <c r="W1101" s="9"/>
      <c r="X1101" s="9"/>
      <c r="Y1101" s="9"/>
      <c r="Z1101" s="9"/>
      <c r="AA1101" s="126"/>
      <c r="AB1101" s="9"/>
      <c r="AC1101" s="9"/>
      <c r="AD1101" s="9"/>
      <c r="AE1101" s="9"/>
      <c r="AF1101" s="9"/>
      <c r="AG1101" s="9"/>
      <c r="AH1101" s="9"/>
      <c r="AI1101" s="9"/>
      <c r="AJ1101" s="7"/>
      <c r="AK1101" s="7"/>
      <c r="AL1101" s="7"/>
      <c r="AM1101" s="7"/>
      <c r="AN1101" s="4"/>
    </row>
    <row r="1102" spans="1:40" customFormat="1" ht="14.25" customHeight="1">
      <c r="A1102" s="116" t="s">
        <v>2831</v>
      </c>
      <c r="B1102" s="9">
        <v>22</v>
      </c>
      <c r="C1102" s="7" t="s">
        <v>1196</v>
      </c>
      <c r="D1102" s="183"/>
      <c r="E1102" s="183"/>
      <c r="F1102" s="188"/>
      <c r="G1102" s="188"/>
      <c r="H1102" s="183"/>
      <c r="I1102" s="183"/>
      <c r="J1102" s="188"/>
      <c r="K1102" s="188"/>
      <c r="L1102" s="9"/>
      <c r="M1102" s="9"/>
      <c r="N1102" s="183">
        <v>3</v>
      </c>
      <c r="O1102" s="7">
        <v>1.7</v>
      </c>
      <c r="P1102" s="183">
        <f t="shared" si="47"/>
        <v>5.0999999999999996</v>
      </c>
      <c r="Q1102" s="9"/>
      <c r="R1102" s="7"/>
      <c r="S1102" s="126"/>
      <c r="T1102" s="126"/>
      <c r="U1102" s="237"/>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2832</v>
      </c>
      <c r="B1103" s="9">
        <v>22</v>
      </c>
      <c r="C1103" s="7" t="s">
        <v>1197</v>
      </c>
      <c r="D1103" s="183"/>
      <c r="E1103" s="183"/>
      <c r="F1103" s="188"/>
      <c r="G1103" s="188"/>
      <c r="H1103" s="183"/>
      <c r="I1103" s="183"/>
      <c r="J1103" s="188"/>
      <c r="K1103" s="188"/>
      <c r="L1103" s="9"/>
      <c r="M1103" s="9"/>
      <c r="N1103" s="183">
        <v>3</v>
      </c>
      <c r="O1103" s="7">
        <v>1.7</v>
      </c>
      <c r="P1103" s="183">
        <f t="shared" si="47"/>
        <v>5.0999999999999996</v>
      </c>
      <c r="Q1103" s="9"/>
      <c r="R1103" s="7"/>
      <c r="S1103" s="126"/>
      <c r="T1103" s="126"/>
      <c r="U1103" s="237"/>
      <c r="V1103" s="103"/>
      <c r="W1103" s="9"/>
      <c r="X1103" s="9"/>
      <c r="Y1103" s="9"/>
      <c r="Z1103" s="9"/>
      <c r="AA1103" s="126"/>
      <c r="AB1103" s="9"/>
      <c r="AC1103" s="9"/>
      <c r="AD1103" s="9"/>
      <c r="AE1103" s="9"/>
      <c r="AF1103" s="9"/>
      <c r="AG1103" s="9"/>
      <c r="AH1103" s="9"/>
      <c r="AI1103" s="9"/>
      <c r="AJ1103" s="7"/>
      <c r="AK1103" s="7"/>
      <c r="AL1103" s="7"/>
      <c r="AM1103" s="7"/>
      <c r="AN1103" s="7"/>
    </row>
    <row r="1104" spans="1:40" customFormat="1" ht="14.25" customHeight="1">
      <c r="A1104" s="116" t="s">
        <v>2833</v>
      </c>
      <c r="B1104" s="9">
        <v>22</v>
      </c>
      <c r="C1104" s="7" t="s">
        <v>1198</v>
      </c>
      <c r="D1104" s="183"/>
      <c r="E1104" s="183"/>
      <c r="F1104" s="188"/>
      <c r="G1104" s="188"/>
      <c r="H1104" s="183"/>
      <c r="I1104" s="183"/>
      <c r="J1104" s="188"/>
      <c r="K1104" s="188"/>
      <c r="L1104" s="9"/>
      <c r="M1104" s="9"/>
      <c r="N1104" s="183">
        <v>2</v>
      </c>
      <c r="O1104" s="7">
        <v>1.7</v>
      </c>
      <c r="P1104" s="183">
        <f t="shared" si="47"/>
        <v>3.4</v>
      </c>
      <c r="Q1104" s="9"/>
      <c r="R1104" s="7"/>
      <c r="S1104" s="126"/>
      <c r="T1104" s="126"/>
      <c r="U1104" s="237"/>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2834</v>
      </c>
      <c r="B1105" s="9">
        <v>22</v>
      </c>
      <c r="C1105" s="7" t="s">
        <v>1199</v>
      </c>
      <c r="D1105" s="183"/>
      <c r="E1105" s="183"/>
      <c r="F1105" s="188"/>
      <c r="G1105" s="188"/>
      <c r="H1105" s="183"/>
      <c r="I1105" s="183"/>
      <c r="J1105" s="188"/>
      <c r="K1105" s="188"/>
      <c r="L1105" s="9"/>
      <c r="M1105" s="9"/>
      <c r="N1105" s="183">
        <v>2</v>
      </c>
      <c r="O1105" s="7">
        <v>1.7</v>
      </c>
      <c r="P1105" s="183">
        <f t="shared" si="47"/>
        <v>3.4</v>
      </c>
      <c r="Q1105" s="9"/>
      <c r="R1105" s="7"/>
      <c r="S1105" s="126"/>
      <c r="T1105" s="126"/>
      <c r="U1105" s="237"/>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2835</v>
      </c>
      <c r="B1106" s="9">
        <v>21</v>
      </c>
      <c r="C1106" s="211" t="s">
        <v>1206</v>
      </c>
      <c r="D1106" s="183"/>
      <c r="E1106" s="183"/>
      <c r="F1106" s="188"/>
      <c r="G1106" s="188"/>
      <c r="H1106" s="183"/>
      <c r="I1106" s="183"/>
      <c r="J1106" s="188"/>
      <c r="K1106" s="188"/>
      <c r="L1106" s="9"/>
      <c r="M1106" s="9"/>
      <c r="N1106" s="183">
        <v>3</v>
      </c>
      <c r="O1106" s="7">
        <v>1.7</v>
      </c>
      <c r="P1106" s="183">
        <f t="shared" si="47"/>
        <v>5.0999999999999996</v>
      </c>
      <c r="Q1106" s="9"/>
      <c r="R1106" s="7"/>
      <c r="S1106" s="126"/>
      <c r="T1106" s="126"/>
      <c r="U1106" s="237"/>
      <c r="V1106" s="103"/>
      <c r="W1106" s="9"/>
      <c r="X1106" s="9"/>
      <c r="Y1106" s="9"/>
      <c r="Z1106" s="9"/>
      <c r="AA1106" s="126"/>
      <c r="AB1106" s="9"/>
      <c r="AC1106" s="9"/>
      <c r="AD1106" s="9"/>
      <c r="AE1106" s="9"/>
      <c r="AF1106" s="9"/>
      <c r="AG1106" s="9"/>
      <c r="AH1106" s="9"/>
      <c r="AI1106" s="9"/>
      <c r="AJ1106" s="211" t="s">
        <v>1206</v>
      </c>
      <c r="AK1106" s="7"/>
      <c r="AL1106" s="7"/>
      <c r="AM1106" s="7"/>
      <c r="AN1106" s="7"/>
    </row>
    <row r="1107" spans="1:40" customFormat="1" ht="14.25" customHeight="1">
      <c r="A1107" s="116" t="s">
        <v>2836</v>
      </c>
      <c r="B1107" s="9">
        <v>21</v>
      </c>
      <c r="C1107" s="7" t="s">
        <v>1200</v>
      </c>
      <c r="D1107" s="183"/>
      <c r="E1107" s="183"/>
      <c r="F1107" s="188"/>
      <c r="G1107" s="188"/>
      <c r="H1107" s="183"/>
      <c r="I1107" s="183"/>
      <c r="J1107" s="188"/>
      <c r="K1107" s="188"/>
      <c r="L1107" s="9"/>
      <c r="M1107" s="9"/>
      <c r="N1107" s="183">
        <v>3</v>
      </c>
      <c r="O1107" s="7">
        <v>1.7</v>
      </c>
      <c r="P1107" s="183">
        <f t="shared" si="47"/>
        <v>5.0999999999999996</v>
      </c>
      <c r="Q1107" s="9"/>
      <c r="R1107" s="7"/>
      <c r="S1107" s="126"/>
      <c r="T1107" s="126"/>
      <c r="U1107" s="237"/>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2837</v>
      </c>
      <c r="B1108" s="9">
        <v>21</v>
      </c>
      <c r="C1108" s="7" t="s">
        <v>1201</v>
      </c>
      <c r="D1108" s="183"/>
      <c r="E1108" s="183"/>
      <c r="F1108" s="188"/>
      <c r="G1108" s="188"/>
      <c r="H1108" s="183"/>
      <c r="I1108" s="183"/>
      <c r="J1108" s="188"/>
      <c r="K1108" s="188"/>
      <c r="L1108" s="9"/>
      <c r="M1108" s="9"/>
      <c r="N1108" s="183">
        <v>3</v>
      </c>
      <c r="O1108" s="7">
        <v>1.7</v>
      </c>
      <c r="P1108" s="183">
        <f t="shared" si="47"/>
        <v>5.0999999999999996</v>
      </c>
      <c r="Q1108" s="9"/>
      <c r="R1108" s="7"/>
      <c r="S1108" s="126"/>
      <c r="T1108" s="126"/>
      <c r="U1108" s="237"/>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2838</v>
      </c>
      <c r="B1109" s="9">
        <v>21</v>
      </c>
      <c r="C1109" s="7" t="s">
        <v>1202</v>
      </c>
      <c r="D1109" s="183"/>
      <c r="E1109" s="183"/>
      <c r="F1109" s="188"/>
      <c r="G1109" s="188"/>
      <c r="H1109" s="183"/>
      <c r="I1109" s="183"/>
      <c r="J1109" s="188"/>
      <c r="K1109" s="188"/>
      <c r="L1109" s="9"/>
      <c r="M1109" s="9"/>
      <c r="N1109" s="183">
        <v>3</v>
      </c>
      <c r="O1109" s="7">
        <v>1.7</v>
      </c>
      <c r="P1109" s="183">
        <f t="shared" si="47"/>
        <v>5.0999999999999996</v>
      </c>
      <c r="Q1109" s="9"/>
      <c r="R1109" s="7"/>
      <c r="S1109" s="126"/>
      <c r="T1109" s="126"/>
      <c r="U1109" s="237"/>
      <c r="V1109" s="103"/>
      <c r="W1109" s="9"/>
      <c r="X1109" s="9"/>
      <c r="Y1109" s="9"/>
      <c r="Z1109" s="9"/>
      <c r="AA1109" s="126"/>
      <c r="AB1109" s="9"/>
      <c r="AC1109" s="9"/>
      <c r="AD1109" s="9"/>
      <c r="AE1109" s="9"/>
      <c r="AF1109" s="9"/>
      <c r="AG1109" s="9"/>
      <c r="AH1109" s="9"/>
      <c r="AI1109" s="9"/>
      <c r="AJ1109" s="7"/>
      <c r="AK1109" s="7"/>
      <c r="AL1109" s="7"/>
      <c r="AM1109" s="7"/>
      <c r="AN1109" s="7"/>
    </row>
    <row r="1110" spans="1:40" customFormat="1" ht="14.25" customHeight="1">
      <c r="A1110" s="116" t="s">
        <v>2839</v>
      </c>
      <c r="B1110" s="9">
        <v>21</v>
      </c>
      <c r="C1110" s="7" t="s">
        <v>1203</v>
      </c>
      <c r="D1110" s="183"/>
      <c r="E1110" s="183"/>
      <c r="F1110" s="188"/>
      <c r="G1110" s="188"/>
      <c r="H1110" s="183"/>
      <c r="I1110" s="183"/>
      <c r="J1110" s="188"/>
      <c r="K1110" s="188"/>
      <c r="L1110" s="9"/>
      <c r="M1110" s="9"/>
      <c r="N1110" s="183">
        <v>3</v>
      </c>
      <c r="O1110" s="7">
        <v>1.7</v>
      </c>
      <c r="P1110" s="183">
        <f t="shared" si="47"/>
        <v>5.0999999999999996</v>
      </c>
      <c r="Q1110" s="9"/>
      <c r="R1110" s="7"/>
      <c r="S1110" s="126"/>
      <c r="T1110" s="126"/>
      <c r="U1110" s="237"/>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2840</v>
      </c>
      <c r="B1111" s="9">
        <v>21</v>
      </c>
      <c r="C1111" s="7" t="s">
        <v>1204</v>
      </c>
      <c r="D1111" s="183"/>
      <c r="E1111" s="183"/>
      <c r="F1111" s="188"/>
      <c r="G1111" s="188"/>
      <c r="H1111" s="183"/>
      <c r="I1111" s="183"/>
      <c r="J1111" s="188"/>
      <c r="K1111" s="188"/>
      <c r="L1111" s="9"/>
      <c r="M1111" s="9"/>
      <c r="N1111" s="183">
        <v>2</v>
      </c>
      <c r="O1111" s="7">
        <v>1.7</v>
      </c>
      <c r="P1111" s="183">
        <f t="shared" si="47"/>
        <v>3.4</v>
      </c>
      <c r="Q1111" s="9"/>
      <c r="R1111" s="7"/>
      <c r="S1111" s="126"/>
      <c r="T1111" s="126"/>
      <c r="U1111" s="237"/>
      <c r="V1111" s="103"/>
      <c r="W1111" s="9"/>
      <c r="X1111" s="9"/>
      <c r="Y1111" s="9"/>
      <c r="Z1111" s="9"/>
      <c r="AA1111" s="126"/>
      <c r="AB1111" s="9"/>
      <c r="AC1111" s="9"/>
      <c r="AD1111" s="9"/>
      <c r="AE1111" s="9"/>
      <c r="AF1111" s="9"/>
      <c r="AG1111" s="9"/>
      <c r="AH1111" s="9"/>
      <c r="AI1111" s="9"/>
      <c r="AJ1111" s="7"/>
      <c r="AK1111" s="7"/>
      <c r="AL1111" s="7"/>
      <c r="AM1111" s="7"/>
      <c r="AN1111" s="7"/>
    </row>
    <row r="1112" spans="1:40" customFormat="1" ht="14.25" customHeight="1">
      <c r="A1112" s="116" t="s">
        <v>2841</v>
      </c>
      <c r="B1112" s="9">
        <v>21</v>
      </c>
      <c r="C1112" s="7" t="s">
        <v>1205</v>
      </c>
      <c r="D1112" s="183"/>
      <c r="E1112" s="183"/>
      <c r="F1112" s="188"/>
      <c r="G1112" s="188"/>
      <c r="H1112" s="183"/>
      <c r="I1112" s="183"/>
      <c r="J1112" s="188"/>
      <c r="K1112" s="188"/>
      <c r="L1112" s="9"/>
      <c r="M1112" s="9"/>
      <c r="N1112" s="183">
        <v>2</v>
      </c>
      <c r="O1112" s="7">
        <v>1.7</v>
      </c>
      <c r="P1112" s="183">
        <f t="shared" si="47"/>
        <v>3.4</v>
      </c>
      <c r="Q1112" s="9"/>
      <c r="R1112" s="7"/>
      <c r="S1112" s="126"/>
      <c r="T1112" s="126"/>
      <c r="U1112" s="237"/>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2843</v>
      </c>
      <c r="B1113" s="9">
        <v>17</v>
      </c>
      <c r="C1113" s="211" t="s">
        <v>1668</v>
      </c>
      <c r="D1113" s="183"/>
      <c r="E1113" s="183"/>
      <c r="F1113" s="188"/>
      <c r="G1113" s="188"/>
      <c r="H1113" s="183"/>
      <c r="I1113" s="183"/>
      <c r="J1113" s="188"/>
      <c r="K1113" s="188"/>
      <c r="L1113" s="9"/>
      <c r="M1113" s="9"/>
      <c r="N1113" s="183">
        <v>3</v>
      </c>
      <c r="O1113" s="7">
        <v>1.6</v>
      </c>
      <c r="P1113" s="183">
        <f t="shared" si="47"/>
        <v>4.8000000000000007</v>
      </c>
      <c r="Q1113" s="9"/>
      <c r="R1113" s="7"/>
      <c r="S1113" s="126"/>
      <c r="T1113" s="126"/>
      <c r="U1113" s="237"/>
      <c r="V1113" s="103"/>
      <c r="W1113" s="9"/>
      <c r="X1113" s="9"/>
      <c r="Y1113" s="9"/>
      <c r="Z1113" s="9"/>
      <c r="AA1113" s="126"/>
      <c r="AB1113" s="9"/>
      <c r="AC1113" s="9"/>
      <c r="AD1113" s="9"/>
      <c r="AE1113" s="9"/>
      <c r="AF1113" s="9"/>
      <c r="AG1113" s="9"/>
      <c r="AH1113" s="9"/>
      <c r="AI1113" s="9"/>
      <c r="AJ1113" s="211" t="s">
        <v>1668</v>
      </c>
      <c r="AK1113" s="7"/>
      <c r="AL1113" s="7"/>
      <c r="AM1113" s="7"/>
      <c r="AN1113" s="7"/>
    </row>
    <row r="1114" spans="1:40" customFormat="1" ht="14.25" customHeight="1">
      <c r="A1114" s="116" t="s">
        <v>2844</v>
      </c>
      <c r="B1114" s="9">
        <v>17</v>
      </c>
      <c r="C1114" s="7" t="s">
        <v>1219</v>
      </c>
      <c r="D1114" s="183"/>
      <c r="E1114" s="183"/>
      <c r="F1114" s="188"/>
      <c r="G1114" s="188"/>
      <c r="H1114" s="183"/>
      <c r="I1114" s="183"/>
      <c r="J1114" s="188"/>
      <c r="K1114" s="188"/>
      <c r="L1114" s="9"/>
      <c r="M1114" s="9"/>
      <c r="N1114" s="183">
        <v>3</v>
      </c>
      <c r="O1114" s="7">
        <v>1.6</v>
      </c>
      <c r="P1114" s="183">
        <f t="shared" si="47"/>
        <v>4.8000000000000007</v>
      </c>
      <c r="Q1114" s="9"/>
      <c r="R1114" s="7"/>
      <c r="S1114" s="126"/>
      <c r="T1114" s="126"/>
      <c r="U1114" s="237"/>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2845</v>
      </c>
      <c r="B1115" s="9">
        <v>17</v>
      </c>
      <c r="C1115" s="7" t="s">
        <v>1220</v>
      </c>
      <c r="D1115" s="183"/>
      <c r="E1115" s="183"/>
      <c r="F1115" s="188"/>
      <c r="G1115" s="188"/>
      <c r="H1115" s="183"/>
      <c r="I1115" s="183"/>
      <c r="J1115" s="188"/>
      <c r="K1115" s="188"/>
      <c r="L1115" s="9"/>
      <c r="M1115" s="9"/>
      <c r="N1115" s="183">
        <v>3</v>
      </c>
      <c r="O1115" s="7">
        <v>1.6</v>
      </c>
      <c r="P1115" s="183">
        <f t="shared" si="47"/>
        <v>4.8000000000000007</v>
      </c>
      <c r="Q1115" s="9"/>
      <c r="R1115" s="7"/>
      <c r="S1115" s="126"/>
      <c r="T1115" s="126"/>
      <c r="U1115" s="237"/>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2846</v>
      </c>
      <c r="B1116" s="9">
        <v>17</v>
      </c>
      <c r="C1116" s="7" t="s">
        <v>1221</v>
      </c>
      <c r="D1116" s="183"/>
      <c r="E1116" s="183"/>
      <c r="F1116" s="188"/>
      <c r="G1116" s="188"/>
      <c r="H1116" s="183"/>
      <c r="I1116" s="183"/>
      <c r="J1116" s="188"/>
      <c r="K1116" s="188"/>
      <c r="L1116" s="9"/>
      <c r="M1116" s="9"/>
      <c r="N1116" s="183">
        <v>3</v>
      </c>
      <c r="O1116" s="7">
        <v>1.6</v>
      </c>
      <c r="P1116" s="183">
        <f t="shared" si="47"/>
        <v>4.8000000000000007</v>
      </c>
      <c r="Q1116" s="9"/>
      <c r="R1116" s="7"/>
      <c r="S1116" s="126"/>
      <c r="T1116" s="126"/>
      <c r="U1116" s="237"/>
      <c r="V1116" s="103"/>
      <c r="W1116" s="9"/>
      <c r="X1116" s="9"/>
      <c r="Y1116" s="9"/>
      <c r="Z1116" s="9"/>
      <c r="AA1116" s="126"/>
      <c r="AB1116" s="9"/>
      <c r="AC1116" s="9"/>
      <c r="AD1116" s="9"/>
      <c r="AE1116" s="9"/>
      <c r="AF1116" s="9"/>
      <c r="AG1116" s="9"/>
      <c r="AH1116" s="9"/>
      <c r="AI1116" s="9"/>
      <c r="AJ1116" s="7"/>
      <c r="AK1116" s="7"/>
      <c r="AL1116" s="7"/>
      <c r="AM1116" s="7"/>
      <c r="AN1116" s="7"/>
    </row>
    <row r="1117" spans="1:40" customFormat="1" ht="14.25" customHeight="1">
      <c r="A1117" s="116" t="s">
        <v>2847</v>
      </c>
      <c r="B1117" s="9">
        <v>17</v>
      </c>
      <c r="C1117" s="7" t="s">
        <v>1222</v>
      </c>
      <c r="D1117" s="183"/>
      <c r="E1117" s="183"/>
      <c r="F1117" s="188"/>
      <c r="G1117" s="188"/>
      <c r="H1117" s="183"/>
      <c r="I1117" s="183"/>
      <c r="J1117" s="188"/>
      <c r="K1117" s="188"/>
      <c r="L1117" s="9"/>
      <c r="M1117" s="9"/>
      <c r="N1117" s="183">
        <v>3</v>
      </c>
      <c r="O1117" s="7">
        <v>1.6</v>
      </c>
      <c r="P1117" s="183">
        <f t="shared" si="47"/>
        <v>4.8000000000000007</v>
      </c>
      <c r="Q1117" s="9"/>
      <c r="R1117" s="7"/>
      <c r="S1117" s="126"/>
      <c r="T1117" s="126"/>
      <c r="U1117" s="237"/>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2848</v>
      </c>
      <c r="B1118" s="9">
        <v>17</v>
      </c>
      <c r="C1118" s="7" t="s">
        <v>1223</v>
      </c>
      <c r="D1118" s="183"/>
      <c r="E1118" s="183"/>
      <c r="F1118" s="188"/>
      <c r="G1118" s="188"/>
      <c r="H1118" s="183"/>
      <c r="I1118" s="183"/>
      <c r="J1118" s="188"/>
      <c r="K1118" s="188"/>
      <c r="L1118" s="9"/>
      <c r="M1118" s="9"/>
      <c r="N1118" s="183">
        <v>2</v>
      </c>
      <c r="O1118" s="7">
        <v>1.6</v>
      </c>
      <c r="P1118" s="183">
        <f t="shared" si="47"/>
        <v>3.2</v>
      </c>
      <c r="Q1118" s="9"/>
      <c r="R1118" s="7"/>
      <c r="S1118" s="126"/>
      <c r="T1118" s="126"/>
      <c r="U1118" s="237"/>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2849</v>
      </c>
      <c r="B1119" s="9">
        <v>17</v>
      </c>
      <c r="C1119" s="7" t="s">
        <v>1224</v>
      </c>
      <c r="D1119" s="183"/>
      <c r="E1119" s="183"/>
      <c r="F1119" s="188"/>
      <c r="G1119" s="188"/>
      <c r="H1119" s="183"/>
      <c r="I1119" s="183"/>
      <c r="J1119" s="188"/>
      <c r="K1119" s="188"/>
      <c r="L1119" s="9"/>
      <c r="M1119" s="9"/>
      <c r="N1119" s="183">
        <v>2</v>
      </c>
      <c r="O1119" s="7">
        <v>1.6</v>
      </c>
      <c r="P1119" s="183">
        <f t="shared" si="47"/>
        <v>3.2</v>
      </c>
      <c r="Q1119" s="9"/>
      <c r="R1119" s="7"/>
      <c r="S1119" s="126"/>
      <c r="T1119" s="126"/>
      <c r="U1119" s="237"/>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7" t="s">
        <v>2875</v>
      </c>
      <c r="B1120" s="9">
        <v>23.5</v>
      </c>
      <c r="C1120" s="211" t="s">
        <v>1178</v>
      </c>
      <c r="D1120" s="183"/>
      <c r="E1120" s="183"/>
      <c r="F1120" s="188"/>
      <c r="G1120" s="188"/>
      <c r="H1120" s="183"/>
      <c r="I1120" s="183"/>
      <c r="J1120" s="188"/>
      <c r="K1120" s="188"/>
      <c r="L1120" s="9"/>
      <c r="M1120" s="9"/>
      <c r="N1120" s="183">
        <v>3</v>
      </c>
      <c r="O1120" s="7">
        <v>1.65</v>
      </c>
      <c r="P1120" s="183">
        <f t="shared" si="47"/>
        <v>4.9499999999999993</v>
      </c>
      <c r="Q1120" s="9"/>
      <c r="R1120" s="7"/>
      <c r="S1120" s="126"/>
      <c r="T1120" s="126"/>
      <c r="U1120" s="237"/>
      <c r="V1120" s="103"/>
      <c r="W1120" s="9"/>
      <c r="X1120" s="9"/>
      <c r="Y1120" s="9"/>
      <c r="Z1120" s="9"/>
      <c r="AA1120" s="126"/>
      <c r="AB1120" s="9"/>
      <c r="AC1120" s="9"/>
      <c r="AD1120" s="9"/>
      <c r="AE1120" s="9"/>
      <c r="AF1120" s="9"/>
      <c r="AG1120" s="9"/>
      <c r="AH1120" s="9"/>
      <c r="AI1120" s="9"/>
      <c r="AJ1120" s="211" t="s">
        <v>1178</v>
      </c>
      <c r="AK1120" s="7"/>
      <c r="AL1120" s="7"/>
      <c r="AM1120" s="7"/>
      <c r="AN1120" s="7"/>
    </row>
    <row r="1121" spans="1:40" customFormat="1" ht="14.25" customHeight="1">
      <c r="A1121" s="117" t="s">
        <v>2876</v>
      </c>
      <c r="B1121" s="9">
        <v>23.5</v>
      </c>
      <c r="C1121" s="7" t="s">
        <v>1180</v>
      </c>
      <c r="D1121" s="183"/>
      <c r="E1121" s="183"/>
      <c r="F1121" s="188"/>
      <c r="G1121" s="188"/>
      <c r="H1121" s="183"/>
      <c r="I1121" s="183"/>
      <c r="J1121" s="188"/>
      <c r="K1121" s="188"/>
      <c r="L1121" s="9"/>
      <c r="M1121" s="9"/>
      <c r="N1121" s="183">
        <v>3</v>
      </c>
      <c r="O1121" s="7">
        <v>1.65</v>
      </c>
      <c r="P1121" s="183">
        <f t="shared" si="47"/>
        <v>4.9499999999999993</v>
      </c>
      <c r="Q1121" s="9"/>
      <c r="R1121" s="7"/>
      <c r="S1121" s="126"/>
      <c r="T1121" s="126"/>
      <c r="U1121" s="237"/>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7" t="s">
        <v>2877</v>
      </c>
      <c r="B1122" s="9">
        <v>23.8</v>
      </c>
      <c r="C1122" s="7" t="s">
        <v>1179</v>
      </c>
      <c r="D1122" s="183"/>
      <c r="E1122" s="183"/>
      <c r="F1122" s="188"/>
      <c r="G1122" s="188"/>
      <c r="H1122" s="183"/>
      <c r="I1122" s="183"/>
      <c r="J1122" s="188"/>
      <c r="K1122" s="188"/>
      <c r="L1122" s="9"/>
      <c r="M1122" s="9"/>
      <c r="N1122" s="183">
        <v>3</v>
      </c>
      <c r="O1122" s="7">
        <v>1.65</v>
      </c>
      <c r="P1122" s="183">
        <f t="shared" si="47"/>
        <v>4.9499999999999993</v>
      </c>
      <c r="Q1122" s="9"/>
      <c r="R1122" s="7"/>
      <c r="S1122" s="126"/>
      <c r="T1122" s="126"/>
      <c r="U1122" s="237"/>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7" t="s">
        <v>2878</v>
      </c>
      <c r="B1123" s="9">
        <v>29.4</v>
      </c>
      <c r="C1123" s="7" t="s">
        <v>1181</v>
      </c>
      <c r="D1123" s="183"/>
      <c r="E1123" s="183"/>
      <c r="F1123" s="188"/>
      <c r="G1123" s="188"/>
      <c r="H1123" s="183"/>
      <c r="I1123" s="183"/>
      <c r="J1123" s="188"/>
      <c r="K1123" s="188"/>
      <c r="L1123" s="9"/>
      <c r="M1123" s="9"/>
      <c r="N1123" s="183">
        <v>3</v>
      </c>
      <c r="O1123" s="7">
        <v>1.65</v>
      </c>
      <c r="P1123" s="183">
        <f t="shared" si="47"/>
        <v>4.9499999999999993</v>
      </c>
      <c r="Q1123" s="9"/>
      <c r="R1123" s="7"/>
      <c r="S1123" s="126"/>
      <c r="T1123" s="126"/>
      <c r="U1123" s="237"/>
      <c r="V1123" s="103"/>
      <c r="W1123" s="9"/>
      <c r="X1123" s="9"/>
      <c r="Y1123" s="9"/>
      <c r="Z1123" s="9"/>
      <c r="AA1123" s="126"/>
      <c r="AB1123" s="9"/>
      <c r="AC1123" s="9"/>
      <c r="AD1123" s="9"/>
      <c r="AE1123" s="9"/>
      <c r="AF1123" s="9"/>
      <c r="AG1123" s="9"/>
      <c r="AH1123" s="9"/>
      <c r="AI1123" s="9"/>
      <c r="AJ1123" s="7"/>
      <c r="AK1123" s="7"/>
      <c r="AL1123" s="7"/>
      <c r="AM1123" s="7"/>
      <c r="AN1123" s="7"/>
    </row>
    <row r="1124" spans="1:40" customFormat="1" ht="14.25" customHeight="1">
      <c r="A1124" s="117" t="s">
        <v>2879</v>
      </c>
      <c r="B1124" s="9">
        <v>27.2</v>
      </c>
      <c r="C1124" s="7" t="s">
        <v>1182</v>
      </c>
      <c r="D1124" s="183"/>
      <c r="E1124" s="183"/>
      <c r="F1124" s="188"/>
      <c r="G1124" s="188"/>
      <c r="H1124" s="183"/>
      <c r="I1124" s="183"/>
      <c r="J1124" s="188"/>
      <c r="K1124" s="188"/>
      <c r="L1124" s="9"/>
      <c r="M1124" s="9"/>
      <c r="N1124" s="183">
        <v>3</v>
      </c>
      <c r="O1124" s="7">
        <v>1.65</v>
      </c>
      <c r="P1124" s="183">
        <f t="shared" si="47"/>
        <v>4.9499999999999993</v>
      </c>
      <c r="Q1124" s="9"/>
      <c r="R1124" s="7"/>
      <c r="S1124" s="126"/>
      <c r="T1124" s="126"/>
      <c r="U1124" s="237"/>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7" t="s">
        <v>2880</v>
      </c>
      <c r="B1125" s="9">
        <v>26.5</v>
      </c>
      <c r="C1125" s="7" t="s">
        <v>1183</v>
      </c>
      <c r="D1125" s="183"/>
      <c r="E1125" s="183"/>
      <c r="F1125" s="188"/>
      <c r="G1125" s="188"/>
      <c r="H1125" s="183"/>
      <c r="I1125" s="183"/>
      <c r="J1125" s="188"/>
      <c r="K1125" s="188"/>
      <c r="L1125" s="9"/>
      <c r="M1125" s="9"/>
      <c r="N1125" s="183">
        <v>3</v>
      </c>
      <c r="O1125" s="7">
        <v>1.65</v>
      </c>
      <c r="P1125" s="183">
        <f t="shared" si="47"/>
        <v>4.9499999999999993</v>
      </c>
      <c r="Q1125" s="9"/>
      <c r="R1125" s="7"/>
      <c r="S1125" s="126"/>
      <c r="T1125" s="126"/>
      <c r="U1125" s="237"/>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7" t="s">
        <v>2881</v>
      </c>
      <c r="B1126" s="9">
        <v>26.8</v>
      </c>
      <c r="C1126" s="7" t="s">
        <v>1184</v>
      </c>
      <c r="D1126" s="183"/>
      <c r="E1126" s="183"/>
      <c r="F1126" s="188"/>
      <c r="G1126" s="188"/>
      <c r="H1126" s="183"/>
      <c r="I1126" s="183"/>
      <c r="J1126" s="188"/>
      <c r="K1126" s="188"/>
      <c r="L1126" s="9"/>
      <c r="M1126" s="9"/>
      <c r="N1126" s="183">
        <v>3</v>
      </c>
      <c r="O1126" s="7">
        <v>1.65</v>
      </c>
      <c r="P1126" s="183">
        <f t="shared" si="47"/>
        <v>4.9499999999999993</v>
      </c>
      <c r="Q1126" s="9"/>
      <c r="R1126" s="7"/>
      <c r="S1126" s="126"/>
      <c r="T1126" s="126"/>
      <c r="U1126" s="237"/>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7" t="s">
        <v>2882</v>
      </c>
      <c r="B1127" s="9">
        <v>23.3</v>
      </c>
      <c r="C1127" s="7" t="s">
        <v>1185</v>
      </c>
      <c r="D1127" s="183"/>
      <c r="E1127" s="183"/>
      <c r="F1127" s="188"/>
      <c r="G1127" s="188"/>
      <c r="H1127" s="183"/>
      <c r="I1127" s="183"/>
      <c r="J1127" s="188"/>
      <c r="K1127" s="188"/>
      <c r="L1127" s="9"/>
      <c r="M1127" s="9"/>
      <c r="N1127" s="183">
        <v>3</v>
      </c>
      <c r="O1127" s="7">
        <v>1.65</v>
      </c>
      <c r="P1127" s="183">
        <f t="shared" si="47"/>
        <v>4.9499999999999993</v>
      </c>
      <c r="Q1127" s="9"/>
      <c r="R1127" s="7"/>
      <c r="S1127" s="126"/>
      <c r="T1127" s="126"/>
      <c r="U1127" s="237"/>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7" t="s">
        <v>2884</v>
      </c>
      <c r="B1128" s="9">
        <v>23.6</v>
      </c>
      <c r="C1128" s="1" t="s">
        <v>2883</v>
      </c>
      <c r="D1128" s="183"/>
      <c r="E1128" s="183"/>
      <c r="F1128" s="188"/>
      <c r="G1128" s="188"/>
      <c r="H1128" s="183"/>
      <c r="I1128" s="183"/>
      <c r="J1128" s="188"/>
      <c r="K1128" s="188"/>
      <c r="L1128" s="9"/>
      <c r="M1128" s="9"/>
      <c r="N1128" s="183">
        <v>3</v>
      </c>
      <c r="O1128" s="7">
        <v>1.65</v>
      </c>
      <c r="P1128" s="183">
        <f t="shared" si="47"/>
        <v>4.9499999999999993</v>
      </c>
      <c r="Q1128" s="9"/>
      <c r="R1128" s="7"/>
      <c r="S1128" s="126"/>
      <c r="T1128" s="126"/>
      <c r="U1128" s="237"/>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93" t="s">
        <v>4167</v>
      </c>
      <c r="B1129" s="9">
        <v>20.6</v>
      </c>
      <c r="C1129" s="211" t="s">
        <v>1146</v>
      </c>
      <c r="D1129" s="183"/>
      <c r="E1129" s="183"/>
      <c r="F1129" s="188"/>
      <c r="G1129" s="188"/>
      <c r="H1129" s="183"/>
      <c r="I1129" s="183"/>
      <c r="J1129" s="188"/>
      <c r="K1129" s="188"/>
      <c r="L1129" s="9"/>
      <c r="M1129" s="9"/>
      <c r="N1129" s="183">
        <v>3</v>
      </c>
      <c r="O1129" s="7">
        <v>1.75</v>
      </c>
      <c r="P1129" s="183">
        <f t="shared" si="47"/>
        <v>5.25</v>
      </c>
      <c r="Q1129" s="9"/>
      <c r="R1129" s="7"/>
      <c r="S1129" s="126"/>
      <c r="T1129" s="126"/>
      <c r="U1129" s="237"/>
      <c r="V1129" s="103"/>
      <c r="W1129" s="9"/>
      <c r="X1129" s="9"/>
      <c r="Y1129" s="9"/>
      <c r="Z1129" s="9"/>
      <c r="AA1129" s="126"/>
      <c r="AB1129" s="9"/>
      <c r="AC1129" s="9"/>
      <c r="AD1129" s="9"/>
      <c r="AE1129" s="9"/>
      <c r="AF1129" s="9"/>
      <c r="AG1129" s="9"/>
      <c r="AH1129" s="9"/>
      <c r="AI1129" s="9"/>
      <c r="AJ1129" s="211" t="s">
        <v>1146</v>
      </c>
      <c r="AK1129" s="7"/>
      <c r="AL1129" s="7"/>
      <c r="AM1129" s="7"/>
      <c r="AN1129" s="7"/>
    </row>
    <row r="1130" spans="1:40" customFormat="1" ht="14.25" customHeight="1">
      <c r="A1130" s="193" t="s">
        <v>4169</v>
      </c>
      <c r="B1130" s="9">
        <v>19.7</v>
      </c>
      <c r="C1130" s="7" t="s">
        <v>1147</v>
      </c>
      <c r="D1130" s="183"/>
      <c r="E1130" s="183"/>
      <c r="F1130" s="188"/>
      <c r="G1130" s="188"/>
      <c r="H1130" s="183"/>
      <c r="I1130" s="183"/>
      <c r="J1130" s="188"/>
      <c r="K1130" s="188"/>
      <c r="L1130" s="9"/>
      <c r="M1130" s="9"/>
      <c r="N1130" s="183">
        <v>3</v>
      </c>
      <c r="O1130" s="7">
        <v>1.75</v>
      </c>
      <c r="P1130" s="183">
        <f t="shared" si="47"/>
        <v>5.25</v>
      </c>
      <c r="Q1130" s="9"/>
      <c r="R1130" s="7"/>
      <c r="S1130" s="126"/>
      <c r="T1130" s="126"/>
      <c r="U1130" s="237"/>
      <c r="V1130" s="103"/>
      <c r="W1130" s="9"/>
      <c r="X1130" s="9"/>
      <c r="Y1130" s="9"/>
      <c r="Z1130" s="9"/>
      <c r="AA1130" s="126"/>
      <c r="AB1130" s="9"/>
      <c r="AC1130" s="9"/>
      <c r="AD1130" s="9"/>
      <c r="AE1130" s="9"/>
      <c r="AF1130" s="9"/>
      <c r="AG1130" s="9"/>
      <c r="AH1130" s="9"/>
      <c r="AI1130" s="9"/>
      <c r="AJ1130" s="7"/>
      <c r="AK1130" s="7"/>
      <c r="AL1130" s="7"/>
      <c r="AM1130" s="7"/>
      <c r="AN1130" s="7"/>
    </row>
    <row r="1131" spans="1:40" customFormat="1" ht="14.25" customHeight="1">
      <c r="A1131" s="193" t="s">
        <v>4171</v>
      </c>
      <c r="B1131" s="9">
        <v>19.2</v>
      </c>
      <c r="C1131" s="7" t="s">
        <v>1148</v>
      </c>
      <c r="D1131" s="183"/>
      <c r="E1131" s="183"/>
      <c r="F1131" s="188"/>
      <c r="G1131" s="188"/>
      <c r="H1131" s="183"/>
      <c r="I1131" s="183"/>
      <c r="J1131" s="188"/>
      <c r="K1131" s="188"/>
      <c r="L1131" s="9"/>
      <c r="M1131" s="9"/>
      <c r="N1131" s="183">
        <v>3</v>
      </c>
      <c r="O1131" s="7">
        <v>1.75</v>
      </c>
      <c r="P1131" s="183">
        <f t="shared" si="47"/>
        <v>5.25</v>
      </c>
      <c r="Q1131" s="9"/>
      <c r="R1131" s="7"/>
      <c r="S1131" s="126"/>
      <c r="T1131" s="126"/>
      <c r="U1131" s="237"/>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93" t="s">
        <v>4173</v>
      </c>
      <c r="B1132" s="9">
        <v>19.2</v>
      </c>
      <c r="C1132" s="7" t="s">
        <v>1149</v>
      </c>
      <c r="D1132" s="183"/>
      <c r="E1132" s="183"/>
      <c r="F1132" s="188"/>
      <c r="G1132" s="188"/>
      <c r="H1132" s="183"/>
      <c r="I1132" s="183"/>
      <c r="J1132" s="188"/>
      <c r="K1132" s="188"/>
      <c r="L1132" s="9"/>
      <c r="M1132" s="9"/>
      <c r="N1132" s="183">
        <v>3</v>
      </c>
      <c r="O1132" s="7">
        <v>1.75</v>
      </c>
      <c r="P1132" s="183">
        <f t="shared" si="47"/>
        <v>5.25</v>
      </c>
      <c r="Q1132" s="9"/>
      <c r="R1132" s="7"/>
      <c r="S1132" s="126"/>
      <c r="T1132" s="126"/>
      <c r="U1132" s="237"/>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93" t="s">
        <v>4175</v>
      </c>
      <c r="B1133" s="9">
        <v>20.399999999999999</v>
      </c>
      <c r="C1133" s="7" t="s">
        <v>1150</v>
      </c>
      <c r="D1133" s="183"/>
      <c r="E1133" s="183"/>
      <c r="F1133" s="188"/>
      <c r="G1133" s="188"/>
      <c r="H1133" s="183"/>
      <c r="I1133" s="183"/>
      <c r="J1133" s="188"/>
      <c r="K1133" s="188"/>
      <c r="L1133" s="9"/>
      <c r="M1133" s="9"/>
      <c r="N1133" s="183">
        <v>3</v>
      </c>
      <c r="O1133" s="7">
        <v>1.75</v>
      </c>
      <c r="P1133" s="183">
        <f t="shared" si="47"/>
        <v>5.25</v>
      </c>
      <c r="Q1133" s="9"/>
      <c r="R1133" s="7"/>
      <c r="S1133" s="126"/>
      <c r="T1133" s="126"/>
      <c r="U1133" s="237"/>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93" t="s">
        <v>4177</v>
      </c>
      <c r="B1134" s="9">
        <v>20.8</v>
      </c>
      <c r="C1134" s="7" t="s">
        <v>1145</v>
      </c>
      <c r="D1134" s="183"/>
      <c r="E1134" s="183"/>
      <c r="F1134" s="188"/>
      <c r="G1134" s="188"/>
      <c r="H1134" s="183"/>
      <c r="I1134" s="183"/>
      <c r="J1134" s="188"/>
      <c r="K1134" s="188"/>
      <c r="L1134" s="9"/>
      <c r="M1134" s="9"/>
      <c r="N1134" s="183">
        <v>3</v>
      </c>
      <c r="O1134" s="7">
        <v>1.75</v>
      </c>
      <c r="P1134" s="183">
        <f t="shared" si="47"/>
        <v>5.25</v>
      </c>
      <c r="Q1134" s="9"/>
      <c r="R1134" s="7"/>
      <c r="S1134" s="126"/>
      <c r="T1134" s="126"/>
      <c r="U1134" s="237"/>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93" t="s">
        <v>4179</v>
      </c>
      <c r="B1135" s="9">
        <v>19.8</v>
      </c>
      <c r="C1135" s="7" t="s">
        <v>1151</v>
      </c>
      <c r="D1135" s="183"/>
      <c r="E1135" s="183"/>
      <c r="F1135" s="188"/>
      <c r="G1135" s="188"/>
      <c r="H1135" s="183"/>
      <c r="I1135" s="183"/>
      <c r="J1135" s="188"/>
      <c r="K1135" s="188"/>
      <c r="L1135" s="9"/>
      <c r="M1135" s="9"/>
      <c r="N1135" s="183">
        <v>3</v>
      </c>
      <c r="O1135" s="7">
        <v>1.7</v>
      </c>
      <c r="P1135" s="183">
        <f t="shared" si="47"/>
        <v>5.0999999999999996</v>
      </c>
      <c r="Q1135" s="9"/>
      <c r="R1135" s="7"/>
      <c r="S1135" s="126"/>
      <c r="T1135" s="126"/>
      <c r="U1135" s="237"/>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93" t="s">
        <v>4181</v>
      </c>
      <c r="B1136" s="9">
        <v>20.8</v>
      </c>
      <c r="C1136" s="7" t="s">
        <v>1152</v>
      </c>
      <c r="D1136" s="183"/>
      <c r="E1136" s="183"/>
      <c r="F1136" s="188"/>
      <c r="G1136" s="188"/>
      <c r="H1136" s="183"/>
      <c r="I1136" s="183"/>
      <c r="J1136" s="188"/>
      <c r="K1136" s="188"/>
      <c r="L1136" s="9"/>
      <c r="M1136" s="9"/>
      <c r="N1136" s="183">
        <v>3</v>
      </c>
      <c r="O1136" s="7">
        <v>1.75</v>
      </c>
      <c r="P1136" s="183">
        <f t="shared" si="47"/>
        <v>5.25</v>
      </c>
      <c r="Q1136" s="9"/>
      <c r="R1136" s="7"/>
      <c r="S1136" s="126"/>
      <c r="T1136" s="126"/>
      <c r="U1136" s="237"/>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93" t="s">
        <v>4183</v>
      </c>
      <c r="B1137" s="9">
        <v>20.100000000000001</v>
      </c>
      <c r="C1137" s="7" t="s">
        <v>1153</v>
      </c>
      <c r="D1137" s="183"/>
      <c r="E1137" s="183"/>
      <c r="F1137" s="188"/>
      <c r="G1137" s="188"/>
      <c r="H1137" s="183"/>
      <c r="I1137" s="183"/>
      <c r="J1137" s="188"/>
      <c r="K1137" s="188"/>
      <c r="L1137" s="9"/>
      <c r="M1137" s="9"/>
      <c r="N1137" s="183">
        <v>3</v>
      </c>
      <c r="O1137" s="7">
        <v>1.75</v>
      </c>
      <c r="P1137" s="183">
        <f t="shared" si="47"/>
        <v>5.25</v>
      </c>
      <c r="Q1137" s="9"/>
      <c r="R1137" s="7"/>
      <c r="S1137" s="126"/>
      <c r="T1137" s="126"/>
      <c r="U1137" s="237"/>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4185</v>
      </c>
      <c r="B1138" s="9">
        <v>19.600000000000001</v>
      </c>
      <c r="C1138" s="7" t="s">
        <v>1154</v>
      </c>
      <c r="D1138" s="183"/>
      <c r="E1138" s="183"/>
      <c r="F1138" s="188"/>
      <c r="G1138" s="188"/>
      <c r="H1138" s="183"/>
      <c r="I1138" s="183"/>
      <c r="J1138" s="188"/>
      <c r="K1138" s="188"/>
      <c r="L1138" s="9"/>
      <c r="M1138" s="9"/>
      <c r="N1138" s="183">
        <v>3</v>
      </c>
      <c r="O1138" s="7">
        <v>1.75</v>
      </c>
      <c r="P1138" s="183">
        <f t="shared" si="47"/>
        <v>5.25</v>
      </c>
      <c r="Q1138" s="9"/>
      <c r="R1138" s="7"/>
      <c r="S1138" s="126"/>
      <c r="T1138" s="126"/>
      <c r="U1138" s="237"/>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16" t="s">
        <v>2893</v>
      </c>
      <c r="B1139" s="9">
        <v>31.8</v>
      </c>
      <c r="C1139" s="211" t="s">
        <v>1155</v>
      </c>
      <c r="D1139" s="183"/>
      <c r="E1139" s="183"/>
      <c r="F1139" s="188"/>
      <c r="G1139" s="188"/>
      <c r="H1139" s="183"/>
      <c r="I1139" s="183"/>
      <c r="J1139" s="188"/>
      <c r="K1139" s="188"/>
      <c r="L1139" s="9"/>
      <c r="M1139" s="9"/>
      <c r="N1139" s="183">
        <v>3</v>
      </c>
      <c r="O1139" s="7">
        <v>1.25</v>
      </c>
      <c r="P1139" s="183">
        <f t="shared" si="47"/>
        <v>3.75</v>
      </c>
      <c r="Q1139" s="9"/>
      <c r="R1139" s="7"/>
      <c r="S1139" s="126"/>
      <c r="T1139" s="126"/>
      <c r="U1139" s="237"/>
      <c r="V1139" s="103"/>
      <c r="W1139" s="9"/>
      <c r="X1139" s="9"/>
      <c r="Y1139" s="9"/>
      <c r="Z1139" s="9"/>
      <c r="AA1139" s="126"/>
      <c r="AB1139" s="9"/>
      <c r="AC1139" s="9"/>
      <c r="AD1139" s="9"/>
      <c r="AE1139" s="9"/>
      <c r="AF1139" s="9"/>
      <c r="AG1139" s="9"/>
      <c r="AH1139" s="9"/>
      <c r="AI1139" s="9"/>
      <c r="AJ1139" s="211" t="s">
        <v>1155</v>
      </c>
      <c r="AK1139" s="7"/>
      <c r="AL1139" s="7"/>
      <c r="AM1139" s="7"/>
      <c r="AN1139" s="7"/>
    </row>
    <row r="1140" spans="1:40" customFormat="1" ht="14.25" customHeight="1">
      <c r="A1140" s="116" t="s">
        <v>2894</v>
      </c>
      <c r="B1140" s="9">
        <v>30.2</v>
      </c>
      <c r="C1140" s="7" t="s">
        <v>1156</v>
      </c>
      <c r="D1140" s="183"/>
      <c r="E1140" s="183"/>
      <c r="F1140" s="188"/>
      <c r="G1140" s="188"/>
      <c r="H1140" s="183"/>
      <c r="I1140" s="183"/>
      <c r="J1140" s="188"/>
      <c r="K1140" s="188"/>
      <c r="L1140" s="9"/>
      <c r="M1140" s="9"/>
      <c r="N1140" s="183">
        <v>3</v>
      </c>
      <c r="O1140" s="7">
        <v>1.25</v>
      </c>
      <c r="P1140" s="183">
        <f t="shared" si="47"/>
        <v>3.75</v>
      </c>
      <c r="Q1140" s="9"/>
      <c r="R1140" s="7"/>
      <c r="S1140" s="126"/>
      <c r="T1140" s="126"/>
      <c r="U1140" s="237"/>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16" t="s">
        <v>2895</v>
      </c>
      <c r="B1141" s="9">
        <v>21.8</v>
      </c>
      <c r="C1141" s="7" t="s">
        <v>1157</v>
      </c>
      <c r="D1141" s="183"/>
      <c r="E1141" s="183"/>
      <c r="F1141" s="188"/>
      <c r="G1141" s="188"/>
      <c r="H1141" s="183"/>
      <c r="I1141" s="183"/>
      <c r="J1141" s="188"/>
      <c r="K1141" s="188"/>
      <c r="L1141" s="9"/>
      <c r="M1141" s="9"/>
      <c r="N1141" s="183">
        <v>3</v>
      </c>
      <c r="O1141" s="7">
        <v>1.25</v>
      </c>
      <c r="P1141" s="183">
        <f t="shared" si="47"/>
        <v>3.75</v>
      </c>
      <c r="Q1141" s="9"/>
      <c r="R1141" s="7"/>
      <c r="S1141" s="126"/>
      <c r="T1141" s="126"/>
      <c r="U1141" s="237"/>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16" t="s">
        <v>2896</v>
      </c>
      <c r="B1142" s="9">
        <v>31.1</v>
      </c>
      <c r="C1142" s="7" t="s">
        <v>1158</v>
      </c>
      <c r="D1142" s="183"/>
      <c r="E1142" s="183"/>
      <c r="F1142" s="188"/>
      <c r="G1142" s="188"/>
      <c r="H1142" s="183"/>
      <c r="I1142" s="183"/>
      <c r="J1142" s="188"/>
      <c r="K1142" s="188"/>
      <c r="L1142" s="9"/>
      <c r="M1142" s="9"/>
      <c r="N1142" s="183">
        <v>3</v>
      </c>
      <c r="O1142" s="7">
        <v>1.25</v>
      </c>
      <c r="P1142" s="183">
        <f t="shared" si="47"/>
        <v>3.75</v>
      </c>
      <c r="Q1142" s="9"/>
      <c r="R1142" s="7"/>
      <c r="S1142" s="126"/>
      <c r="T1142" s="126"/>
      <c r="U1142" s="237"/>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16" t="s">
        <v>2897</v>
      </c>
      <c r="B1143" s="9">
        <v>22.6</v>
      </c>
      <c r="C1143" s="211" t="s">
        <v>1159</v>
      </c>
      <c r="D1143" s="183"/>
      <c r="E1143" s="183"/>
      <c r="F1143" s="188"/>
      <c r="G1143" s="188"/>
      <c r="H1143" s="183"/>
      <c r="I1143" s="183"/>
      <c r="J1143" s="188"/>
      <c r="K1143" s="188"/>
      <c r="L1143" s="9"/>
      <c r="M1143" s="9"/>
      <c r="N1143" s="183">
        <v>3</v>
      </c>
      <c r="O1143" s="7">
        <v>2</v>
      </c>
      <c r="P1143" s="183">
        <f t="shared" si="47"/>
        <v>6</v>
      </c>
      <c r="Q1143" s="9"/>
      <c r="R1143" s="7"/>
      <c r="S1143" s="126"/>
      <c r="T1143" s="126"/>
      <c r="U1143" s="237"/>
      <c r="V1143" s="103"/>
      <c r="W1143" s="9"/>
      <c r="X1143" s="9"/>
      <c r="Y1143" s="9"/>
      <c r="Z1143" s="9"/>
      <c r="AA1143" s="126"/>
      <c r="AB1143" s="9"/>
      <c r="AC1143" s="9"/>
      <c r="AD1143" s="9"/>
      <c r="AE1143" s="9"/>
      <c r="AF1143" s="9"/>
      <c r="AG1143" s="9"/>
      <c r="AH1143" s="9"/>
      <c r="AI1143" s="9"/>
      <c r="AJ1143" s="211" t="s">
        <v>1159</v>
      </c>
      <c r="AK1143" s="7"/>
      <c r="AL1143" s="7"/>
      <c r="AM1143" s="7"/>
      <c r="AN1143" s="7"/>
    </row>
    <row r="1144" spans="1:40" customFormat="1" ht="14.25" customHeight="1">
      <c r="A1144" s="116" t="s">
        <v>2898</v>
      </c>
      <c r="B1144" s="9">
        <v>23.1</v>
      </c>
      <c r="C1144" s="7" t="s">
        <v>1160</v>
      </c>
      <c r="D1144" s="183"/>
      <c r="E1144" s="183"/>
      <c r="F1144" s="188"/>
      <c r="G1144" s="188"/>
      <c r="H1144" s="183"/>
      <c r="I1144" s="183"/>
      <c r="J1144" s="188"/>
      <c r="K1144" s="188"/>
      <c r="L1144" s="9"/>
      <c r="M1144" s="9"/>
      <c r="N1144" s="183">
        <v>3</v>
      </c>
      <c r="O1144" s="7">
        <v>2</v>
      </c>
      <c r="P1144" s="183">
        <f t="shared" si="47"/>
        <v>6</v>
      </c>
      <c r="Q1144" s="9"/>
      <c r="R1144" s="7"/>
      <c r="S1144" s="126"/>
      <c r="T1144" s="126"/>
      <c r="U1144" s="237"/>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16" t="s">
        <v>2899</v>
      </c>
      <c r="B1145" s="9">
        <v>22.6</v>
      </c>
      <c r="C1145" s="7" t="s">
        <v>1161</v>
      </c>
      <c r="D1145" s="183"/>
      <c r="E1145" s="183"/>
      <c r="F1145" s="188"/>
      <c r="G1145" s="188"/>
      <c r="H1145" s="183"/>
      <c r="I1145" s="183"/>
      <c r="J1145" s="188"/>
      <c r="K1145" s="188"/>
      <c r="L1145" s="9"/>
      <c r="M1145" s="9"/>
      <c r="N1145" s="183">
        <v>3</v>
      </c>
      <c r="O1145" s="7">
        <v>1.9</v>
      </c>
      <c r="P1145" s="183">
        <f t="shared" si="47"/>
        <v>5.6999999999999993</v>
      </c>
      <c r="Q1145" s="9"/>
      <c r="R1145" s="7"/>
      <c r="S1145" s="126"/>
      <c r="T1145" s="126"/>
      <c r="U1145" s="237"/>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16" t="s">
        <v>2861</v>
      </c>
      <c r="B1146" s="9">
        <v>22.5</v>
      </c>
      <c r="C1146" s="211" t="s">
        <v>1232</v>
      </c>
      <c r="D1146" s="183"/>
      <c r="E1146" s="183"/>
      <c r="F1146" s="188"/>
      <c r="G1146" s="188"/>
      <c r="H1146" s="183"/>
      <c r="I1146" s="183"/>
      <c r="J1146" s="188"/>
      <c r="K1146" s="188"/>
      <c r="L1146" s="9"/>
      <c r="M1146" s="9"/>
      <c r="N1146" s="183">
        <v>3</v>
      </c>
      <c r="O1146" s="7">
        <v>1.3</v>
      </c>
      <c r="P1146" s="183">
        <f t="shared" si="47"/>
        <v>3.9000000000000004</v>
      </c>
      <c r="Q1146" s="9"/>
      <c r="R1146" s="7"/>
      <c r="S1146" s="126"/>
      <c r="T1146" s="126"/>
      <c r="U1146" s="237"/>
      <c r="V1146" s="103"/>
      <c r="W1146" s="9"/>
      <c r="X1146" s="9"/>
      <c r="Y1146" s="9"/>
      <c r="Z1146" s="9"/>
      <c r="AA1146" s="126"/>
      <c r="AB1146" s="9"/>
      <c r="AC1146" s="9"/>
      <c r="AD1146" s="9"/>
      <c r="AE1146" s="9"/>
      <c r="AF1146" s="9"/>
      <c r="AG1146" s="9"/>
      <c r="AH1146" s="9"/>
      <c r="AI1146" s="9"/>
      <c r="AJ1146" s="211" t="s">
        <v>1232</v>
      </c>
      <c r="AK1146" s="7"/>
      <c r="AL1146" s="7"/>
      <c r="AM1146" s="7"/>
      <c r="AN1146" s="7"/>
    </row>
    <row r="1147" spans="1:40" customFormat="1" ht="14.25" customHeight="1">
      <c r="A1147" s="116" t="s">
        <v>2862</v>
      </c>
      <c r="B1147" s="9">
        <v>19.8</v>
      </c>
      <c r="C1147" s="7" t="s">
        <v>1164</v>
      </c>
      <c r="D1147" s="183"/>
      <c r="E1147" s="183"/>
      <c r="F1147" s="188"/>
      <c r="G1147" s="188"/>
      <c r="H1147" s="183"/>
      <c r="I1147" s="183"/>
      <c r="J1147" s="188"/>
      <c r="K1147" s="188"/>
      <c r="L1147" s="9"/>
      <c r="M1147" s="9"/>
      <c r="N1147" s="183">
        <v>3</v>
      </c>
      <c r="O1147" s="7">
        <v>1.3</v>
      </c>
      <c r="P1147" s="183">
        <f t="shared" si="47"/>
        <v>3.9000000000000004</v>
      </c>
      <c r="Q1147" s="9"/>
      <c r="R1147" s="7"/>
      <c r="S1147" s="126"/>
      <c r="T1147" s="126"/>
      <c r="U1147" s="237"/>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2863</v>
      </c>
      <c r="B1148" s="9">
        <v>19.8</v>
      </c>
      <c r="C1148" s="7" t="s">
        <v>1362</v>
      </c>
      <c r="D1148" s="183"/>
      <c r="E1148" s="183"/>
      <c r="F1148" s="188"/>
      <c r="G1148" s="188"/>
      <c r="H1148" s="183"/>
      <c r="I1148" s="183"/>
      <c r="J1148" s="188"/>
      <c r="K1148" s="188"/>
      <c r="L1148" s="9"/>
      <c r="M1148" s="9"/>
      <c r="N1148" s="183">
        <v>3</v>
      </c>
      <c r="O1148" s="7">
        <v>1.3</v>
      </c>
      <c r="P1148" s="183">
        <f t="shared" si="47"/>
        <v>3.9000000000000004</v>
      </c>
      <c r="Q1148" s="9"/>
      <c r="R1148" s="7"/>
      <c r="S1148" s="126"/>
      <c r="T1148" s="126"/>
      <c r="U1148" s="237"/>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2864</v>
      </c>
      <c r="B1149" s="9">
        <v>22.6</v>
      </c>
      <c r="C1149" s="211" t="s">
        <v>1175</v>
      </c>
      <c r="D1149" s="183"/>
      <c r="E1149" s="183"/>
      <c r="F1149" s="188"/>
      <c r="G1149" s="188"/>
      <c r="H1149" s="183"/>
      <c r="I1149" s="183"/>
      <c r="J1149" s="188"/>
      <c r="K1149" s="188"/>
      <c r="L1149" s="9"/>
      <c r="M1149" s="9"/>
      <c r="N1149" s="183">
        <v>3</v>
      </c>
      <c r="O1149" s="7">
        <v>1.8</v>
      </c>
      <c r="P1149" s="183">
        <f t="shared" si="47"/>
        <v>5.4</v>
      </c>
      <c r="Q1149" s="9"/>
      <c r="R1149" s="7"/>
      <c r="S1149" s="126"/>
      <c r="T1149" s="126"/>
      <c r="U1149" s="237"/>
      <c r="V1149" s="103"/>
      <c r="W1149" s="9"/>
      <c r="X1149" s="9"/>
      <c r="Y1149" s="9"/>
      <c r="Z1149" s="9"/>
      <c r="AA1149" s="126"/>
      <c r="AB1149" s="9"/>
      <c r="AC1149" s="9"/>
      <c r="AD1149" s="9"/>
      <c r="AE1149" s="9"/>
      <c r="AF1149" s="9"/>
      <c r="AG1149" s="9"/>
      <c r="AH1149" s="9"/>
      <c r="AI1149" s="9"/>
      <c r="AJ1149" s="211" t="s">
        <v>1175</v>
      </c>
      <c r="AK1149" s="7"/>
      <c r="AL1149" s="7"/>
      <c r="AM1149" s="7"/>
      <c r="AN1149" s="7"/>
    </row>
    <row r="1150" spans="1:40" customFormat="1" ht="14.25" customHeight="1">
      <c r="A1150" s="116" t="s">
        <v>2865</v>
      </c>
      <c r="B1150" s="9">
        <v>22.9</v>
      </c>
      <c r="C1150" s="7" t="s">
        <v>1176</v>
      </c>
      <c r="D1150" s="183"/>
      <c r="E1150" s="183"/>
      <c r="F1150" s="188"/>
      <c r="G1150" s="188"/>
      <c r="H1150" s="183"/>
      <c r="I1150" s="183"/>
      <c r="J1150" s="188"/>
      <c r="K1150" s="188"/>
      <c r="L1150" s="9"/>
      <c r="M1150" s="9"/>
      <c r="N1150" s="183">
        <v>3</v>
      </c>
      <c r="O1150" s="7">
        <v>1.8</v>
      </c>
      <c r="P1150" s="183">
        <f t="shared" si="47"/>
        <v>5.4</v>
      </c>
      <c r="Q1150" s="9"/>
      <c r="R1150" s="7"/>
      <c r="S1150" s="126"/>
      <c r="T1150" s="126"/>
      <c r="U1150" s="237"/>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2866</v>
      </c>
      <c r="B1151" s="9">
        <v>21.7</v>
      </c>
      <c r="C1151" s="7" t="s">
        <v>1177</v>
      </c>
      <c r="D1151" s="183"/>
      <c r="E1151" s="183"/>
      <c r="F1151" s="188"/>
      <c r="G1151" s="188"/>
      <c r="H1151" s="183"/>
      <c r="I1151" s="183"/>
      <c r="J1151" s="188"/>
      <c r="K1151" s="188"/>
      <c r="L1151" s="9"/>
      <c r="M1151" s="9"/>
      <c r="N1151" s="183">
        <v>3</v>
      </c>
      <c r="O1151" s="7">
        <v>1.8</v>
      </c>
      <c r="P1151" s="183">
        <f t="shared" si="47"/>
        <v>5.4</v>
      </c>
      <c r="Q1151" s="9"/>
      <c r="R1151" s="7"/>
      <c r="S1151" s="126"/>
      <c r="T1151" s="126"/>
      <c r="U1151" s="237"/>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2867</v>
      </c>
      <c r="B1152" s="9">
        <v>17.2</v>
      </c>
      <c r="C1152" s="211" t="s">
        <v>1170</v>
      </c>
      <c r="D1152" s="183"/>
      <c r="E1152" s="183"/>
      <c r="F1152" s="188"/>
      <c r="G1152" s="188"/>
      <c r="H1152" s="183"/>
      <c r="I1152" s="183"/>
      <c r="J1152" s="188"/>
      <c r="K1152" s="188"/>
      <c r="L1152" s="9"/>
      <c r="M1152" s="9"/>
      <c r="N1152" s="183">
        <v>3</v>
      </c>
      <c r="O1152" s="7">
        <v>2</v>
      </c>
      <c r="P1152" s="183">
        <f t="shared" si="47"/>
        <v>6</v>
      </c>
      <c r="Q1152" s="9"/>
      <c r="R1152" s="7"/>
      <c r="S1152" s="126"/>
      <c r="T1152" s="126"/>
      <c r="U1152" s="237"/>
      <c r="V1152" s="103"/>
      <c r="W1152" s="9"/>
      <c r="X1152" s="9"/>
      <c r="Y1152" s="9"/>
      <c r="Z1152" s="9"/>
      <c r="AA1152" s="126"/>
      <c r="AB1152" s="9"/>
      <c r="AC1152" s="9"/>
      <c r="AD1152" s="9"/>
      <c r="AE1152" s="9"/>
      <c r="AF1152" s="9"/>
      <c r="AG1152" s="9"/>
      <c r="AH1152" s="9"/>
      <c r="AI1152" s="9"/>
      <c r="AJ1152" s="211" t="s">
        <v>1170</v>
      </c>
      <c r="AK1152" s="7"/>
      <c r="AL1152" s="7"/>
      <c r="AM1152" s="7"/>
      <c r="AN1152" s="7"/>
    </row>
    <row r="1153" spans="1:40" customFormat="1" ht="14.25" customHeight="1">
      <c r="A1153" s="116" t="s">
        <v>2868</v>
      </c>
      <c r="B1153" s="9">
        <v>16.600000000000001</v>
      </c>
      <c r="C1153" s="7" t="s">
        <v>1169</v>
      </c>
      <c r="D1153" s="183"/>
      <c r="E1153" s="183"/>
      <c r="F1153" s="188"/>
      <c r="G1153" s="188"/>
      <c r="H1153" s="183"/>
      <c r="I1153" s="183"/>
      <c r="J1153" s="188"/>
      <c r="K1153" s="188"/>
      <c r="L1153" s="9"/>
      <c r="M1153" s="9"/>
      <c r="N1153" s="183">
        <v>3</v>
      </c>
      <c r="O1153" s="7">
        <v>2</v>
      </c>
      <c r="P1153" s="183">
        <f t="shared" si="47"/>
        <v>6</v>
      </c>
      <c r="Q1153" s="9"/>
      <c r="R1153" s="7"/>
      <c r="S1153" s="126"/>
      <c r="T1153" s="126"/>
      <c r="U1153" s="237"/>
      <c r="V1153" s="103"/>
      <c r="W1153" s="9"/>
      <c r="X1153" s="9"/>
      <c r="Y1153" s="9"/>
      <c r="Z1153" s="9"/>
      <c r="AA1153" s="126"/>
      <c r="AB1153" s="9"/>
      <c r="AC1153" s="9"/>
      <c r="AD1153" s="9"/>
      <c r="AE1153" s="9"/>
      <c r="AF1153" s="9"/>
      <c r="AG1153" s="9"/>
      <c r="AH1153" s="9"/>
      <c r="AI1153" s="9"/>
      <c r="AJ1153" s="7"/>
      <c r="AK1153" s="7"/>
      <c r="AL1153" s="7"/>
      <c r="AM1153" s="7"/>
      <c r="AN1153" s="7"/>
    </row>
    <row r="1154" spans="1:40" customFormat="1" ht="14.25" customHeight="1">
      <c r="A1154" s="116" t="s">
        <v>2869</v>
      </c>
      <c r="B1154" s="9">
        <v>17.399999999999999</v>
      </c>
      <c r="C1154" s="7" t="s">
        <v>1171</v>
      </c>
      <c r="D1154" s="183"/>
      <c r="E1154" s="183"/>
      <c r="F1154" s="188"/>
      <c r="G1154" s="188"/>
      <c r="H1154" s="183"/>
      <c r="I1154" s="183"/>
      <c r="J1154" s="188"/>
      <c r="K1154" s="188"/>
      <c r="L1154" s="9"/>
      <c r="M1154" s="9"/>
      <c r="N1154" s="183">
        <v>3</v>
      </c>
      <c r="O1154" s="7">
        <v>2</v>
      </c>
      <c r="P1154" s="183">
        <f t="shared" si="47"/>
        <v>6</v>
      </c>
      <c r="Q1154" s="9"/>
      <c r="R1154" s="7"/>
      <c r="S1154" s="126"/>
      <c r="T1154" s="126"/>
      <c r="U1154" s="237"/>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3128</v>
      </c>
      <c r="B1155" s="9">
        <v>17.3</v>
      </c>
      <c r="C1155" s="211" t="s">
        <v>1173</v>
      </c>
      <c r="D1155" s="183"/>
      <c r="E1155" s="183"/>
      <c r="F1155" s="188"/>
      <c r="G1155" s="188"/>
      <c r="H1155" s="183"/>
      <c r="I1155" s="183"/>
      <c r="J1155" s="188"/>
      <c r="K1155" s="188"/>
      <c r="L1155" s="9"/>
      <c r="M1155" s="9"/>
      <c r="N1155" s="183">
        <v>3</v>
      </c>
      <c r="O1155" s="7">
        <v>2.1</v>
      </c>
      <c r="P1155" s="183">
        <f t="shared" si="47"/>
        <v>6.3000000000000007</v>
      </c>
      <c r="Q1155" s="9"/>
      <c r="R1155" s="7"/>
      <c r="S1155" s="126"/>
      <c r="T1155" s="126"/>
      <c r="U1155" s="237"/>
      <c r="V1155" s="103"/>
      <c r="W1155" s="9"/>
      <c r="X1155" s="9"/>
      <c r="Y1155" s="9"/>
      <c r="Z1155" s="9"/>
      <c r="AA1155" s="126"/>
      <c r="AB1155" s="9"/>
      <c r="AC1155" s="9"/>
      <c r="AD1155" s="9"/>
      <c r="AE1155" s="9"/>
      <c r="AF1155" s="9"/>
      <c r="AG1155" s="9"/>
      <c r="AH1155" s="9"/>
      <c r="AI1155" s="9"/>
      <c r="AJ1155" s="211" t="s">
        <v>1173</v>
      </c>
      <c r="AK1155" s="7"/>
      <c r="AL1155" s="7"/>
      <c r="AM1155" s="7"/>
      <c r="AN1155" s="7"/>
    </row>
    <row r="1156" spans="1:40" customFormat="1" ht="14.25" customHeight="1">
      <c r="A1156" s="116" t="s">
        <v>2870</v>
      </c>
      <c r="B1156" s="9">
        <v>19.600000000000001</v>
      </c>
      <c r="C1156" s="7" t="s">
        <v>1142</v>
      </c>
      <c r="D1156" s="183"/>
      <c r="E1156" s="183"/>
      <c r="F1156" s="188"/>
      <c r="G1156" s="188"/>
      <c r="H1156" s="183"/>
      <c r="I1156" s="183"/>
      <c r="J1156" s="188"/>
      <c r="K1156" s="188"/>
      <c r="L1156" s="9"/>
      <c r="M1156" s="9"/>
      <c r="N1156" s="183">
        <v>3</v>
      </c>
      <c r="O1156" s="7">
        <v>2.1</v>
      </c>
      <c r="P1156" s="183">
        <f t="shared" si="47"/>
        <v>6.3000000000000007</v>
      </c>
      <c r="Q1156" s="9"/>
      <c r="R1156" s="7"/>
      <c r="S1156" s="126"/>
      <c r="T1156" s="126"/>
      <c r="U1156" s="237"/>
      <c r="V1156" s="103"/>
      <c r="W1156" s="9"/>
      <c r="X1156" s="9"/>
      <c r="Y1156" s="9"/>
      <c r="Z1156" s="9"/>
      <c r="AA1156" s="126"/>
      <c r="AB1156" s="9"/>
      <c r="AC1156" s="9"/>
      <c r="AD1156" s="9"/>
      <c r="AE1156" s="9"/>
      <c r="AF1156" s="9"/>
      <c r="AG1156" s="9"/>
      <c r="AH1156" s="9"/>
      <c r="AI1156" s="9"/>
      <c r="AJ1156" s="7"/>
      <c r="AK1156" s="7"/>
      <c r="AL1156" s="7"/>
      <c r="AM1156" s="7"/>
      <c r="AN1156" s="4"/>
    </row>
    <row r="1157" spans="1:40" customFormat="1" ht="14.25" customHeight="1">
      <c r="A1157" s="116" t="s">
        <v>2871</v>
      </c>
      <c r="B1157" s="9">
        <v>19</v>
      </c>
      <c r="C1157" s="7" t="s">
        <v>1144</v>
      </c>
      <c r="D1157" s="183"/>
      <c r="E1157" s="183"/>
      <c r="F1157" s="188"/>
      <c r="G1157" s="188"/>
      <c r="H1157" s="183"/>
      <c r="I1157" s="183"/>
      <c r="J1157" s="188"/>
      <c r="K1157" s="188"/>
      <c r="L1157" s="9"/>
      <c r="M1157" s="9"/>
      <c r="N1157" s="183">
        <v>3</v>
      </c>
      <c r="O1157" s="7">
        <v>2.1</v>
      </c>
      <c r="P1157" s="183">
        <f t="shared" ref="P1157:P1176" si="48">N1157*O1157</f>
        <v>6.3000000000000007</v>
      </c>
      <c r="Q1157" s="9"/>
      <c r="R1157" s="7"/>
      <c r="S1157" s="126"/>
      <c r="T1157" s="126"/>
      <c r="U1157" s="237"/>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2872</v>
      </c>
      <c r="B1158" s="9">
        <v>19</v>
      </c>
      <c r="C1158" s="7" t="s">
        <v>1143</v>
      </c>
      <c r="D1158" s="183"/>
      <c r="E1158" s="183"/>
      <c r="F1158" s="188"/>
      <c r="G1158" s="188"/>
      <c r="H1158" s="183"/>
      <c r="I1158" s="183"/>
      <c r="J1158" s="188"/>
      <c r="K1158" s="188"/>
      <c r="L1158" s="9"/>
      <c r="M1158" s="9"/>
      <c r="N1158" s="183">
        <v>3</v>
      </c>
      <c r="O1158" s="7">
        <v>2.1</v>
      </c>
      <c r="P1158" s="183">
        <f t="shared" si="48"/>
        <v>6.3000000000000007</v>
      </c>
      <c r="Q1158" s="9"/>
      <c r="R1158" s="7"/>
      <c r="S1158" s="126"/>
      <c r="T1158" s="126"/>
      <c r="U1158" s="237"/>
      <c r="V1158" s="103"/>
      <c r="W1158" s="9"/>
      <c r="X1158" s="9"/>
      <c r="Y1158" s="9"/>
      <c r="Z1158" s="9"/>
      <c r="AA1158" s="126"/>
      <c r="AB1158" s="9"/>
      <c r="AC1158" s="9"/>
      <c r="AD1158" s="9"/>
      <c r="AE1158" s="9"/>
      <c r="AF1158" s="9"/>
      <c r="AG1158" s="9"/>
      <c r="AH1158" s="9"/>
      <c r="AI1158" s="9"/>
      <c r="AJ1158" s="7"/>
      <c r="AK1158" s="7"/>
      <c r="AL1158" s="7"/>
      <c r="AM1158" s="7"/>
      <c r="AN1158" s="4"/>
    </row>
    <row r="1159" spans="1:40" customFormat="1" ht="14.25" customHeight="1">
      <c r="A1159" s="116" t="s">
        <v>2873</v>
      </c>
      <c r="B1159" s="9">
        <v>17.5</v>
      </c>
      <c r="C1159" s="7" t="s">
        <v>1140</v>
      </c>
      <c r="D1159" s="183"/>
      <c r="E1159" s="183"/>
      <c r="F1159" s="188"/>
      <c r="G1159" s="188"/>
      <c r="H1159" s="183"/>
      <c r="I1159" s="183"/>
      <c r="J1159" s="188"/>
      <c r="K1159" s="188"/>
      <c r="L1159" s="9"/>
      <c r="M1159" s="9"/>
      <c r="N1159" s="183">
        <v>3</v>
      </c>
      <c r="O1159" s="7">
        <v>2.1</v>
      </c>
      <c r="P1159" s="183">
        <f t="shared" si="48"/>
        <v>6.3000000000000007</v>
      </c>
      <c r="Q1159" s="9"/>
      <c r="R1159" s="7"/>
      <c r="S1159" s="126"/>
      <c r="T1159" s="126"/>
      <c r="U1159" s="237"/>
      <c r="V1159" s="103"/>
      <c r="W1159" s="9"/>
      <c r="X1159" s="9"/>
      <c r="Y1159" s="9"/>
      <c r="Z1159" s="9"/>
      <c r="AA1159" s="126"/>
      <c r="AB1159" s="9"/>
      <c r="AC1159" s="9"/>
      <c r="AD1159" s="9"/>
      <c r="AE1159" s="9"/>
      <c r="AF1159" s="9"/>
      <c r="AG1159" s="9"/>
      <c r="AH1159" s="9"/>
      <c r="AI1159" s="9"/>
      <c r="AJ1159" s="7"/>
      <c r="AK1159" s="7"/>
      <c r="AL1159" s="7"/>
      <c r="AM1159" s="7"/>
      <c r="AN1159" s="7"/>
    </row>
    <row r="1160" spans="1:40" customFormat="1" ht="14.25" customHeight="1">
      <c r="A1160" s="116" t="s">
        <v>2874</v>
      </c>
      <c r="B1160" s="9">
        <v>20</v>
      </c>
      <c r="C1160" s="7" t="s">
        <v>1141</v>
      </c>
      <c r="D1160" s="183"/>
      <c r="E1160" s="183"/>
      <c r="F1160" s="188"/>
      <c r="G1160" s="188"/>
      <c r="H1160" s="183"/>
      <c r="I1160" s="183"/>
      <c r="J1160" s="188"/>
      <c r="K1160" s="188"/>
      <c r="L1160" s="9"/>
      <c r="M1160" s="9"/>
      <c r="N1160" s="183">
        <v>3</v>
      </c>
      <c r="O1160" s="7">
        <v>2.1</v>
      </c>
      <c r="P1160" s="183">
        <f t="shared" si="48"/>
        <v>6.3000000000000007</v>
      </c>
      <c r="Q1160" s="9"/>
      <c r="R1160" s="7"/>
      <c r="S1160" s="126"/>
      <c r="T1160" s="126"/>
      <c r="U1160" s="237"/>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3057</v>
      </c>
      <c r="B1161" s="9">
        <v>36</v>
      </c>
      <c r="C1161" s="211" t="s">
        <v>1213</v>
      </c>
      <c r="D1161" s="183"/>
      <c r="E1161" s="183"/>
      <c r="F1161" s="188"/>
      <c r="G1161" s="188"/>
      <c r="H1161" s="183"/>
      <c r="I1161" s="183"/>
      <c r="J1161" s="188"/>
      <c r="K1161" s="188"/>
      <c r="L1161" s="9"/>
      <c r="M1161" s="9"/>
      <c r="N1161" s="183">
        <v>3</v>
      </c>
      <c r="O1161" s="7">
        <v>1.5</v>
      </c>
      <c r="P1161" s="183">
        <f t="shared" si="48"/>
        <v>4.5</v>
      </c>
      <c r="Q1161" s="9"/>
      <c r="R1161" s="7"/>
      <c r="S1161" s="126"/>
      <c r="T1161" s="126"/>
      <c r="U1161" s="237"/>
      <c r="V1161" s="103"/>
      <c r="W1161" s="9"/>
      <c r="X1161" s="9"/>
      <c r="Y1161" s="9"/>
      <c r="Z1161" s="9"/>
      <c r="AA1161" s="126"/>
      <c r="AB1161" s="9"/>
      <c r="AC1161" s="9"/>
      <c r="AD1161" s="9"/>
      <c r="AE1161" s="9"/>
      <c r="AF1161" s="9"/>
      <c r="AG1161" s="9"/>
      <c r="AH1161" s="9"/>
      <c r="AI1161" s="9"/>
      <c r="AJ1161" s="211" t="s">
        <v>1213</v>
      </c>
      <c r="AK1161" s="7"/>
      <c r="AL1161" s="7"/>
      <c r="AM1161" s="7"/>
      <c r="AN1161" s="7"/>
    </row>
    <row r="1162" spans="1:40" customFormat="1" ht="14.25" customHeight="1">
      <c r="A1162" s="116" t="s">
        <v>3058</v>
      </c>
      <c r="B1162" s="9">
        <v>36</v>
      </c>
      <c r="C1162" s="7" t="s">
        <v>1214</v>
      </c>
      <c r="D1162" s="183"/>
      <c r="E1162" s="183"/>
      <c r="F1162" s="188"/>
      <c r="G1162" s="188"/>
      <c r="H1162" s="183"/>
      <c r="I1162" s="183"/>
      <c r="J1162" s="188"/>
      <c r="K1162" s="188"/>
      <c r="L1162" s="9"/>
      <c r="M1162" s="9"/>
      <c r="N1162" s="183">
        <v>3</v>
      </c>
      <c r="O1162" s="7">
        <v>1.5</v>
      </c>
      <c r="P1162" s="183">
        <f t="shared" si="48"/>
        <v>4.5</v>
      </c>
      <c r="Q1162" s="9"/>
      <c r="R1162" s="7"/>
      <c r="S1162" s="126"/>
      <c r="T1162" s="126"/>
      <c r="U1162" s="237"/>
      <c r="V1162" s="103"/>
      <c r="W1162" s="9"/>
      <c r="X1162" s="9"/>
      <c r="Y1162" s="9"/>
      <c r="Z1162" s="9"/>
      <c r="AA1162" s="126"/>
      <c r="AB1162" s="9"/>
      <c r="AC1162" s="9"/>
      <c r="AD1162" s="9"/>
      <c r="AE1162" s="9"/>
      <c r="AF1162" s="9"/>
      <c r="AG1162" s="9"/>
      <c r="AH1162" s="9"/>
      <c r="AI1162" s="9"/>
      <c r="AJ1162" s="7"/>
      <c r="AK1162" s="7"/>
      <c r="AL1162" s="7"/>
      <c r="AM1162" s="7"/>
      <c r="AN1162" s="7"/>
    </row>
    <row r="1163" spans="1:40" customFormat="1" ht="14.25" customHeight="1">
      <c r="A1163" s="116" t="s">
        <v>3059</v>
      </c>
      <c r="B1163" s="9">
        <v>36</v>
      </c>
      <c r="C1163" s="7" t="s">
        <v>1215</v>
      </c>
      <c r="D1163" s="183"/>
      <c r="E1163" s="183"/>
      <c r="F1163" s="188"/>
      <c r="G1163" s="188"/>
      <c r="H1163" s="183"/>
      <c r="I1163" s="183"/>
      <c r="J1163" s="188"/>
      <c r="K1163" s="188"/>
      <c r="L1163" s="9"/>
      <c r="M1163" s="9"/>
      <c r="N1163" s="183">
        <v>6</v>
      </c>
      <c r="O1163" s="7">
        <v>1.5</v>
      </c>
      <c r="P1163" s="183">
        <f t="shared" si="48"/>
        <v>9</v>
      </c>
      <c r="Q1163" s="9"/>
      <c r="R1163" s="7"/>
      <c r="S1163" s="126"/>
      <c r="T1163" s="126"/>
      <c r="U1163" s="237"/>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3060</v>
      </c>
      <c r="B1164" s="9">
        <v>36</v>
      </c>
      <c r="C1164" s="7" t="s">
        <v>3153</v>
      </c>
      <c r="D1164" s="183"/>
      <c r="E1164" s="183"/>
      <c r="F1164" s="188"/>
      <c r="G1164" s="188"/>
      <c r="H1164" s="183"/>
      <c r="I1164" s="183"/>
      <c r="J1164" s="188"/>
      <c r="K1164" s="188"/>
      <c r="L1164" s="9"/>
      <c r="M1164" s="9"/>
      <c r="N1164" s="183">
        <v>3</v>
      </c>
      <c r="O1164" s="7">
        <v>1.5</v>
      </c>
      <c r="P1164" s="183">
        <f t="shared" si="48"/>
        <v>4.5</v>
      </c>
      <c r="Q1164" s="9"/>
      <c r="R1164" s="7"/>
      <c r="S1164" s="126"/>
      <c r="T1164" s="126"/>
      <c r="U1164" s="237"/>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3061</v>
      </c>
      <c r="B1165" s="9">
        <v>36</v>
      </c>
      <c r="C1165" s="7" t="s">
        <v>1217</v>
      </c>
      <c r="D1165" s="183"/>
      <c r="E1165" s="183"/>
      <c r="F1165" s="188"/>
      <c r="G1165" s="188"/>
      <c r="H1165" s="183"/>
      <c r="I1165" s="183"/>
      <c r="J1165" s="188"/>
      <c r="K1165" s="188"/>
      <c r="L1165" s="9"/>
      <c r="M1165" s="9"/>
      <c r="N1165" s="183">
        <v>3</v>
      </c>
      <c r="O1165" s="7">
        <v>1.5</v>
      </c>
      <c r="P1165" s="183">
        <f t="shared" si="48"/>
        <v>4.5</v>
      </c>
      <c r="Q1165" s="9"/>
      <c r="R1165" s="7"/>
      <c r="S1165" s="126"/>
      <c r="T1165" s="126"/>
      <c r="U1165" s="237"/>
      <c r="V1165" s="103"/>
      <c r="W1165" s="9"/>
      <c r="X1165" s="9"/>
      <c r="Y1165" s="9"/>
      <c r="Z1165" s="9"/>
      <c r="AA1165" s="126"/>
      <c r="AB1165" s="9"/>
      <c r="AC1165" s="9"/>
      <c r="AD1165" s="9"/>
      <c r="AE1165" s="9"/>
      <c r="AF1165" s="9"/>
      <c r="AG1165" s="9"/>
      <c r="AH1165" s="9"/>
      <c r="AI1165" s="9"/>
      <c r="AJ1165" s="7"/>
      <c r="AK1165" s="7"/>
      <c r="AL1165" s="7"/>
      <c r="AM1165" s="7"/>
      <c r="AN1165" s="7"/>
    </row>
    <row r="1166" spans="1:40" customFormat="1" ht="14.25" customHeight="1">
      <c r="A1166" s="125" t="s">
        <v>3062</v>
      </c>
      <c r="B1166" s="9">
        <v>17</v>
      </c>
      <c r="C1166" s="211" t="s">
        <v>1364</v>
      </c>
      <c r="D1166" s="183"/>
      <c r="E1166" s="183"/>
      <c r="F1166" s="188"/>
      <c r="G1166" s="188"/>
      <c r="H1166" s="183"/>
      <c r="I1166" s="183"/>
      <c r="J1166" s="188"/>
      <c r="K1166" s="188"/>
      <c r="L1166" s="9"/>
      <c r="M1166" s="9"/>
      <c r="N1166" s="183">
        <v>3</v>
      </c>
      <c r="O1166" s="7">
        <v>1.6</v>
      </c>
      <c r="P1166" s="183">
        <f t="shared" si="48"/>
        <v>4.8000000000000007</v>
      </c>
      <c r="Q1166" s="9"/>
      <c r="R1166" s="7"/>
      <c r="S1166" s="126"/>
      <c r="T1166" s="126"/>
      <c r="U1166" s="237"/>
      <c r="V1166" s="103"/>
      <c r="W1166" s="9"/>
      <c r="X1166" s="9"/>
      <c r="Y1166" s="9"/>
      <c r="Z1166" s="9"/>
      <c r="AA1166" s="126"/>
      <c r="AB1166" s="9"/>
      <c r="AC1166" s="9"/>
      <c r="AD1166" s="9"/>
      <c r="AE1166" s="9"/>
      <c r="AF1166" s="9"/>
      <c r="AG1166" s="9"/>
      <c r="AH1166" s="9"/>
      <c r="AI1166" s="9"/>
      <c r="AJ1166" s="211" t="s">
        <v>1364</v>
      </c>
      <c r="AK1166" s="7"/>
      <c r="AL1166" s="7"/>
      <c r="AM1166" s="7"/>
      <c r="AN1166" s="7"/>
    </row>
    <row r="1167" spans="1:40" customFormat="1" ht="14.25" customHeight="1">
      <c r="A1167" s="125" t="s">
        <v>3063</v>
      </c>
      <c r="B1167" s="9">
        <v>17</v>
      </c>
      <c r="C1167" s="7" t="s">
        <v>1226</v>
      </c>
      <c r="D1167" s="183"/>
      <c r="E1167" s="183"/>
      <c r="F1167" s="188"/>
      <c r="G1167" s="188"/>
      <c r="H1167" s="183"/>
      <c r="I1167" s="183"/>
      <c r="J1167" s="188"/>
      <c r="K1167" s="188"/>
      <c r="L1167" s="9"/>
      <c r="M1167" s="9"/>
      <c r="N1167" s="183">
        <v>3</v>
      </c>
      <c r="O1167" s="7">
        <v>1.6</v>
      </c>
      <c r="P1167" s="183">
        <f t="shared" si="48"/>
        <v>4.8000000000000007</v>
      </c>
      <c r="Q1167" s="9"/>
      <c r="R1167" s="7"/>
      <c r="S1167" s="126"/>
      <c r="T1167" s="126"/>
      <c r="U1167" s="237"/>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25" t="s">
        <v>3064</v>
      </c>
      <c r="B1168" s="9">
        <v>17</v>
      </c>
      <c r="C1168" s="7" t="s">
        <v>1227</v>
      </c>
      <c r="D1168" s="183"/>
      <c r="E1168" s="183"/>
      <c r="F1168" s="188"/>
      <c r="G1168" s="188"/>
      <c r="H1168" s="183"/>
      <c r="I1168" s="183"/>
      <c r="J1168" s="188"/>
      <c r="K1168" s="188"/>
      <c r="L1168" s="9"/>
      <c r="M1168" s="9"/>
      <c r="N1168" s="183">
        <v>3</v>
      </c>
      <c r="O1168" s="7">
        <v>1.6</v>
      </c>
      <c r="P1168" s="183">
        <f t="shared" si="48"/>
        <v>4.8000000000000007</v>
      </c>
      <c r="Q1168" s="9"/>
      <c r="R1168" s="7"/>
      <c r="S1168" s="126"/>
      <c r="T1168" s="126"/>
      <c r="U1168" s="237"/>
      <c r="V1168" s="103"/>
      <c r="W1168" s="9"/>
      <c r="X1168" s="9"/>
      <c r="Y1168" s="9"/>
      <c r="Z1168" s="9"/>
      <c r="AA1168" s="126"/>
      <c r="AB1168" s="9"/>
      <c r="AC1168" s="9"/>
      <c r="AD1168" s="9"/>
      <c r="AE1168" s="9"/>
      <c r="AF1168" s="9"/>
      <c r="AG1168" s="9"/>
      <c r="AH1168" s="9"/>
      <c r="AI1168" s="9"/>
      <c r="AJ1168" s="7"/>
      <c r="AK1168" s="7"/>
      <c r="AL1168" s="7"/>
      <c r="AM1168" s="7"/>
      <c r="AN1168" s="7"/>
    </row>
    <row r="1169" spans="1:40" customFormat="1" ht="14.25" customHeight="1">
      <c r="A1169" s="125" t="s">
        <v>3065</v>
      </c>
      <c r="B1169" s="9">
        <v>17</v>
      </c>
      <c r="C1169" s="7" t="s">
        <v>1228</v>
      </c>
      <c r="D1169" s="183"/>
      <c r="E1169" s="183"/>
      <c r="F1169" s="188"/>
      <c r="G1169" s="188"/>
      <c r="H1169" s="183"/>
      <c r="I1169" s="183"/>
      <c r="J1169" s="188"/>
      <c r="K1169" s="188"/>
      <c r="L1169" s="9"/>
      <c r="M1169" s="9"/>
      <c r="N1169" s="183">
        <v>3</v>
      </c>
      <c r="O1169" s="7">
        <v>1.6</v>
      </c>
      <c r="P1169" s="183">
        <f t="shared" si="48"/>
        <v>4.8000000000000007</v>
      </c>
      <c r="Q1169" s="9"/>
      <c r="R1169" s="7"/>
      <c r="S1169" s="126"/>
      <c r="T1169" s="126"/>
      <c r="U1169" s="237"/>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25" t="s">
        <v>3066</v>
      </c>
      <c r="B1170" s="9">
        <v>17</v>
      </c>
      <c r="C1170" s="7" t="s">
        <v>1229</v>
      </c>
      <c r="D1170" s="183"/>
      <c r="E1170" s="183"/>
      <c r="F1170" s="188"/>
      <c r="G1170" s="188"/>
      <c r="H1170" s="183"/>
      <c r="I1170" s="183"/>
      <c r="J1170" s="188"/>
      <c r="K1170" s="188"/>
      <c r="L1170" s="9"/>
      <c r="M1170" s="9"/>
      <c r="N1170" s="183">
        <v>3</v>
      </c>
      <c r="O1170" s="7">
        <v>1.6</v>
      </c>
      <c r="P1170" s="183">
        <f t="shared" si="48"/>
        <v>4.8000000000000007</v>
      </c>
      <c r="Q1170" s="9"/>
      <c r="R1170" s="7"/>
      <c r="S1170" s="126"/>
      <c r="T1170" s="126"/>
      <c r="U1170" s="237"/>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3067</v>
      </c>
      <c r="B1171" s="9">
        <v>19.7</v>
      </c>
      <c r="C1171" s="211" t="s">
        <v>1669</v>
      </c>
      <c r="D1171" s="183"/>
      <c r="E1171" s="183"/>
      <c r="F1171" s="188"/>
      <c r="G1171" s="188"/>
      <c r="H1171" s="183"/>
      <c r="I1171" s="183"/>
      <c r="J1171" s="188"/>
      <c r="K1171" s="188"/>
      <c r="L1171" s="9"/>
      <c r="M1171" s="9"/>
      <c r="N1171" s="183">
        <v>3</v>
      </c>
      <c r="O1171" s="7">
        <v>1.5</v>
      </c>
      <c r="P1171" s="183">
        <f t="shared" si="48"/>
        <v>4.5</v>
      </c>
      <c r="Q1171" s="9"/>
      <c r="R1171" s="7"/>
      <c r="S1171" s="126"/>
      <c r="T1171" s="126"/>
      <c r="U1171" s="237"/>
      <c r="V1171" s="103"/>
      <c r="W1171" s="9"/>
      <c r="X1171" s="9"/>
      <c r="Y1171" s="9"/>
      <c r="Z1171" s="9"/>
      <c r="AA1171" s="126"/>
      <c r="AB1171" s="9"/>
      <c r="AC1171" s="9"/>
      <c r="AD1171" s="9"/>
      <c r="AE1171" s="9"/>
      <c r="AF1171" s="9"/>
      <c r="AG1171" s="9"/>
      <c r="AH1171" s="9"/>
      <c r="AI1171" s="9"/>
      <c r="AJ1171" s="211" t="s">
        <v>1669</v>
      </c>
      <c r="AK1171" s="7"/>
      <c r="AL1171" s="7"/>
      <c r="AM1171" s="7"/>
      <c r="AN1171" s="7"/>
    </row>
    <row r="1172" spans="1:40" customFormat="1" ht="14.25" customHeight="1">
      <c r="A1172" s="116" t="s">
        <v>3068</v>
      </c>
      <c r="B1172" s="9">
        <v>19.5</v>
      </c>
      <c r="C1172" s="7" t="s">
        <v>1670</v>
      </c>
      <c r="D1172" s="183"/>
      <c r="E1172" s="183"/>
      <c r="F1172" s="188"/>
      <c r="G1172" s="188"/>
      <c r="H1172" s="183"/>
      <c r="I1172" s="183"/>
      <c r="J1172" s="188"/>
      <c r="K1172" s="188"/>
      <c r="L1172" s="9"/>
      <c r="M1172" s="9"/>
      <c r="N1172" s="183">
        <v>3</v>
      </c>
      <c r="O1172" s="7">
        <v>1.5</v>
      </c>
      <c r="P1172" s="183">
        <f t="shared" si="48"/>
        <v>4.5</v>
      </c>
      <c r="Q1172" s="9"/>
      <c r="R1172" s="7"/>
      <c r="S1172" s="126"/>
      <c r="T1172" s="126"/>
      <c r="U1172" s="237"/>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3069</v>
      </c>
      <c r="B1173" s="9">
        <v>19.2</v>
      </c>
      <c r="C1173" s="7" t="s">
        <v>1672</v>
      </c>
      <c r="D1173" s="183"/>
      <c r="E1173" s="183"/>
      <c r="F1173" s="188"/>
      <c r="G1173" s="188"/>
      <c r="H1173" s="183"/>
      <c r="I1173" s="183"/>
      <c r="J1173" s="188"/>
      <c r="K1173" s="188"/>
      <c r="L1173" s="9"/>
      <c r="M1173" s="9"/>
      <c r="N1173" s="183">
        <v>3</v>
      </c>
      <c r="O1173" s="7">
        <v>1.5</v>
      </c>
      <c r="P1173" s="183">
        <f t="shared" si="48"/>
        <v>4.5</v>
      </c>
      <c r="Q1173" s="9"/>
      <c r="R1173" s="7"/>
      <c r="S1173" s="126"/>
      <c r="T1173" s="126"/>
      <c r="U1173" s="237"/>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3070</v>
      </c>
      <c r="B1174" s="9">
        <v>19.399999999999999</v>
      </c>
      <c r="C1174" s="7" t="s">
        <v>1671</v>
      </c>
      <c r="D1174" s="183"/>
      <c r="E1174" s="183"/>
      <c r="F1174" s="188"/>
      <c r="G1174" s="188"/>
      <c r="H1174" s="183"/>
      <c r="I1174" s="183"/>
      <c r="J1174" s="188"/>
      <c r="K1174" s="188"/>
      <c r="L1174" s="9"/>
      <c r="M1174" s="9"/>
      <c r="N1174" s="183">
        <v>3</v>
      </c>
      <c r="O1174" s="7">
        <v>1.5</v>
      </c>
      <c r="P1174" s="183">
        <f t="shared" si="48"/>
        <v>4.5</v>
      </c>
      <c r="Q1174" s="9"/>
      <c r="R1174" s="7"/>
      <c r="S1174" s="126"/>
      <c r="T1174" s="126"/>
      <c r="U1174" s="237"/>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16" t="s">
        <v>3071</v>
      </c>
      <c r="B1175" s="9">
        <v>19.399999999999999</v>
      </c>
      <c r="C1175" s="7" t="s">
        <v>1673</v>
      </c>
      <c r="D1175" s="183"/>
      <c r="E1175" s="183"/>
      <c r="F1175" s="188"/>
      <c r="G1175" s="188"/>
      <c r="H1175" s="183"/>
      <c r="I1175" s="183"/>
      <c r="J1175" s="188"/>
      <c r="K1175" s="188"/>
      <c r="L1175" s="9"/>
      <c r="M1175" s="9"/>
      <c r="N1175" s="183">
        <v>3</v>
      </c>
      <c r="O1175" s="7">
        <v>1.5</v>
      </c>
      <c r="P1175" s="183">
        <f t="shared" si="48"/>
        <v>4.5</v>
      </c>
      <c r="Q1175" s="9"/>
      <c r="R1175" s="7"/>
      <c r="S1175" s="126"/>
      <c r="T1175" s="126"/>
      <c r="U1175" s="237"/>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16" t="s">
        <v>3072</v>
      </c>
      <c r="B1176" s="9">
        <v>19.600000000000001</v>
      </c>
      <c r="C1176" s="7" t="s">
        <v>1674</v>
      </c>
      <c r="D1176" s="183"/>
      <c r="E1176" s="183"/>
      <c r="F1176" s="188"/>
      <c r="G1176" s="188"/>
      <c r="H1176" s="183"/>
      <c r="I1176" s="183"/>
      <c r="J1176" s="188"/>
      <c r="K1176" s="188"/>
      <c r="L1176" s="9"/>
      <c r="M1176" s="9"/>
      <c r="N1176" s="183">
        <v>3</v>
      </c>
      <c r="O1176" s="7">
        <v>1.5</v>
      </c>
      <c r="P1176" s="183">
        <f t="shared" si="48"/>
        <v>4.5</v>
      </c>
      <c r="Q1176" s="9"/>
      <c r="R1176" s="7"/>
      <c r="S1176" s="126"/>
      <c r="T1176" s="126"/>
      <c r="U1176" s="237"/>
      <c r="V1176" s="103"/>
      <c r="W1176" s="9"/>
      <c r="X1176" s="9"/>
      <c r="Y1176" s="9"/>
      <c r="Z1176" s="9"/>
      <c r="AA1176" s="126"/>
      <c r="AB1176" s="9"/>
      <c r="AC1176" s="9"/>
      <c r="AD1176" s="9"/>
      <c r="AE1176" s="9"/>
      <c r="AF1176" s="9"/>
      <c r="AG1176" s="9"/>
      <c r="AH1176" s="9"/>
      <c r="AI1176" s="9"/>
      <c r="AJ1176" s="7"/>
      <c r="AK1176" s="7"/>
      <c r="AL1176" s="7"/>
      <c r="AM1176" s="7"/>
      <c r="AN1176" s="7"/>
    </row>
    <row r="1177" spans="1:40" customFormat="1" ht="14.25" customHeight="1">
      <c r="A1177" s="116" t="s">
        <v>2851</v>
      </c>
      <c r="B1177" s="9">
        <v>31.5</v>
      </c>
      <c r="C1177" s="211" t="s">
        <v>1162</v>
      </c>
      <c r="D1177" s="183"/>
      <c r="E1177" s="183"/>
      <c r="F1177" s="188"/>
      <c r="G1177" s="188"/>
      <c r="H1177" s="183"/>
      <c r="I1177" s="183"/>
      <c r="J1177" s="188"/>
      <c r="K1177" s="188"/>
      <c r="L1177" s="9"/>
      <c r="M1177" s="9"/>
      <c r="N1177" s="183">
        <v>3</v>
      </c>
      <c r="O1177" s="7">
        <v>2</v>
      </c>
      <c r="P1177" s="183">
        <f t="shared" ref="P1177:P1190" si="49">N1177*O1177</f>
        <v>6</v>
      </c>
      <c r="Q1177" s="9"/>
      <c r="R1177" s="7"/>
      <c r="S1177" s="126"/>
      <c r="T1177" s="126"/>
      <c r="U1177" s="237"/>
      <c r="V1177" s="103"/>
      <c r="W1177" s="9"/>
      <c r="X1177" s="9"/>
      <c r="Y1177" s="9"/>
      <c r="Z1177" s="9"/>
      <c r="AA1177" s="126"/>
      <c r="AB1177" s="9"/>
      <c r="AC1177" s="9"/>
      <c r="AD1177" s="9"/>
      <c r="AE1177" s="9"/>
      <c r="AF1177" s="9"/>
      <c r="AG1177" s="9"/>
      <c r="AH1177" s="9"/>
      <c r="AI1177" s="9"/>
      <c r="AJ1177" s="211" t="s">
        <v>1162</v>
      </c>
      <c r="AK1177" s="7"/>
      <c r="AL1177" s="7"/>
      <c r="AM1177" s="7"/>
      <c r="AN1177" s="7"/>
    </row>
    <row r="1178" spans="1:40" customFormat="1" ht="14.25" customHeight="1">
      <c r="A1178" s="116" t="s">
        <v>2852</v>
      </c>
      <c r="B1178" s="9">
        <v>32.200000000000003</v>
      </c>
      <c r="C1178" s="7" t="s">
        <v>1163</v>
      </c>
      <c r="D1178" s="183"/>
      <c r="E1178" s="183"/>
      <c r="F1178" s="188"/>
      <c r="G1178" s="188"/>
      <c r="H1178" s="183"/>
      <c r="I1178" s="183"/>
      <c r="J1178" s="188"/>
      <c r="K1178" s="188"/>
      <c r="L1178" s="9"/>
      <c r="M1178" s="9"/>
      <c r="N1178" s="183">
        <v>3</v>
      </c>
      <c r="O1178" s="7">
        <v>2</v>
      </c>
      <c r="P1178" s="183">
        <f t="shared" si="49"/>
        <v>6</v>
      </c>
      <c r="Q1178" s="9"/>
      <c r="R1178" s="7"/>
      <c r="S1178" s="126"/>
      <c r="T1178" s="126"/>
      <c r="U1178" s="237"/>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16" t="s">
        <v>2853</v>
      </c>
      <c r="B1179" s="9">
        <v>23.8</v>
      </c>
      <c r="C1179" s="211" t="s">
        <v>1165</v>
      </c>
      <c r="D1179" s="183"/>
      <c r="E1179" s="183"/>
      <c r="F1179" s="188"/>
      <c r="G1179" s="188"/>
      <c r="H1179" s="183"/>
      <c r="I1179" s="183"/>
      <c r="J1179" s="188"/>
      <c r="K1179" s="188"/>
      <c r="L1179" s="9"/>
      <c r="M1179" s="9"/>
      <c r="N1179" s="183">
        <v>3</v>
      </c>
      <c r="O1179" s="7">
        <v>1.1000000000000001</v>
      </c>
      <c r="P1179" s="183">
        <f t="shared" si="49"/>
        <v>3.3000000000000003</v>
      </c>
      <c r="Q1179" s="9"/>
      <c r="R1179" s="7"/>
      <c r="S1179" s="126"/>
      <c r="T1179" s="126"/>
      <c r="U1179" s="237"/>
      <c r="V1179" s="103"/>
      <c r="W1179" s="9"/>
      <c r="X1179" s="9"/>
      <c r="Y1179" s="9"/>
      <c r="Z1179" s="9"/>
      <c r="AA1179" s="126"/>
      <c r="AB1179" s="9"/>
      <c r="AC1179" s="9"/>
      <c r="AD1179" s="9"/>
      <c r="AE1179" s="9"/>
      <c r="AF1179" s="9"/>
      <c r="AG1179" s="9"/>
      <c r="AH1179" s="9"/>
      <c r="AI1179" s="9"/>
      <c r="AJ1179" s="211" t="s">
        <v>1165</v>
      </c>
      <c r="AK1179" s="7"/>
      <c r="AL1179" s="7"/>
      <c r="AM1179" s="7"/>
      <c r="AN1179" s="7"/>
    </row>
    <row r="1180" spans="1:40" customFormat="1" ht="14.25" customHeight="1">
      <c r="A1180" s="116" t="s">
        <v>2854</v>
      </c>
      <c r="B1180" s="9">
        <v>24.8</v>
      </c>
      <c r="C1180" s="1" t="s">
        <v>1166</v>
      </c>
      <c r="D1180" s="184"/>
      <c r="E1180" s="184"/>
      <c r="F1180" s="188"/>
      <c r="G1180" s="188"/>
      <c r="H1180" s="184"/>
      <c r="I1180" s="184"/>
      <c r="J1180" s="188"/>
      <c r="K1180" s="188"/>
      <c r="L1180" s="3"/>
      <c r="M1180" s="3"/>
      <c r="N1180" s="184">
        <v>3</v>
      </c>
      <c r="O1180" s="7">
        <v>1.1000000000000001</v>
      </c>
      <c r="P1180" s="183">
        <f t="shared" si="49"/>
        <v>3.3000000000000003</v>
      </c>
      <c r="Q1180" s="9"/>
      <c r="R1180" s="7"/>
      <c r="S1180" s="126"/>
      <c r="T1180" s="126"/>
      <c r="U1180" s="237"/>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2855</v>
      </c>
      <c r="B1181" s="9">
        <v>21.8</v>
      </c>
      <c r="C1181" s="7" t="s">
        <v>1167</v>
      </c>
      <c r="D1181" s="183"/>
      <c r="E1181" s="183"/>
      <c r="F1181" s="188"/>
      <c r="G1181" s="188"/>
      <c r="H1181" s="183"/>
      <c r="I1181" s="183"/>
      <c r="J1181" s="188"/>
      <c r="K1181" s="188"/>
      <c r="L1181" s="9"/>
      <c r="M1181" s="9"/>
      <c r="N1181" s="183">
        <v>3</v>
      </c>
      <c r="O1181" s="7">
        <v>0.95</v>
      </c>
      <c r="P1181" s="183">
        <f t="shared" si="49"/>
        <v>2.8499999999999996</v>
      </c>
      <c r="Q1181" s="9"/>
      <c r="R1181" s="7"/>
      <c r="S1181" s="126"/>
      <c r="T1181" s="126"/>
      <c r="U1181" s="237"/>
      <c r="V1181" s="103"/>
      <c r="W1181" s="9"/>
      <c r="X1181" s="9"/>
      <c r="Y1181" s="9"/>
      <c r="Z1181" s="9"/>
      <c r="AA1181" s="126"/>
      <c r="AB1181" s="9"/>
      <c r="AC1181" s="9"/>
      <c r="AD1181" s="9"/>
      <c r="AE1181" s="9"/>
      <c r="AF1181" s="9"/>
      <c r="AG1181" s="9"/>
      <c r="AH1181" s="9"/>
      <c r="AI1181" s="9"/>
      <c r="AJ1181" s="7"/>
      <c r="AK1181" s="7"/>
      <c r="AL1181" s="7"/>
      <c r="AM1181" s="7"/>
      <c r="AN1181" s="7"/>
    </row>
    <row r="1182" spans="1:40" customFormat="1" ht="14.25" customHeight="1">
      <c r="A1182" s="116" t="s">
        <v>2856</v>
      </c>
      <c r="B1182" s="9">
        <v>23.7</v>
      </c>
      <c r="C1182" s="7" t="s">
        <v>1168</v>
      </c>
      <c r="D1182" s="183"/>
      <c r="E1182" s="183"/>
      <c r="F1182" s="188"/>
      <c r="G1182" s="188"/>
      <c r="H1182" s="183"/>
      <c r="I1182" s="183"/>
      <c r="J1182" s="188"/>
      <c r="K1182" s="188"/>
      <c r="L1182" s="9"/>
      <c r="M1182" s="9"/>
      <c r="N1182" s="183">
        <v>3</v>
      </c>
      <c r="O1182" s="7">
        <v>0.95</v>
      </c>
      <c r="P1182" s="183">
        <f t="shared" si="49"/>
        <v>2.8499999999999996</v>
      </c>
      <c r="Q1182" s="9"/>
      <c r="R1182" s="7"/>
      <c r="S1182" s="126"/>
      <c r="T1182" s="126"/>
      <c r="U1182" s="237"/>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2857</v>
      </c>
      <c r="B1183" s="9">
        <v>19.3</v>
      </c>
      <c r="C1183" s="211" t="s">
        <v>1234</v>
      </c>
      <c r="D1183" s="183"/>
      <c r="E1183" s="183"/>
      <c r="F1183" s="188"/>
      <c r="G1183" s="188"/>
      <c r="H1183" s="183"/>
      <c r="I1183" s="183"/>
      <c r="J1183" s="188"/>
      <c r="K1183" s="188"/>
      <c r="L1183" s="9"/>
      <c r="M1183" s="9"/>
      <c r="N1183" s="183">
        <v>3</v>
      </c>
      <c r="O1183" s="7">
        <v>1.39</v>
      </c>
      <c r="P1183" s="183">
        <f t="shared" si="49"/>
        <v>4.17</v>
      </c>
      <c r="Q1183" s="9"/>
      <c r="R1183" s="7"/>
      <c r="S1183" s="126"/>
      <c r="T1183" s="126"/>
      <c r="U1183" s="237"/>
      <c r="V1183" s="103"/>
      <c r="W1183" s="9"/>
      <c r="X1183" s="9"/>
      <c r="Y1183" s="9"/>
      <c r="Z1183" s="9"/>
      <c r="AA1183" s="126"/>
      <c r="AB1183" s="9"/>
      <c r="AC1183" s="9"/>
      <c r="AD1183" s="9"/>
      <c r="AE1183" s="9"/>
      <c r="AF1183" s="9"/>
      <c r="AG1183" s="9"/>
      <c r="AH1183" s="9"/>
      <c r="AI1183" s="9"/>
      <c r="AJ1183" s="211" t="s">
        <v>1234</v>
      </c>
      <c r="AK1183" s="7"/>
      <c r="AL1183" s="7"/>
      <c r="AM1183" s="7"/>
      <c r="AN1183" s="7"/>
    </row>
    <row r="1184" spans="1:40" customFormat="1" ht="14.25" customHeight="1">
      <c r="A1184" s="116" t="s">
        <v>2858</v>
      </c>
      <c r="B1184" s="9">
        <v>18.8</v>
      </c>
      <c r="C1184" s="7" t="s">
        <v>1235</v>
      </c>
      <c r="D1184" s="183"/>
      <c r="E1184" s="183"/>
      <c r="F1184" s="188"/>
      <c r="G1184" s="188"/>
      <c r="H1184" s="183"/>
      <c r="I1184" s="183"/>
      <c r="J1184" s="188"/>
      <c r="K1184" s="188"/>
      <c r="L1184" s="9"/>
      <c r="M1184" s="9"/>
      <c r="N1184" s="183">
        <v>3</v>
      </c>
      <c r="O1184" s="7">
        <v>1.3</v>
      </c>
      <c r="P1184" s="183">
        <f t="shared" si="49"/>
        <v>3.9000000000000004</v>
      </c>
      <c r="Q1184" s="9"/>
      <c r="R1184" s="7"/>
      <c r="S1184" s="126"/>
      <c r="T1184" s="126"/>
      <c r="U1184" s="237"/>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2859</v>
      </c>
      <c r="B1185" s="9">
        <v>17.8</v>
      </c>
      <c r="C1185" s="7" t="s">
        <v>1361</v>
      </c>
      <c r="D1185" s="183"/>
      <c r="E1185" s="183"/>
      <c r="F1185" s="188"/>
      <c r="G1185" s="188"/>
      <c r="H1185" s="183"/>
      <c r="I1185" s="183"/>
      <c r="J1185" s="188"/>
      <c r="K1185" s="188"/>
      <c r="L1185" s="9"/>
      <c r="M1185" s="9"/>
      <c r="N1185" s="183">
        <v>3</v>
      </c>
      <c r="O1185" s="7">
        <v>1.3</v>
      </c>
      <c r="P1185" s="183">
        <f t="shared" si="49"/>
        <v>3.9000000000000004</v>
      </c>
      <c r="Q1185" s="9"/>
      <c r="R1185" s="7"/>
      <c r="S1185" s="126"/>
      <c r="T1185" s="126"/>
      <c r="U1185" s="237"/>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2860</v>
      </c>
      <c r="B1186" s="9">
        <v>24.8</v>
      </c>
      <c r="C1186" s="7" t="s">
        <v>1233</v>
      </c>
      <c r="D1186" s="183"/>
      <c r="E1186" s="183"/>
      <c r="F1186" s="188"/>
      <c r="G1186" s="188"/>
      <c r="H1186" s="183"/>
      <c r="I1186" s="183"/>
      <c r="J1186" s="188"/>
      <c r="K1186" s="188"/>
      <c r="L1186" s="9"/>
      <c r="M1186" s="9"/>
      <c r="N1186" s="183">
        <v>3</v>
      </c>
      <c r="O1186" s="7">
        <v>1.3</v>
      </c>
      <c r="P1186" s="183">
        <f t="shared" si="49"/>
        <v>3.9000000000000004</v>
      </c>
      <c r="Q1186" s="9"/>
      <c r="R1186" s="7"/>
      <c r="S1186" s="126"/>
      <c r="T1186" s="126"/>
      <c r="U1186" s="237"/>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25" t="s">
        <v>3052</v>
      </c>
      <c r="B1187" s="9">
        <v>33</v>
      </c>
      <c r="C1187" s="211" t="s">
        <v>1471</v>
      </c>
      <c r="D1187" s="183"/>
      <c r="E1187" s="183"/>
      <c r="F1187" s="188"/>
      <c r="G1187" s="188"/>
      <c r="H1187" s="183"/>
      <c r="I1187" s="183"/>
      <c r="J1187" s="188"/>
      <c r="K1187" s="188"/>
      <c r="L1187" s="9"/>
      <c r="M1187" s="9"/>
      <c r="N1187" s="183">
        <v>3</v>
      </c>
      <c r="O1187" s="7">
        <v>2.15</v>
      </c>
      <c r="P1187" s="183">
        <f t="shared" si="49"/>
        <v>6.4499999999999993</v>
      </c>
      <c r="Q1187" s="9"/>
      <c r="R1187" s="7"/>
      <c r="S1187" s="126"/>
      <c r="T1187" s="126"/>
      <c r="U1187" s="237"/>
      <c r="V1187" s="103"/>
      <c r="W1187" s="9"/>
      <c r="X1187" s="9"/>
      <c r="Y1187" s="9"/>
      <c r="Z1187" s="9"/>
      <c r="AA1187" s="126"/>
      <c r="AB1187" s="9"/>
      <c r="AC1187" s="9"/>
      <c r="AD1187" s="9"/>
      <c r="AE1187" s="9"/>
      <c r="AF1187" s="9"/>
      <c r="AG1187" s="9"/>
      <c r="AH1187" s="9"/>
      <c r="AI1187" s="9"/>
      <c r="AJ1187" s="211" t="s">
        <v>1471</v>
      </c>
      <c r="AK1187" s="7"/>
      <c r="AL1187" s="7"/>
      <c r="AM1187" s="7"/>
      <c r="AN1187" s="7"/>
    </row>
    <row r="1188" spans="1:40" customFormat="1" ht="14.25" customHeight="1">
      <c r="A1188" s="125" t="s">
        <v>3053</v>
      </c>
      <c r="B1188" s="9">
        <v>33</v>
      </c>
      <c r="C1188" s="131" t="s">
        <v>3295</v>
      </c>
      <c r="D1188" s="183"/>
      <c r="E1188" s="183"/>
      <c r="F1188" s="188"/>
      <c r="G1188" s="188"/>
      <c r="H1188" s="183"/>
      <c r="I1188" s="183"/>
      <c r="J1188" s="188"/>
      <c r="K1188" s="188"/>
      <c r="L1188" s="9"/>
      <c r="M1188" s="9"/>
      <c r="N1188" s="183">
        <v>3</v>
      </c>
      <c r="O1188" s="7">
        <v>2.15</v>
      </c>
      <c r="P1188" s="183">
        <f t="shared" si="49"/>
        <v>6.4499999999999993</v>
      </c>
      <c r="Q1188" s="9"/>
      <c r="R1188" s="7"/>
      <c r="S1188" s="126"/>
      <c r="T1188" s="126"/>
      <c r="U1188" s="237"/>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25" t="s">
        <v>3054</v>
      </c>
      <c r="B1189" s="9">
        <v>33</v>
      </c>
      <c r="C1189" s="7" t="s">
        <v>1472</v>
      </c>
      <c r="D1189" s="183"/>
      <c r="E1189" s="183"/>
      <c r="F1189" s="188"/>
      <c r="G1189" s="188"/>
      <c r="H1189" s="183"/>
      <c r="I1189" s="183"/>
      <c r="J1189" s="188"/>
      <c r="K1189" s="188"/>
      <c r="L1189" s="9"/>
      <c r="M1189" s="9"/>
      <c r="N1189" s="183">
        <v>3</v>
      </c>
      <c r="O1189" s="7">
        <v>2.15</v>
      </c>
      <c r="P1189" s="183">
        <f t="shared" si="49"/>
        <v>6.4499999999999993</v>
      </c>
      <c r="Q1189" s="9"/>
      <c r="R1189" s="7"/>
      <c r="S1189" s="126"/>
      <c r="T1189" s="126"/>
      <c r="U1189" s="237"/>
      <c r="V1189" s="103"/>
      <c r="W1189" s="9"/>
      <c r="X1189" s="9"/>
      <c r="Y1189" s="9"/>
      <c r="Z1189" s="9"/>
      <c r="AA1189" s="126"/>
      <c r="AB1189" s="9"/>
      <c r="AC1189" s="9"/>
      <c r="AD1189" s="9"/>
      <c r="AE1189" s="9"/>
      <c r="AF1189" s="9"/>
      <c r="AG1189" s="9"/>
      <c r="AH1189" s="9"/>
      <c r="AI1189" s="9"/>
      <c r="AJ1189" s="7"/>
      <c r="AK1189" s="7"/>
      <c r="AL1189" s="7"/>
      <c r="AM1189" s="7"/>
      <c r="AN1189" s="7"/>
    </row>
    <row r="1190" spans="1:40" customFormat="1" ht="14.25" customHeight="1">
      <c r="A1190" s="125" t="s">
        <v>3055</v>
      </c>
      <c r="B1190" s="9">
        <v>33</v>
      </c>
      <c r="C1190" s="7" t="s">
        <v>1473</v>
      </c>
      <c r="D1190" s="183"/>
      <c r="E1190" s="183"/>
      <c r="F1190" s="188"/>
      <c r="G1190" s="188"/>
      <c r="H1190" s="183"/>
      <c r="I1190" s="183"/>
      <c r="J1190" s="188"/>
      <c r="K1190" s="188"/>
      <c r="L1190" s="9"/>
      <c r="M1190" s="9"/>
      <c r="N1190" s="183">
        <v>3</v>
      </c>
      <c r="O1190" s="7">
        <v>2.15</v>
      </c>
      <c r="P1190" s="183">
        <f t="shared" si="49"/>
        <v>6.4499999999999993</v>
      </c>
      <c r="Q1190" s="9"/>
      <c r="R1190" s="7"/>
      <c r="S1190" s="126"/>
      <c r="T1190" s="126"/>
      <c r="U1190" s="237"/>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25" t="s">
        <v>3056</v>
      </c>
      <c r="B1191" s="9">
        <v>33</v>
      </c>
      <c r="C1191" s="7" t="s">
        <v>1363</v>
      </c>
      <c r="D1191" s="183"/>
      <c r="E1191" s="183"/>
      <c r="F1191" s="188"/>
      <c r="G1191" s="188"/>
      <c r="H1191" s="183"/>
      <c r="I1191" s="183"/>
      <c r="J1191" s="188"/>
      <c r="K1191" s="188"/>
      <c r="L1191" s="9"/>
      <c r="M1191" s="9"/>
      <c r="N1191" s="183">
        <v>3</v>
      </c>
      <c r="O1191" s="7">
        <v>2.15</v>
      </c>
      <c r="P1191" s="183">
        <f>N1191*O1191</f>
        <v>6.4499999999999993</v>
      </c>
      <c r="Q1191" s="9"/>
      <c r="R1191" s="7"/>
      <c r="S1191" s="126"/>
      <c r="T1191" s="126"/>
      <c r="U1191" s="237"/>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48" t="s">
        <v>3368</v>
      </c>
      <c r="B1192" s="9">
        <v>18.899999999999999</v>
      </c>
      <c r="C1192" s="198" t="s">
        <v>5950</v>
      </c>
      <c r="D1192" s="183"/>
      <c r="E1192" s="183"/>
      <c r="F1192" s="188"/>
      <c r="G1192" s="188"/>
      <c r="H1192" s="183"/>
      <c r="I1192" s="183"/>
      <c r="J1192" s="188"/>
      <c r="K1192" s="188"/>
      <c r="L1192" s="9"/>
      <c r="M1192" s="9"/>
      <c r="N1192" s="183">
        <v>5</v>
      </c>
      <c r="O1192" s="7">
        <v>1.1000000000000001</v>
      </c>
      <c r="P1192" s="9"/>
      <c r="Q1192" s="9"/>
      <c r="R1192" s="7"/>
      <c r="S1192" s="126"/>
      <c r="T1192" s="126"/>
      <c r="U1192" s="237"/>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48" t="s">
        <v>3628</v>
      </c>
      <c r="B1193" s="9">
        <v>13.9</v>
      </c>
      <c r="C1193" s="198" t="s">
        <v>5948</v>
      </c>
      <c r="D1193" s="186"/>
      <c r="E1193" s="186"/>
      <c r="F1193" s="188"/>
      <c r="G1193" s="188"/>
      <c r="H1193" s="186"/>
      <c r="I1193" s="186"/>
      <c r="J1193" s="188"/>
      <c r="K1193" s="188"/>
      <c r="L1193" s="168"/>
      <c r="M1193" s="168"/>
      <c r="N1193" s="186">
        <v>10</v>
      </c>
      <c r="O1193" s="7">
        <v>0.39</v>
      </c>
      <c r="P1193" s="9"/>
      <c r="Q1193" s="9"/>
      <c r="R1193" s="7"/>
      <c r="S1193" s="126"/>
      <c r="T1193" s="126"/>
      <c r="U1193" s="237"/>
      <c r="V1193" s="103"/>
      <c r="W1193" s="9"/>
      <c r="X1193" s="9"/>
      <c r="Y1193" s="9"/>
      <c r="Z1193" s="9"/>
      <c r="AA1193" s="126"/>
      <c r="AB1193" s="9"/>
      <c r="AC1193" s="9"/>
      <c r="AD1193" s="9"/>
      <c r="AE1193" s="9"/>
      <c r="AF1193" s="9"/>
      <c r="AG1193" s="9"/>
      <c r="AH1193" s="9"/>
      <c r="AI1193" s="9"/>
      <c r="AJ1193" s="7"/>
      <c r="AK1193" s="7"/>
      <c r="AL1193" s="7"/>
      <c r="AM1193" s="7"/>
      <c r="AN1193" s="7"/>
    </row>
    <row r="1194" spans="1:40" customFormat="1" ht="14.25" customHeight="1">
      <c r="A1194" s="147" t="s">
        <v>3630</v>
      </c>
      <c r="B1194" s="9">
        <v>10</v>
      </c>
      <c r="C1194" s="198" t="s">
        <v>5928</v>
      </c>
      <c r="D1194" s="186"/>
      <c r="E1194" s="186"/>
      <c r="F1194" s="188"/>
      <c r="G1194" s="188"/>
      <c r="H1194" s="186"/>
      <c r="I1194" s="186"/>
      <c r="J1194" s="188"/>
      <c r="K1194" s="188"/>
      <c r="L1194" s="168"/>
      <c r="M1194" s="168"/>
      <c r="N1194" s="186">
        <v>6</v>
      </c>
      <c r="O1194" s="7">
        <v>0.3</v>
      </c>
      <c r="P1194" s="9"/>
      <c r="Q1194" s="9"/>
      <c r="R1194" s="7"/>
      <c r="S1194" s="126"/>
      <c r="T1194" s="126"/>
      <c r="U1194" s="237"/>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47" t="s">
        <v>3639</v>
      </c>
      <c r="B1195" s="121">
        <f>9.5/6</f>
        <v>1.5833333333333333</v>
      </c>
      <c r="C1195" s="198" t="s">
        <v>5929</v>
      </c>
      <c r="D1195" s="183"/>
      <c r="E1195" s="183"/>
      <c r="F1195" s="188"/>
      <c r="G1195" s="188"/>
      <c r="H1195" s="183"/>
      <c r="I1195" s="183"/>
      <c r="J1195" s="188"/>
      <c r="K1195" s="188"/>
      <c r="L1195" s="9"/>
      <c r="M1195" s="9"/>
      <c r="N1195" s="183">
        <v>100</v>
      </c>
      <c r="O1195" s="7">
        <v>0.04</v>
      </c>
      <c r="P1195" s="9"/>
      <c r="Q1195" s="9"/>
      <c r="R1195" s="7"/>
      <c r="S1195" s="126"/>
      <c r="T1195" s="126"/>
      <c r="U1195" s="237"/>
      <c r="V1195" s="103"/>
      <c r="W1195" s="9"/>
      <c r="X1195" s="9"/>
      <c r="Y1195" s="9"/>
      <c r="Z1195" s="9"/>
      <c r="AA1195" s="126"/>
      <c r="AB1195" s="9"/>
      <c r="AC1195" s="9"/>
      <c r="AD1195" s="9"/>
      <c r="AE1195" s="9"/>
      <c r="AF1195" s="9"/>
      <c r="AG1195" s="9"/>
      <c r="AH1195" s="9"/>
      <c r="AI1195" s="9"/>
      <c r="AJ1195" s="7"/>
      <c r="AK1195" s="7"/>
      <c r="AL1195" s="7"/>
      <c r="AM1195" s="7"/>
      <c r="AN1195"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zoomScaleNormal="100" workbookViewId="0">
      <selection activeCell="E6" sqref="E6"/>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12" sqref="B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6187</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2020-03-20T11:43:04Z</dcterms:modified>
</cp:coreProperties>
</file>