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5"/>
  </bookViews>
  <sheets>
    <sheet name="ro-cat" sheetId="66" r:id="rId1"/>
    <sheet name="ro-cat-list" sheetId="67" r:id="rId2"/>
    <sheet name="ro-pic" sheetId="68" r:id="rId3"/>
    <sheet name="bsku" sheetId="65" r:id="rId4"/>
    <sheet name="F-In" sheetId="72" r:id="rId5"/>
    <sheet name="wk" sheetId="70" r:id="rId6"/>
    <sheet name="wk0" sheetId="71" r:id="rId7"/>
    <sheet name="QT2進" sheetId="59" r:id="rId8"/>
    <sheet name="bsku-cat" sheetId="60" r:id="rId9"/>
    <sheet name="pack" sheetId="62" r:id="rId10"/>
    <sheet name="B4" sheetId="57" r:id="rId11"/>
    <sheet name="RO" sheetId="63" r:id="rId12"/>
    <sheet name="EE" sheetId="61" r:id="rId13"/>
    <sheet name="QT2" sheetId="64" r:id="rId14"/>
    <sheet name="RO進" sheetId="2" r:id="rId15"/>
    <sheet name="xB4" sheetId="58" r:id="rId16"/>
  </sheets>
  <definedNames>
    <definedName name="sale_amount_by_date">#REF!</definedName>
    <definedName name="sale_amount_by_date_10">#REF!</definedName>
    <definedName name="sale_amount_by_date_3">#REF!</definedName>
    <definedName name="sale_amount_by_date_4">#REF!</definedName>
    <definedName name="sale_amount_by_month">#REF!</definedName>
    <definedName name="sale_amount_by_month_10">#REF!</definedName>
    <definedName name="sale_amount_by_month_3">#REF!</definedName>
    <definedName name="sale_amount_by_month_4">#REF!</definedName>
  </definedNames>
  <calcPr calcId="144525"/>
</workbook>
</file>

<file path=xl/calcChain.xml><?xml version="1.0" encoding="utf-8"?>
<calcChain xmlns="http://schemas.openxmlformats.org/spreadsheetml/2006/main">
  <c r="AG111" i="70" l="1"/>
  <c r="AG112" i="70"/>
  <c r="AG113" i="70"/>
  <c r="AG114" i="70"/>
  <c r="AG115" i="70"/>
  <c r="AG116" i="70"/>
  <c r="AG117" i="70"/>
  <c r="AG118" i="70"/>
  <c r="AG119" i="70"/>
  <c r="AG120" i="70"/>
  <c r="AG121" i="70"/>
  <c r="AG122" i="70"/>
  <c r="AG123" i="70"/>
  <c r="AG124" i="70"/>
  <c r="AG125" i="70"/>
  <c r="AG126" i="70"/>
  <c r="AG110" i="70"/>
  <c r="AA130" i="70"/>
  <c r="AA129" i="70"/>
  <c r="P117" i="70"/>
  <c r="B68" i="70" l="1"/>
  <c r="B66" i="70"/>
  <c r="F660" i="59"/>
  <c r="C36" i="72" l="1"/>
  <c r="C35" i="72"/>
  <c r="C34" i="72"/>
  <c r="O59" i="72" l="1"/>
  <c r="P59" i="72"/>
  <c r="Q59" i="72"/>
  <c r="R59" i="72"/>
  <c r="S59" i="72"/>
  <c r="T59" i="72"/>
  <c r="U59" i="72"/>
  <c r="V59" i="72"/>
  <c r="W59" i="72"/>
  <c r="N59" i="72"/>
  <c r="R1" i="70"/>
  <c r="L59" i="72"/>
  <c r="K59" i="72"/>
  <c r="J59" i="72"/>
  <c r="I59" i="72"/>
  <c r="F59" i="72"/>
  <c r="E59" i="72"/>
  <c r="D59" i="72"/>
  <c r="C59" i="72"/>
  <c r="Q55" i="72"/>
  <c r="Q54" i="72"/>
  <c r="T53" i="72"/>
  <c r="Q51" i="72"/>
  <c r="Q48" i="72"/>
  <c r="Q47" i="72"/>
  <c r="W42" i="72"/>
  <c r="V42" i="72"/>
  <c r="U42" i="72"/>
  <c r="T42" i="72"/>
  <c r="S42" i="72"/>
  <c r="R42" i="72"/>
  <c r="Q42" i="72"/>
  <c r="P42" i="72"/>
  <c r="O42" i="72"/>
  <c r="N42" i="72"/>
  <c r="G42" i="72"/>
  <c r="G59" i="72" s="1"/>
  <c r="W32" i="72"/>
  <c r="Q32" i="72"/>
  <c r="Q60" i="72" s="1"/>
  <c r="G32" i="72"/>
  <c r="L31" i="72"/>
  <c r="C27" i="72"/>
  <c r="L26" i="72"/>
  <c r="K26" i="72"/>
  <c r="J26" i="72"/>
  <c r="I26" i="72"/>
  <c r="F26" i="72"/>
  <c r="E26" i="72"/>
  <c r="D26" i="72"/>
  <c r="C26" i="72"/>
  <c r="V25" i="72"/>
  <c r="U25" i="72"/>
  <c r="T25" i="72"/>
  <c r="S25" i="72"/>
  <c r="R25" i="72"/>
  <c r="P25" i="72"/>
  <c r="O25" i="72"/>
  <c r="N25" i="72"/>
  <c r="L25" i="72"/>
  <c r="K25" i="72"/>
  <c r="J25" i="72"/>
  <c r="I25" i="72"/>
  <c r="C25" i="72"/>
  <c r="V24" i="72"/>
  <c r="U24" i="72"/>
  <c r="T24" i="72"/>
  <c r="S24" i="72"/>
  <c r="R24" i="72"/>
  <c r="P24" i="72"/>
  <c r="O24" i="72"/>
  <c r="N24" i="72"/>
  <c r="L24" i="72"/>
  <c r="K24" i="72"/>
  <c r="J24" i="72"/>
  <c r="I24" i="72"/>
  <c r="F24" i="72"/>
  <c r="E24" i="72"/>
  <c r="D24" i="72"/>
  <c r="C24" i="72"/>
  <c r="R23" i="72"/>
  <c r="P23" i="72"/>
  <c r="O23" i="72"/>
  <c r="N23" i="72"/>
  <c r="L23" i="72"/>
  <c r="K23" i="72"/>
  <c r="J23" i="72"/>
  <c r="I23" i="72"/>
  <c r="F23" i="72"/>
  <c r="E23" i="72"/>
  <c r="D23" i="72"/>
  <c r="C23" i="72"/>
  <c r="V22" i="72"/>
  <c r="U22" i="72"/>
  <c r="U32" i="72" s="1"/>
  <c r="U60" i="72" s="1"/>
  <c r="T22" i="72"/>
  <c r="S22" i="72"/>
  <c r="S32" i="72" s="1"/>
  <c r="S60" i="72" s="1"/>
  <c r="R22" i="72"/>
  <c r="P22" i="72"/>
  <c r="P32" i="72" s="1"/>
  <c r="P60" i="72" s="1"/>
  <c r="O22" i="72"/>
  <c r="N22" i="72"/>
  <c r="N32" i="72" s="1"/>
  <c r="N60" i="72" s="1"/>
  <c r="L22" i="72"/>
  <c r="K22" i="72"/>
  <c r="K32" i="72" s="1"/>
  <c r="K60" i="72" s="1"/>
  <c r="J22" i="72"/>
  <c r="I22" i="72"/>
  <c r="I32" i="72" s="1"/>
  <c r="I60" i="72" s="1"/>
  <c r="F22" i="72"/>
  <c r="E22" i="72"/>
  <c r="E32" i="72" s="1"/>
  <c r="E60" i="72" s="1"/>
  <c r="D22" i="72"/>
  <c r="C22" i="72"/>
  <c r="C32" i="72" s="1"/>
  <c r="W20" i="72"/>
  <c r="V20" i="72"/>
  <c r="U20" i="72"/>
  <c r="W19" i="72"/>
  <c r="V19" i="72"/>
  <c r="U19" i="72"/>
  <c r="T19" i="72"/>
  <c r="S19" i="72"/>
  <c r="R19" i="72"/>
  <c r="P19" i="72"/>
  <c r="O19" i="72"/>
  <c r="N19" i="72"/>
  <c r="L19" i="72"/>
  <c r="K19" i="72"/>
  <c r="J19" i="72"/>
  <c r="I19" i="72"/>
  <c r="G19" i="72"/>
  <c r="F19" i="72"/>
  <c r="E19" i="72"/>
  <c r="D19" i="72"/>
  <c r="C19" i="72"/>
  <c r="W18" i="72"/>
  <c r="G18" i="72"/>
  <c r="U17" i="72"/>
  <c r="T17" i="72"/>
  <c r="U16" i="72"/>
  <c r="T16" i="72"/>
  <c r="S16" i="72"/>
  <c r="O16" i="72"/>
  <c r="U15" i="72"/>
  <c r="T15" i="72"/>
  <c r="S15" i="72"/>
  <c r="W14" i="72"/>
  <c r="G14" i="72"/>
  <c r="W13" i="72"/>
  <c r="G13" i="72"/>
  <c r="W12" i="72"/>
  <c r="V12" i="72"/>
  <c r="U12" i="72"/>
  <c r="T12" i="72"/>
  <c r="S12" i="72"/>
  <c r="R12" i="72"/>
  <c r="P12" i="72"/>
  <c r="O12" i="72"/>
  <c r="N12" i="72"/>
  <c r="L12" i="72"/>
  <c r="K12" i="72"/>
  <c r="J12" i="72"/>
  <c r="I12" i="72"/>
  <c r="G12" i="72"/>
  <c r="F12" i="72"/>
  <c r="E12" i="72"/>
  <c r="D12" i="72"/>
  <c r="C12" i="72"/>
  <c r="W11" i="72"/>
  <c r="V11" i="72"/>
  <c r="U11" i="72"/>
  <c r="T11" i="72"/>
  <c r="S11" i="72"/>
  <c r="R11" i="72"/>
  <c r="P11" i="72"/>
  <c r="O11" i="72"/>
  <c r="N11" i="72"/>
  <c r="L11" i="72"/>
  <c r="K11" i="72"/>
  <c r="J11" i="72"/>
  <c r="I11" i="72"/>
  <c r="G11" i="72"/>
  <c r="F11" i="72"/>
  <c r="E11" i="72"/>
  <c r="D11" i="72"/>
  <c r="C11" i="72"/>
  <c r="W10" i="72"/>
  <c r="V10" i="72"/>
  <c r="U10" i="72"/>
  <c r="T10" i="72"/>
  <c r="S10" i="72"/>
  <c r="R10" i="72"/>
  <c r="P10" i="72"/>
  <c r="O10" i="72"/>
  <c r="N10" i="72"/>
  <c r="L10" i="72"/>
  <c r="K10" i="72"/>
  <c r="J10" i="72"/>
  <c r="I10" i="72"/>
  <c r="G10" i="72"/>
  <c r="G21" i="72" s="1"/>
  <c r="F10" i="72"/>
  <c r="E10" i="72"/>
  <c r="D10" i="72"/>
  <c r="C10" i="72"/>
  <c r="V9" i="72"/>
  <c r="U9" i="72"/>
  <c r="T9" i="72"/>
  <c r="S9" i="72"/>
  <c r="R9" i="72"/>
  <c r="P9" i="72"/>
  <c r="O9" i="72"/>
  <c r="N9" i="72"/>
  <c r="L9" i="72"/>
  <c r="K9" i="72"/>
  <c r="J9" i="72"/>
  <c r="I9" i="72"/>
  <c r="F9" i="72"/>
  <c r="E9" i="72"/>
  <c r="D9" i="72"/>
  <c r="C9" i="72"/>
  <c r="V6" i="72"/>
  <c r="U6" i="72"/>
  <c r="T6" i="72"/>
  <c r="S6" i="72"/>
  <c r="R6" i="72"/>
  <c r="Q6" i="72"/>
  <c r="P6" i="72"/>
  <c r="O6" i="72"/>
  <c r="N6" i="72"/>
  <c r="L6" i="72"/>
  <c r="K6" i="72"/>
  <c r="J6" i="72"/>
  <c r="I6" i="72"/>
  <c r="F6" i="72"/>
  <c r="E6" i="72"/>
  <c r="D6" i="72"/>
  <c r="C6" i="72"/>
  <c r="Q3" i="72"/>
  <c r="Q19" i="72" s="1"/>
  <c r="P54" i="70" l="1"/>
  <c r="Q54" i="70" s="1"/>
  <c r="R54" i="70" s="1"/>
  <c r="P58" i="70"/>
  <c r="Q58" i="70" s="1"/>
  <c r="R58" i="70" s="1"/>
  <c r="P53" i="70"/>
  <c r="Q53" i="70" s="1"/>
  <c r="R53" i="70" s="1"/>
  <c r="P57" i="70"/>
  <c r="Q57" i="70" s="1"/>
  <c r="R57" i="70" s="1"/>
  <c r="P59" i="70"/>
  <c r="Q59" i="70" s="1"/>
  <c r="R59" i="70" s="1"/>
  <c r="P51" i="70"/>
  <c r="Q51" i="70" s="1"/>
  <c r="R51" i="70" s="1"/>
  <c r="P52" i="70"/>
  <c r="Q52" i="70" s="1"/>
  <c r="R52" i="70" s="1"/>
  <c r="P56" i="70"/>
  <c r="Q56" i="70" s="1"/>
  <c r="R56" i="70" s="1"/>
  <c r="P60" i="70"/>
  <c r="Q60" i="70" s="1"/>
  <c r="R60" i="70" s="1"/>
  <c r="C60" i="72"/>
  <c r="W21" i="72"/>
  <c r="D32" i="72"/>
  <c r="D60" i="72" s="1"/>
  <c r="F32" i="72"/>
  <c r="F60" i="72" s="1"/>
  <c r="J32" i="72"/>
  <c r="J60" i="72" s="1"/>
  <c r="L32" i="72"/>
  <c r="L60" i="72" s="1"/>
  <c r="O32" i="72"/>
  <c r="R32" i="72"/>
  <c r="R60" i="72" s="1"/>
  <c r="T32" i="72"/>
  <c r="V32" i="72"/>
  <c r="V60" i="72" s="1"/>
  <c r="O60" i="72"/>
  <c r="G60" i="72"/>
  <c r="G61" i="72" s="1"/>
  <c r="G62" i="72" s="1"/>
  <c r="W60" i="72"/>
  <c r="W61" i="72" s="1"/>
  <c r="W62" i="72" s="1"/>
  <c r="Q10" i="72"/>
  <c r="Q12" i="72"/>
  <c r="Q13" i="72"/>
  <c r="C18" i="72"/>
  <c r="C21" i="72" s="1"/>
  <c r="C61" i="72" s="1"/>
  <c r="C62" i="72" s="1"/>
  <c r="E18" i="72"/>
  <c r="E21" i="72" s="1"/>
  <c r="E61" i="72" s="1"/>
  <c r="E62" i="72" s="1"/>
  <c r="J18" i="72"/>
  <c r="J21" i="72" s="1"/>
  <c r="J61" i="72" s="1"/>
  <c r="J62" i="72" s="1"/>
  <c r="L18" i="72"/>
  <c r="L21" i="72" s="1"/>
  <c r="L61" i="72" s="1"/>
  <c r="L62" i="72" s="1"/>
  <c r="O18" i="72"/>
  <c r="O21" i="72" s="1"/>
  <c r="Q18" i="72"/>
  <c r="S18" i="72"/>
  <c r="S21" i="72" s="1"/>
  <c r="S61" i="72" s="1"/>
  <c r="S62" i="72" s="1"/>
  <c r="U18" i="72"/>
  <c r="U21" i="72" s="1"/>
  <c r="U61" i="72" s="1"/>
  <c r="U62" i="72" s="1"/>
  <c r="Q20" i="72"/>
  <c r="Q11" i="72"/>
  <c r="Q14" i="72"/>
  <c r="D18" i="72"/>
  <c r="D21" i="72" s="1"/>
  <c r="F18" i="72"/>
  <c r="F21" i="72" s="1"/>
  <c r="F61" i="72" s="1"/>
  <c r="F62" i="72" s="1"/>
  <c r="I18" i="72"/>
  <c r="I21" i="72" s="1"/>
  <c r="I61" i="72" s="1"/>
  <c r="I62" i="72" s="1"/>
  <c r="K18" i="72"/>
  <c r="K21" i="72" s="1"/>
  <c r="K61" i="72" s="1"/>
  <c r="K62" i="72" s="1"/>
  <c r="N18" i="72"/>
  <c r="N21" i="72" s="1"/>
  <c r="N61" i="72" s="1"/>
  <c r="N62" i="72" s="1"/>
  <c r="P18" i="72"/>
  <c r="P21" i="72" s="1"/>
  <c r="P61" i="72" s="1"/>
  <c r="P62" i="72" s="1"/>
  <c r="R18" i="72"/>
  <c r="R21" i="72" s="1"/>
  <c r="R61" i="72" s="1"/>
  <c r="R62" i="72" s="1"/>
  <c r="T18" i="72"/>
  <c r="T21" i="72" s="1"/>
  <c r="V18" i="72"/>
  <c r="V21" i="72" s="1"/>
  <c r="V61" i="72" s="1"/>
  <c r="V62" i="72" s="1"/>
  <c r="D61" i="72" l="1"/>
  <c r="D62" i="72" s="1"/>
  <c r="Q21" i="72"/>
  <c r="Q61" i="72" s="1"/>
  <c r="Q62" i="72" s="1"/>
  <c r="T60" i="72"/>
  <c r="T61" i="72" s="1"/>
  <c r="T62" i="72" s="1"/>
  <c r="O61" i="72"/>
  <c r="O62" i="72" s="1"/>
  <c r="AF45" i="70"/>
  <c r="AH45" i="70"/>
  <c r="AG45" i="70"/>
  <c r="AI45" i="70"/>
  <c r="AF46" i="70"/>
  <c r="AH46" i="70"/>
  <c r="AG46" i="70"/>
  <c r="AI46" i="70"/>
  <c r="AF47" i="70"/>
  <c r="AH47" i="70"/>
  <c r="AG47" i="70"/>
  <c r="AI47" i="70"/>
  <c r="AF48" i="70"/>
  <c r="AH48" i="70"/>
  <c r="AG48" i="70"/>
  <c r="AI48" i="70"/>
  <c r="AF49" i="70"/>
  <c r="AH49" i="70"/>
  <c r="AG49" i="70"/>
  <c r="AI49" i="70"/>
  <c r="AH44" i="70"/>
  <c r="AG44" i="70"/>
  <c r="AI44" i="70"/>
  <c r="AF44" i="70"/>
  <c r="AF41" i="70"/>
  <c r="AH41" i="70"/>
  <c r="AG41" i="70"/>
  <c r="AI41" i="70"/>
  <c r="AF42" i="70"/>
  <c r="AH42" i="70"/>
  <c r="AG42" i="70"/>
  <c r="AI42" i="70"/>
  <c r="AH40" i="70"/>
  <c r="AG40" i="70"/>
  <c r="AI40" i="70"/>
  <c r="AF40" i="70"/>
  <c r="AI38" i="70"/>
  <c r="AG38" i="70"/>
  <c r="AH38" i="70"/>
  <c r="AF38" i="70"/>
  <c r="AI37" i="70"/>
  <c r="AG37" i="70"/>
  <c r="AH37" i="70"/>
  <c r="AF37" i="70"/>
  <c r="AI36" i="70"/>
  <c r="AG36" i="70"/>
  <c r="AH36" i="70"/>
  <c r="AF36" i="70"/>
  <c r="AF33" i="70"/>
  <c r="AH33" i="70"/>
  <c r="AG33" i="70"/>
  <c r="AI33" i="70"/>
  <c r="AF34" i="70"/>
  <c r="AH34" i="70"/>
  <c r="AG34" i="70"/>
  <c r="AI34" i="70"/>
  <c r="AH32" i="70"/>
  <c r="AG32" i="70"/>
  <c r="AI32" i="70"/>
  <c r="AF32" i="70"/>
  <c r="AI29" i="70" l="1"/>
  <c r="AH29" i="70"/>
  <c r="AG29" i="70"/>
  <c r="AF29" i="70"/>
  <c r="AI28" i="70"/>
  <c r="AH28" i="70"/>
  <c r="AG28" i="70"/>
  <c r="AF28" i="70"/>
  <c r="AI30" i="70"/>
  <c r="AH30" i="70"/>
  <c r="AG30" i="70"/>
  <c r="AF30" i="70"/>
  <c r="AG27" i="70" l="1"/>
  <c r="AH27" i="70"/>
  <c r="AI27" i="70"/>
  <c r="AF27" i="70"/>
  <c r="AC19" i="70"/>
  <c r="AC17" i="70"/>
  <c r="AC18" i="70" s="1"/>
  <c r="AC7" i="70" l="1"/>
  <c r="AC11" i="70"/>
  <c r="AC12" i="70"/>
  <c r="AC10" i="70"/>
  <c r="AC13" i="70" s="1"/>
  <c r="P1102" i="70" l="1"/>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P1190" i="70"/>
  <c r="P1191" i="70"/>
  <c r="P1192" i="70"/>
  <c r="P1193" i="70"/>
  <c r="P1194" i="70"/>
  <c r="P1195" i="70"/>
  <c r="P1196" i="70"/>
  <c r="P1197" i="70"/>
  <c r="P1198" i="70"/>
  <c r="P1199" i="70"/>
  <c r="P1200"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P49" i="70" l="1"/>
  <c r="Q49" i="70" s="1"/>
  <c r="R49" i="70" s="1"/>
  <c r="P47" i="70"/>
  <c r="Q47" i="70" s="1"/>
  <c r="R47" i="70" s="1"/>
  <c r="P45" i="70"/>
  <c r="Q45" i="70" s="1"/>
  <c r="R45" i="70" s="1"/>
  <c r="P42" i="70"/>
  <c r="Q42" i="70" s="1"/>
  <c r="R42" i="70" s="1"/>
  <c r="P40" i="70"/>
  <c r="Q40" i="70" s="1"/>
  <c r="R40" i="70" s="1"/>
  <c r="P37" i="70"/>
  <c r="Q37" i="70" s="1"/>
  <c r="R37" i="70" s="1"/>
  <c r="P34" i="70"/>
  <c r="Q34" i="70" s="1"/>
  <c r="R34" i="70" s="1"/>
  <c r="P33" i="70"/>
  <c r="Q33" i="70" s="1"/>
  <c r="R33" i="70" s="1"/>
  <c r="P48" i="70"/>
  <c r="Q48" i="70" s="1"/>
  <c r="R48" i="70" s="1"/>
  <c r="P46" i="70"/>
  <c r="Q46" i="70" s="1"/>
  <c r="R46" i="70" s="1"/>
  <c r="P44" i="70"/>
  <c r="Q44" i="70" s="1"/>
  <c r="R44" i="70" s="1"/>
  <c r="P41" i="70"/>
  <c r="Q41" i="70" s="1"/>
  <c r="R41" i="70" s="1"/>
  <c r="P38" i="70"/>
  <c r="Q38" i="70" s="1"/>
  <c r="R38" i="70" s="1"/>
  <c r="P36" i="70"/>
  <c r="Q36" i="70" s="1"/>
  <c r="R36" i="70" s="1"/>
  <c r="P32" i="70"/>
  <c r="Q32" i="70" s="1"/>
  <c r="R32" i="70" s="1"/>
  <c r="P29" i="70"/>
  <c r="Q29" i="70" s="1"/>
  <c r="R29" i="70" s="1"/>
  <c r="P30" i="70"/>
  <c r="Q30" i="70" s="1"/>
  <c r="R30" i="70" s="1"/>
  <c r="P22" i="70"/>
  <c r="Q22" i="70" s="1"/>
  <c r="R22" i="70" s="1"/>
  <c r="P23" i="70"/>
  <c r="Q23" i="70" s="1"/>
  <c r="R23" i="70" s="1"/>
  <c r="P24" i="70"/>
  <c r="Q24" i="70" s="1"/>
  <c r="R24" i="70" s="1"/>
  <c r="P25" i="70"/>
  <c r="Q25" i="70" s="1"/>
  <c r="R25" i="70" s="1"/>
  <c r="P28" i="70"/>
  <c r="Q28" i="70" s="1"/>
  <c r="R28" i="70" s="1"/>
  <c r="P27" i="70"/>
  <c r="Q27" i="70" s="1"/>
  <c r="R27" i="70" s="1"/>
  <c r="P4" i="70"/>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36" i="70"/>
  <c r="H57" i="71"/>
  <c r="H52" i="71"/>
  <c r="H50" i="71"/>
  <c r="H46" i="71"/>
  <c r="O472" i="70"/>
  <c r="H43" i="71"/>
  <c r="H42" i="71"/>
  <c r="H41" i="71"/>
  <c r="H39" i="71"/>
  <c r="H34" i="71"/>
  <c r="H28" i="71"/>
  <c r="H19" i="71"/>
  <c r="H16" i="71"/>
  <c r="H13" i="71"/>
  <c r="H12" i="71"/>
  <c r="N127" i="70"/>
  <c r="N120" i="70"/>
  <c r="N118" i="70"/>
  <c r="N117" i="70"/>
  <c r="N116" i="70"/>
  <c r="N115" i="70"/>
  <c r="N114" i="70"/>
  <c r="N113" i="70"/>
  <c r="N74"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204" i="70"/>
  <c r="O1080" i="70"/>
  <c r="B1079" i="70"/>
  <c r="B1062" i="70"/>
  <c r="B1061" i="70"/>
  <c r="B1060" i="70"/>
  <c r="B1059" i="70"/>
  <c r="B1058" i="70"/>
  <c r="B1057" i="70"/>
  <c r="B1056" i="70"/>
  <c r="B1055" i="70"/>
  <c r="B1054" i="70"/>
  <c r="B1053" i="70"/>
  <c r="B957" i="70"/>
  <c r="O948" i="70"/>
  <c r="B948" i="70"/>
  <c r="B947" i="70"/>
  <c r="B946" i="70"/>
  <c r="B945" i="70"/>
  <c r="B944" i="70"/>
  <c r="B943" i="70"/>
  <c r="B942" i="70"/>
  <c r="O928" i="70"/>
  <c r="B920" i="70"/>
  <c r="B919" i="70"/>
  <c r="B918" i="70"/>
  <c r="B917" i="70"/>
  <c r="B916" i="70"/>
  <c r="B915" i="70"/>
  <c r="B914" i="70"/>
  <c r="B913" i="70"/>
  <c r="B912" i="70"/>
  <c r="B911" i="70"/>
  <c r="B910" i="70"/>
  <c r="B909" i="70"/>
  <c r="B908" i="70"/>
  <c r="B907" i="70"/>
  <c r="B905" i="70"/>
  <c r="B904" i="70"/>
  <c r="B902" i="70"/>
  <c r="B901" i="70"/>
  <c r="B900" i="70"/>
  <c r="B877" i="70"/>
  <c r="B876" i="70"/>
  <c r="B875" i="70"/>
  <c r="B874" i="70"/>
  <c r="B873" i="70"/>
  <c r="B871" i="70"/>
  <c r="B870" i="70"/>
  <c r="B868" i="70"/>
  <c r="B867" i="70"/>
  <c r="B866" i="70"/>
  <c r="B865" i="70"/>
  <c r="B864" i="70"/>
  <c r="B863" i="70"/>
  <c r="B859" i="70"/>
  <c r="B858" i="70"/>
  <c r="B857" i="70"/>
  <c r="B856" i="70"/>
  <c r="B855" i="70"/>
  <c r="B854" i="70"/>
  <c r="B853" i="70"/>
  <c r="B852" i="70"/>
  <c r="B851" i="70"/>
  <c r="B850" i="70"/>
  <c r="B849" i="70"/>
  <c r="B848" i="70"/>
  <c r="B843" i="70"/>
  <c r="B842" i="70"/>
  <c r="B841" i="70"/>
  <c r="B840" i="70"/>
  <c r="B839" i="70"/>
  <c r="B838" i="70"/>
  <c r="B837" i="70"/>
  <c r="B836" i="70"/>
  <c r="B835" i="70"/>
  <c r="B834" i="70"/>
  <c r="B833" i="70"/>
  <c r="B762" i="70"/>
  <c r="N830" i="70"/>
  <c r="B825" i="70"/>
  <c r="B824" i="70"/>
  <c r="N823" i="70"/>
  <c r="B823" i="70"/>
  <c r="N822" i="70"/>
  <c r="B822" i="70"/>
  <c r="N821" i="70"/>
  <c r="B821" i="70"/>
  <c r="N820" i="70"/>
  <c r="B820" i="70"/>
  <c r="N819" i="70"/>
  <c r="B819" i="70"/>
  <c r="B818" i="70"/>
  <c r="B817" i="70"/>
  <c r="B816" i="70"/>
  <c r="B815" i="70"/>
  <c r="B814" i="70"/>
  <c r="B813" i="70"/>
  <c r="B812" i="70"/>
  <c r="N811" i="70"/>
  <c r="B811" i="70"/>
  <c r="N810" i="70"/>
  <c r="B810" i="70"/>
  <c r="N809" i="70"/>
  <c r="B809" i="70"/>
  <c r="N808" i="70"/>
  <c r="B808" i="70"/>
  <c r="N807" i="70"/>
  <c r="B807" i="70"/>
  <c r="N806" i="70"/>
  <c r="B806" i="70"/>
  <c r="O804" i="70"/>
  <c r="B804" i="70"/>
  <c r="O803" i="70"/>
  <c r="B803" i="70"/>
  <c r="O802" i="70"/>
  <c r="B802" i="70"/>
  <c r="O801" i="70"/>
  <c r="B801" i="70"/>
  <c r="O800" i="70"/>
  <c r="B800" i="70"/>
  <c r="B799" i="70"/>
  <c r="B798" i="70"/>
  <c r="B797" i="70"/>
  <c r="B795" i="70"/>
  <c r="B794" i="70"/>
  <c r="B793" i="70"/>
  <c r="B792" i="70"/>
  <c r="B791" i="70"/>
  <c r="B789" i="70"/>
  <c r="B788" i="70"/>
  <c r="B787" i="70"/>
  <c r="B786" i="70"/>
  <c r="B773" i="70"/>
  <c r="B772" i="70"/>
  <c r="B771" i="70"/>
  <c r="B770" i="70"/>
  <c r="B769" i="70"/>
  <c r="N768" i="70"/>
  <c r="B768" i="70"/>
  <c r="N767" i="70"/>
  <c r="B767" i="70"/>
  <c r="B766" i="70"/>
  <c r="B765" i="70"/>
  <c r="B764" i="70"/>
  <c r="B763" i="70"/>
  <c r="B761" i="70"/>
  <c r="B760" i="70"/>
  <c r="B759" i="70"/>
  <c r="B758" i="70"/>
  <c r="B757" i="70"/>
  <c r="B756" i="70"/>
  <c r="B755" i="70"/>
  <c r="B754" i="70"/>
  <c r="B753" i="70"/>
  <c r="B746" i="70"/>
  <c r="O745" i="70"/>
  <c r="B745" i="70"/>
  <c r="O744" i="70"/>
  <c r="B744" i="70"/>
  <c r="B743" i="70"/>
  <c r="N742" i="70"/>
  <c r="B742" i="70"/>
  <c r="B741" i="70"/>
  <c r="B740" i="70"/>
  <c r="B739" i="70"/>
  <c r="B738" i="70"/>
  <c r="B737" i="70"/>
  <c r="B736" i="70"/>
  <c r="B735" i="70"/>
  <c r="O734" i="70"/>
  <c r="B734" i="70"/>
  <c r="O733" i="70"/>
  <c r="B733" i="70"/>
  <c r="O732" i="70"/>
  <c r="B732" i="70"/>
  <c r="O731" i="70"/>
  <c r="B731" i="70"/>
  <c r="O730" i="70"/>
  <c r="B730" i="70"/>
  <c r="O729" i="70"/>
  <c r="B729" i="70"/>
  <c r="O728" i="70"/>
  <c r="B728" i="70"/>
  <c r="O727" i="70"/>
  <c r="B727" i="70"/>
  <c r="O726" i="70"/>
  <c r="B726" i="70"/>
  <c r="O725" i="70"/>
  <c r="B725" i="70"/>
  <c r="O724" i="70"/>
  <c r="B724" i="70"/>
  <c r="O723" i="70"/>
  <c r="B723" i="70"/>
  <c r="O722" i="70"/>
  <c r="B722" i="70"/>
  <c r="O721" i="70"/>
  <c r="B721" i="70"/>
  <c r="O720" i="70"/>
  <c r="B720" i="70"/>
  <c r="O719" i="70"/>
  <c r="B719" i="70"/>
  <c r="O718" i="70"/>
  <c r="B718" i="70"/>
  <c r="O717" i="70"/>
  <c r="B717" i="70"/>
  <c r="O716" i="70"/>
  <c r="B716" i="70"/>
  <c r="B715" i="70"/>
  <c r="B714" i="70"/>
  <c r="B713" i="70"/>
  <c r="B712" i="70"/>
  <c r="B711" i="70"/>
  <c r="B710" i="70"/>
  <c r="B709" i="70"/>
  <c r="B677" i="70"/>
  <c r="B676" i="70"/>
  <c r="B675" i="70"/>
  <c r="B674" i="70"/>
  <c r="B673" i="70"/>
  <c r="B672" i="70"/>
  <c r="B671" i="70"/>
  <c r="B670" i="70"/>
  <c r="B669" i="70"/>
  <c r="B668" i="70"/>
  <c r="B667" i="70"/>
  <c r="B666" i="70"/>
  <c r="B665" i="70"/>
  <c r="B664" i="70"/>
  <c r="B663" i="70"/>
  <c r="O662" i="70"/>
  <c r="B662" i="70"/>
  <c r="O661" i="70"/>
  <c r="B661" i="70"/>
  <c r="O660" i="70"/>
  <c r="B660" i="70"/>
  <c r="B659" i="70"/>
  <c r="B658" i="70"/>
  <c r="B657" i="70"/>
  <c r="B656" i="70"/>
  <c r="B655" i="70"/>
  <c r="B654" i="70"/>
  <c r="B653" i="70"/>
  <c r="B652" i="70"/>
  <c r="O651" i="70"/>
  <c r="B651" i="70"/>
  <c r="O650" i="70"/>
  <c r="B650" i="70"/>
  <c r="O649" i="70"/>
  <c r="B649" i="70"/>
  <c r="O648" i="70"/>
  <c r="B648" i="70"/>
  <c r="O647" i="70"/>
  <c r="B647" i="70"/>
  <c r="O646" i="70"/>
  <c r="B646" i="70"/>
  <c r="B645" i="70"/>
  <c r="B644" i="70"/>
  <c r="B643" i="70"/>
  <c r="O642" i="70"/>
  <c r="B642" i="70"/>
  <c r="O641" i="70"/>
  <c r="B641" i="70"/>
  <c r="O640" i="70"/>
  <c r="B640" i="70"/>
  <c r="O630" i="70"/>
  <c r="O629" i="70"/>
  <c r="O628" i="70"/>
  <c r="B542" i="70"/>
  <c r="B541" i="70"/>
  <c r="B540" i="70"/>
  <c r="B539" i="70"/>
  <c r="O488" i="70"/>
  <c r="N488" i="70"/>
  <c r="B488" i="70"/>
  <c r="O487" i="70"/>
  <c r="N487" i="70"/>
  <c r="B487" i="70"/>
  <c r="O486" i="70"/>
  <c r="N486" i="70"/>
  <c r="B486" i="70"/>
  <c r="O485" i="70"/>
  <c r="N485" i="70"/>
  <c r="B485" i="70"/>
  <c r="O484" i="70"/>
  <c r="N484" i="70"/>
  <c r="B484" i="70"/>
  <c r="O483" i="70"/>
  <c r="N483" i="70"/>
  <c r="B483" i="70"/>
  <c r="O482" i="70"/>
  <c r="N482" i="70"/>
  <c r="B482" i="70"/>
  <c r="O481" i="70"/>
  <c r="N481" i="70"/>
  <c r="B481" i="70"/>
  <c r="O480" i="70"/>
  <c r="B480" i="70"/>
  <c r="O479" i="70"/>
  <c r="B479" i="70"/>
  <c r="O478" i="70"/>
  <c r="B478" i="70"/>
  <c r="B477" i="70"/>
  <c r="B476" i="70"/>
  <c r="B475" i="70"/>
  <c r="B474" i="70"/>
  <c r="B473" i="70"/>
  <c r="B472" i="70"/>
  <c r="O471" i="70"/>
  <c r="B471" i="70"/>
  <c r="O470" i="70"/>
  <c r="B470" i="70"/>
  <c r="O449" i="70"/>
  <c r="B449" i="70"/>
  <c r="O448" i="70"/>
  <c r="B448" i="70"/>
  <c r="O447" i="70"/>
  <c r="B447" i="70"/>
  <c r="O446" i="70"/>
  <c r="B446" i="70"/>
  <c r="O445" i="70"/>
  <c r="B445" i="70"/>
  <c r="O444" i="70"/>
  <c r="B444" i="70"/>
  <c r="O443" i="70"/>
  <c r="B443" i="70"/>
  <c r="O442" i="70"/>
  <c r="B442" i="70"/>
  <c r="O441" i="70"/>
  <c r="B441" i="70"/>
  <c r="O440" i="70"/>
  <c r="B440" i="70"/>
  <c r="O439" i="70"/>
  <c r="B439" i="70"/>
  <c r="O438" i="70"/>
  <c r="B438" i="70"/>
  <c r="O437" i="70"/>
  <c r="B437" i="70"/>
  <c r="O436" i="70"/>
  <c r="B436" i="70"/>
  <c r="B435" i="70"/>
  <c r="B434" i="70"/>
  <c r="B433" i="70"/>
  <c r="O432" i="70"/>
  <c r="B432" i="70"/>
  <c r="O431" i="70"/>
  <c r="B431" i="70"/>
  <c r="O430" i="70"/>
  <c r="B430" i="70"/>
  <c r="O429" i="70"/>
  <c r="N429" i="70"/>
  <c r="O428" i="70"/>
  <c r="N428" i="70"/>
  <c r="O427" i="70"/>
  <c r="N427" i="70"/>
  <c r="O426" i="70"/>
  <c r="N426" i="70"/>
  <c r="O425" i="70"/>
  <c r="N425" i="70"/>
  <c r="O424" i="70"/>
  <c r="N424" i="70"/>
  <c r="O423" i="70"/>
  <c r="N423" i="70"/>
  <c r="O422" i="70"/>
  <c r="N422" i="70"/>
  <c r="O421" i="70"/>
  <c r="N421" i="70"/>
  <c r="O420" i="70"/>
  <c r="N420" i="70"/>
  <c r="O419" i="70"/>
  <c r="N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O403" i="70"/>
  <c r="O402" i="70"/>
  <c r="O401" i="70"/>
  <c r="O400" i="70"/>
  <c r="O399" i="70"/>
  <c r="O398" i="70"/>
  <c r="O397" i="70"/>
  <c r="O396" i="70"/>
  <c r="O395" i="70"/>
  <c r="O394" i="70"/>
  <c r="B394" i="70"/>
  <c r="O393" i="70"/>
  <c r="B393" i="70"/>
  <c r="O392" i="70"/>
  <c r="B392" i="70"/>
  <c r="B391" i="70"/>
  <c r="B390" i="70"/>
  <c r="B389" i="70"/>
  <c r="B388" i="70"/>
  <c r="B387" i="70"/>
  <c r="B386" i="70"/>
  <c r="B385" i="70"/>
  <c r="B384" i="70"/>
  <c r="O383" i="70"/>
  <c r="B383" i="70"/>
  <c r="O382" i="70"/>
  <c r="B382" i="70"/>
  <c r="O381" i="70"/>
  <c r="B381" i="70"/>
  <c r="O380" i="70"/>
  <c r="B380" i="70"/>
  <c r="O379" i="70"/>
  <c r="B379" i="70"/>
  <c r="O378" i="70"/>
  <c r="B378" i="70"/>
  <c r="O376" i="70"/>
  <c r="N376" i="70"/>
  <c r="O375" i="70"/>
  <c r="N375" i="70"/>
  <c r="O374" i="70"/>
  <c r="N374" i="70"/>
  <c r="O373" i="70"/>
  <c r="N373" i="70"/>
  <c r="B361" i="70"/>
  <c r="B360" i="70"/>
  <c r="B359" i="70"/>
  <c r="B358" i="70"/>
  <c r="B357" i="70"/>
  <c r="B356" i="70"/>
  <c r="B355" i="70"/>
  <c r="B354" i="70"/>
  <c r="B353" i="70"/>
  <c r="B352" i="70"/>
  <c r="B351" i="70"/>
  <c r="B350" i="70"/>
  <c r="B334" i="70"/>
  <c r="B333" i="70"/>
  <c r="B332" i="70"/>
  <c r="B331" i="70"/>
  <c r="B330" i="70"/>
  <c r="B329" i="70"/>
  <c r="B328" i="70"/>
  <c r="B327" i="70"/>
  <c r="B326" i="70"/>
  <c r="B325" i="70"/>
  <c r="B324" i="70"/>
  <c r="B323" i="70"/>
  <c r="B322" i="70"/>
  <c r="B321" i="70"/>
  <c r="B320" i="70"/>
  <c r="B319" i="70"/>
  <c r="B318" i="70"/>
  <c r="B317" i="70"/>
  <c r="B316" i="70"/>
  <c r="N293" i="70"/>
  <c r="B293" i="70"/>
  <c r="N292" i="70"/>
  <c r="B292" i="70"/>
  <c r="N291" i="70"/>
  <c r="B291" i="70"/>
  <c r="N290" i="70"/>
  <c r="B290" i="70"/>
  <c r="N289" i="70"/>
  <c r="B289" i="70"/>
  <c r="N288" i="70"/>
  <c r="B288" i="70"/>
  <c r="N287" i="70"/>
  <c r="B287" i="70"/>
  <c r="N286" i="70"/>
  <c r="B286" i="70"/>
  <c r="N285" i="70"/>
  <c r="B285" i="70"/>
  <c r="N284" i="70"/>
  <c r="B284" i="70"/>
  <c r="N283" i="70"/>
  <c r="B283"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B227" i="70"/>
  <c r="B226" i="70"/>
  <c r="B225" i="70"/>
  <c r="B224" i="70"/>
  <c r="B182" i="70"/>
  <c r="B181" i="70"/>
  <c r="B180" i="70"/>
  <c r="B179" i="70"/>
  <c r="B178" i="70"/>
  <c r="B177" i="70"/>
  <c r="B176" i="70"/>
  <c r="B175" i="70"/>
  <c r="B174" i="70"/>
  <c r="B173" i="70"/>
  <c r="B170" i="70"/>
  <c r="B169" i="70"/>
  <c r="B168" i="70"/>
  <c r="B167" i="70"/>
  <c r="B166" i="70"/>
  <c r="B165" i="70"/>
  <c r="B164" i="70"/>
  <c r="B163" i="70"/>
  <c r="B162" i="70"/>
  <c r="B161" i="70"/>
  <c r="B160" i="70"/>
  <c r="B159" i="70"/>
  <c r="B158" i="70"/>
  <c r="B157" i="70"/>
  <c r="N154" i="70"/>
  <c r="N153" i="70"/>
  <c r="B151" i="70"/>
  <c r="O150" i="70"/>
  <c r="B150" i="70"/>
  <c r="B149" i="70"/>
  <c r="B148" i="70"/>
  <c r="B147" i="70"/>
  <c r="B146" i="70"/>
  <c r="N145" i="70"/>
  <c r="B145" i="70"/>
  <c r="O143" i="70"/>
  <c r="O142" i="70"/>
  <c r="O141" i="70"/>
  <c r="O140" i="70"/>
  <c r="O139" i="70"/>
  <c r="O138" i="70"/>
  <c r="O137" i="70"/>
  <c r="O136" i="70"/>
  <c r="O135" i="70"/>
  <c r="B135" i="70"/>
  <c r="O134" i="70"/>
  <c r="B134" i="70"/>
  <c r="O133" i="70"/>
  <c r="B133" i="70"/>
  <c r="O132" i="70"/>
  <c r="B132" i="70"/>
  <c r="O131" i="70"/>
  <c r="B131" i="70"/>
  <c r="O130" i="70"/>
  <c r="B130" i="70"/>
  <c r="B128" i="70"/>
  <c r="P128" i="70" s="1"/>
  <c r="Q128" i="70" s="1"/>
  <c r="R128" i="70" s="1"/>
  <c r="O127" i="70"/>
  <c r="Q127" i="70" s="1"/>
  <c r="R127" i="70" s="1"/>
  <c r="B127" i="70"/>
  <c r="P127" i="70" s="1"/>
  <c r="O126" i="70"/>
  <c r="N126" i="70"/>
  <c r="B126" i="70"/>
  <c r="P126" i="70" s="1"/>
  <c r="O125" i="70"/>
  <c r="N125" i="70"/>
  <c r="B125" i="70"/>
  <c r="P125" i="70" s="1"/>
  <c r="O124" i="70"/>
  <c r="N124" i="70"/>
  <c r="B124" i="70"/>
  <c r="P124" i="70" s="1"/>
  <c r="O123" i="70"/>
  <c r="N123" i="70"/>
  <c r="B123" i="70"/>
  <c r="P123" i="70" s="1"/>
  <c r="O122" i="70"/>
  <c r="N122" i="70"/>
  <c r="B122" i="70"/>
  <c r="P122" i="70" s="1"/>
  <c r="O121" i="70"/>
  <c r="N121" i="70"/>
  <c r="B121" i="70"/>
  <c r="P121" i="70" s="1"/>
  <c r="O120" i="70"/>
  <c r="Q120" i="70" s="1"/>
  <c r="R120" i="70" s="1"/>
  <c r="B120" i="70"/>
  <c r="P120" i="70" s="1"/>
  <c r="O119" i="70"/>
  <c r="Q119" i="70" s="1"/>
  <c r="R119" i="70" s="1"/>
  <c r="B119" i="70"/>
  <c r="P119" i="70" s="1"/>
  <c r="O118" i="70"/>
  <c r="Q118" i="70" s="1"/>
  <c r="R118" i="70" s="1"/>
  <c r="B118" i="70"/>
  <c r="P118" i="70" s="1"/>
  <c r="O117" i="70"/>
  <c r="Q117" i="70" s="1"/>
  <c r="R117" i="70" s="1"/>
  <c r="O116" i="70"/>
  <c r="B116" i="70"/>
  <c r="P116" i="70" s="1"/>
  <c r="O115" i="70"/>
  <c r="B115" i="70"/>
  <c r="P115" i="70" s="1"/>
  <c r="O114" i="70"/>
  <c r="B114" i="70"/>
  <c r="P114" i="70" s="1"/>
  <c r="O113" i="70"/>
  <c r="B113" i="70"/>
  <c r="P113" i="70" s="1"/>
  <c r="O112" i="70"/>
  <c r="B112" i="70"/>
  <c r="P112" i="70" s="1"/>
  <c r="O111" i="70"/>
  <c r="B111" i="70"/>
  <c r="P111" i="70" s="1"/>
  <c r="O110" i="70"/>
  <c r="B110" i="70"/>
  <c r="P110" i="70" s="1"/>
  <c r="O108" i="70"/>
  <c r="N108" i="70"/>
  <c r="B108" i="70"/>
  <c r="O107" i="70"/>
  <c r="N107" i="70"/>
  <c r="B107" i="70"/>
  <c r="O106" i="70"/>
  <c r="N106" i="70"/>
  <c r="B106" i="70"/>
  <c r="O105" i="70"/>
  <c r="N105" i="70"/>
  <c r="B105" i="70"/>
  <c r="O104" i="70"/>
  <c r="N104" i="70"/>
  <c r="B104" i="70"/>
  <c r="O103" i="70"/>
  <c r="N103" i="70"/>
  <c r="B103" i="70"/>
  <c r="O102" i="70"/>
  <c r="N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5" i="70"/>
  <c r="N85" i="70"/>
  <c r="O84" i="70"/>
  <c r="N84" i="70"/>
  <c r="O83" i="70"/>
  <c r="N83" i="70"/>
  <c r="B83" i="70"/>
  <c r="O82" i="70"/>
  <c r="N82" i="70"/>
  <c r="O81" i="70"/>
  <c r="N81" i="70"/>
  <c r="O80" i="70"/>
  <c r="N80" i="70"/>
  <c r="O79" i="70"/>
  <c r="N79" i="70"/>
  <c r="O78" i="70"/>
  <c r="N78" i="70"/>
  <c r="O77" i="70"/>
  <c r="N77" i="70"/>
  <c r="O76" i="70"/>
  <c r="N76" i="70"/>
  <c r="B76" i="70"/>
  <c r="O75" i="70"/>
  <c r="N75" i="70"/>
  <c r="O74" i="70"/>
  <c r="B74" i="70"/>
  <c r="O73" i="70"/>
  <c r="N73" i="70"/>
  <c r="B73" i="70"/>
  <c r="O72" i="70"/>
  <c r="N72" i="70"/>
  <c r="B72" i="70"/>
  <c r="O71" i="70"/>
  <c r="N71" i="70"/>
  <c r="O70" i="70"/>
  <c r="N70" i="70"/>
  <c r="O69" i="70"/>
  <c r="N69" i="70"/>
  <c r="O68" i="70"/>
  <c r="N68" i="70"/>
  <c r="O67" i="70"/>
  <c r="N67" i="70"/>
  <c r="B67" i="70"/>
  <c r="O66" i="70"/>
  <c r="N66" i="70"/>
  <c r="O65" i="70"/>
  <c r="N65" i="70"/>
  <c r="B65" i="70"/>
  <c r="O64" i="70"/>
  <c r="N64" i="70"/>
  <c r="B64" i="70"/>
  <c r="O63" i="70"/>
  <c r="N63" i="70"/>
  <c r="B63" i="70"/>
  <c r="O62" i="70"/>
  <c r="N62" i="70"/>
  <c r="B62" i="70"/>
  <c r="B55" i="70"/>
  <c r="P55" i="70" s="1"/>
  <c r="Q55" i="70" s="1"/>
  <c r="R55" i="70" s="1"/>
  <c r="B36" i="70"/>
  <c r="B33" i="70"/>
  <c r="N20" i="70"/>
  <c r="N19" i="70"/>
  <c r="N18" i="70"/>
  <c r="N17" i="70"/>
  <c r="N16" i="70"/>
  <c r="N15" i="70"/>
  <c r="N14" i="70"/>
  <c r="N12" i="70"/>
  <c r="N10" i="70"/>
  <c r="N9" i="70"/>
  <c r="N8" i="70"/>
  <c r="N7" i="70"/>
  <c r="N6" i="70"/>
  <c r="N5" i="70"/>
  <c r="N4" i="70"/>
  <c r="B4" i="70"/>
  <c r="N3" i="70"/>
  <c r="N2" i="70"/>
  <c r="Q122" i="70" l="1"/>
  <c r="R122" i="70" s="1"/>
  <c r="Q126" i="70"/>
  <c r="R126" i="70" s="1"/>
  <c r="Q124" i="70"/>
  <c r="R124" i="70" s="1"/>
  <c r="Q110" i="70"/>
  <c r="R110" i="70" s="1"/>
  <c r="Q111" i="70"/>
  <c r="R111" i="70" s="1"/>
  <c r="Q112" i="70"/>
  <c r="R112" i="70" s="1"/>
  <c r="Q113" i="70"/>
  <c r="R113" i="70" s="1"/>
  <c r="Q114" i="70"/>
  <c r="R114" i="70" s="1"/>
  <c r="Q115" i="70"/>
  <c r="R115" i="70" s="1"/>
  <c r="Q116" i="70"/>
  <c r="R116" i="70" s="1"/>
  <c r="Q121" i="70"/>
  <c r="R121" i="70" s="1"/>
  <c r="Q123" i="70"/>
  <c r="R123" i="70" s="1"/>
  <c r="Q125" i="70"/>
  <c r="R125" i="70" s="1"/>
  <c r="O16" i="70"/>
  <c r="Q16" i="70" s="1"/>
  <c r="R16" i="70" s="1"/>
  <c r="O20" i="70"/>
  <c r="Q20" i="70" s="1"/>
  <c r="R20" i="70" s="1"/>
  <c r="O14" i="70"/>
  <c r="O18" i="70"/>
  <c r="Q18" i="70" s="1"/>
  <c r="R18" i="70" s="1"/>
  <c r="O15" i="70"/>
  <c r="Q15" i="70" s="1"/>
  <c r="R15" i="70" s="1"/>
  <c r="O17" i="70"/>
  <c r="Q17" i="70" s="1"/>
  <c r="R17" i="70" s="1"/>
  <c r="O19" i="70"/>
  <c r="Q19" i="70" s="1"/>
  <c r="R19" i="70" s="1"/>
  <c r="Q14" i="70"/>
  <c r="R14"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C3" authorId="0">
      <text>
        <r>
          <rPr>
            <b/>
            <sz val="9"/>
            <color indexed="81"/>
            <rFont val="新細明體"/>
            <family val="1"/>
            <charset val="136"/>
          </rPr>
          <t>PT 蘇胖子</t>
        </r>
      </text>
    </comment>
    <comment ref="D3" authorId="0">
      <text>
        <r>
          <rPr>
            <b/>
            <sz val="9"/>
            <color indexed="81"/>
            <rFont val="新細明體"/>
            <family val="1"/>
            <charset val="136"/>
          </rPr>
          <t>PT 蘇胖子</t>
        </r>
      </text>
    </comment>
    <comment ref="E3" authorId="0">
      <text>
        <r>
          <rPr>
            <b/>
            <sz val="9"/>
            <color indexed="81"/>
            <rFont val="新細明體"/>
            <family val="1"/>
            <charset val="136"/>
          </rPr>
          <t>小范公司</t>
        </r>
      </text>
    </comment>
    <comment ref="F3" authorId="0">
      <text>
        <r>
          <rPr>
            <b/>
            <sz val="9"/>
            <color indexed="81"/>
            <rFont val="新細明體"/>
            <family val="1"/>
            <charset val="136"/>
          </rPr>
          <t>小范公司</t>
        </r>
      </text>
    </comment>
    <comment ref="G3" authorId="0">
      <text>
        <r>
          <rPr>
            <b/>
            <sz val="9"/>
            <color indexed="81"/>
            <rFont val="新細明體"/>
            <family val="1"/>
            <charset val="136"/>
          </rPr>
          <t>小范公司</t>
        </r>
      </text>
    </comment>
    <comment ref="I3" authorId="0">
      <text>
        <r>
          <rPr>
            <b/>
            <sz val="9"/>
            <color indexed="81"/>
            <rFont val="新細明體"/>
            <family val="1"/>
            <charset val="136"/>
          </rPr>
          <t>小范公司</t>
        </r>
      </text>
    </comment>
    <comment ref="J3" authorId="0">
      <text>
        <r>
          <rPr>
            <b/>
            <sz val="9"/>
            <color indexed="81"/>
            <rFont val="新細明體"/>
            <family val="1"/>
            <charset val="136"/>
          </rPr>
          <t>小范公司</t>
        </r>
      </text>
    </comment>
    <comment ref="K3" authorId="0">
      <text>
        <r>
          <rPr>
            <b/>
            <sz val="9"/>
            <color indexed="81"/>
            <rFont val="新細明體"/>
            <family val="1"/>
            <charset val="136"/>
          </rPr>
          <t>小范公司</t>
        </r>
      </text>
    </comment>
    <comment ref="L3" authorId="0">
      <text>
        <r>
          <rPr>
            <b/>
            <sz val="9"/>
            <color indexed="81"/>
            <rFont val="新細明體"/>
            <family val="1"/>
            <charset val="136"/>
          </rPr>
          <t>小范公司</t>
        </r>
      </text>
    </comment>
    <comment ref="N3" authorId="0">
      <text>
        <r>
          <rPr>
            <b/>
            <sz val="9"/>
            <color indexed="81"/>
            <rFont val="新細明體"/>
            <family val="1"/>
            <charset val="136"/>
          </rPr>
          <t>小范公司</t>
        </r>
      </text>
    </comment>
    <comment ref="O3" authorId="0">
      <text>
        <r>
          <rPr>
            <b/>
            <sz val="9"/>
            <color indexed="81"/>
            <rFont val="新細明體"/>
            <family val="1"/>
            <charset val="136"/>
          </rPr>
          <t>PT錢嫂</t>
        </r>
      </text>
    </comment>
    <comment ref="P3" authorId="0">
      <text>
        <r>
          <rPr>
            <b/>
            <sz val="9"/>
            <color indexed="81"/>
            <rFont val="新細明體"/>
            <family val="1"/>
            <charset val="136"/>
          </rPr>
          <t>PT錢嫂</t>
        </r>
      </text>
    </comment>
    <comment ref="Q3" authorId="0">
      <text>
        <r>
          <rPr>
            <b/>
            <sz val="9"/>
            <color indexed="81"/>
            <rFont val="新細明體"/>
            <family val="1"/>
            <charset val="136"/>
          </rPr>
          <t>PT錢嫂
6.1 * 25000
6.18 * 15000</t>
        </r>
      </text>
    </comment>
    <comment ref="R3" authorId="0">
      <text>
        <r>
          <rPr>
            <b/>
            <sz val="9"/>
            <color indexed="81"/>
            <rFont val="新細明體"/>
            <family val="1"/>
            <charset val="136"/>
          </rPr>
          <t>PT錢嫂</t>
        </r>
      </text>
    </comment>
    <comment ref="T3" authorId="0">
      <text>
        <r>
          <rPr>
            <b/>
            <sz val="9"/>
            <color indexed="81"/>
            <rFont val="新細明體"/>
            <family val="1"/>
            <charset val="136"/>
          </rPr>
          <t>今英</t>
        </r>
      </text>
    </comment>
    <comment ref="U3" authorId="0">
      <text>
        <r>
          <rPr>
            <b/>
            <sz val="9"/>
            <color indexed="81"/>
            <rFont val="新細明體"/>
            <family val="1"/>
            <charset val="136"/>
          </rPr>
          <t>今英</t>
        </r>
      </text>
    </comment>
    <comment ref="V3" authorId="0">
      <text>
        <r>
          <rPr>
            <b/>
            <sz val="9"/>
            <color indexed="81"/>
            <rFont val="新細明體"/>
            <family val="1"/>
            <charset val="136"/>
          </rPr>
          <t>今英</t>
        </r>
      </text>
    </comment>
    <comment ref="W3" authorId="0">
      <text>
        <r>
          <rPr>
            <b/>
            <sz val="9"/>
            <color indexed="81"/>
            <rFont val="新細明體"/>
            <family val="1"/>
            <charset val="136"/>
          </rPr>
          <t>今英</t>
        </r>
      </text>
    </comment>
    <comment ref="F4" authorId="0">
      <text>
        <r>
          <rPr>
            <b/>
            <sz val="9"/>
            <color indexed="81"/>
            <rFont val="Tahoma"/>
            <family val="2"/>
          </rPr>
          <t>提單 34.68
協倉計價 31</t>
        </r>
      </text>
    </comment>
    <comment ref="B7" authorId="0">
      <text>
        <r>
          <rPr>
            <b/>
            <sz val="9"/>
            <color indexed="81"/>
            <rFont val="新細明體"/>
            <family val="1"/>
            <charset val="136"/>
          </rPr>
          <t>International Ship and Port Facility Security Code</t>
        </r>
      </text>
    </comment>
    <comment ref="N11" authorId="0">
      <text>
        <r>
          <rPr>
            <b/>
            <sz val="9"/>
            <color indexed="81"/>
            <rFont val="新細明體"/>
            <family val="1"/>
            <charset val="136"/>
          </rPr>
          <t>協倉電放降價
300-&gt;150</t>
        </r>
      </text>
    </comment>
    <comment ref="O11" authorId="0">
      <text>
        <r>
          <rPr>
            <b/>
            <sz val="9"/>
            <color indexed="81"/>
            <rFont val="新細明體"/>
            <family val="1"/>
            <charset val="136"/>
          </rPr>
          <t xml:space="preserve">BOL
DHL SZ-&gt;LA
130 RMB
</t>
        </r>
      </text>
    </comment>
    <comment ref="P11" authorId="0">
      <text>
        <r>
          <rPr>
            <b/>
            <sz val="9"/>
            <color indexed="81"/>
            <rFont val="新細明體"/>
            <family val="1"/>
            <charset val="136"/>
          </rPr>
          <t xml:space="preserve">BOL
DHL SZ-&gt;LA
130 RMB
</t>
        </r>
      </text>
    </comment>
    <comment ref="Q11" authorId="0">
      <text>
        <r>
          <rPr>
            <b/>
            <sz val="9"/>
            <color indexed="81"/>
            <rFont val="新細明體"/>
            <family val="1"/>
            <charset val="136"/>
          </rPr>
          <t xml:space="preserve">BOL
DHL SZ-&gt;LA
130 RMB
</t>
        </r>
      </text>
    </comment>
    <comment ref="U11" authorId="0">
      <text>
        <r>
          <rPr>
            <b/>
            <sz val="9"/>
            <color indexed="81"/>
            <rFont val="新細明體"/>
            <family val="1"/>
            <charset val="136"/>
          </rPr>
          <t xml:space="preserve">BOL
DHL SZ-&gt;LA
130 RMB
</t>
        </r>
      </text>
    </comment>
    <comment ref="O16" authorId="0">
      <text>
        <r>
          <rPr>
            <b/>
            <sz val="9"/>
            <color indexed="81"/>
            <rFont val="新細明體"/>
            <family val="1"/>
            <charset val="136"/>
          </rPr>
          <t>第一次海關倉量
24.067
第二次
22.38
因為差距不到10%
350元重量費用</t>
        </r>
      </text>
    </comment>
    <comment ref="F18" authorId="0">
      <text>
        <r>
          <rPr>
            <b/>
            <sz val="9"/>
            <color indexed="81"/>
            <rFont val="Tahoma"/>
            <family val="2"/>
          </rPr>
          <t xml:space="preserve">協倉美元計價: 6.8
</t>
        </r>
      </text>
    </comment>
    <comment ref="G18" authorId="0">
      <text>
        <r>
          <rPr>
            <b/>
            <sz val="9"/>
            <color indexed="81"/>
            <rFont val="新細明體"/>
            <family val="1"/>
            <charset val="136"/>
          </rPr>
          <t>US-TT USD 45
HK-扣款 USD 12.7</t>
        </r>
      </text>
    </comment>
    <comment ref="Q18" authorId="0">
      <text>
        <r>
          <rPr>
            <b/>
            <sz val="9"/>
            <color indexed="81"/>
            <rFont val="新細明體"/>
            <family val="1"/>
            <charset val="136"/>
          </rPr>
          <t>US-TT USD 45
HK-扣款 USD 12.7</t>
        </r>
      </text>
    </comment>
    <comment ref="B35" authorId="0">
      <text>
        <r>
          <rPr>
            <b/>
            <sz val="9"/>
            <color indexed="81"/>
            <rFont val="Tahoma"/>
            <family val="2"/>
          </rPr>
          <t>Custom</t>
        </r>
      </text>
    </comment>
    <comment ref="B36" authorId="0">
      <text>
        <r>
          <rPr>
            <b/>
            <sz val="9"/>
            <color indexed="81"/>
            <rFont val="Tahoma"/>
            <family val="2"/>
          </rPr>
          <t>Custom</t>
        </r>
      </text>
    </comment>
  </commentList>
</comments>
</file>

<file path=xl/comments4.xml><?xml version="1.0" encoding="utf-8"?>
<comments xmlns="http://schemas.openxmlformats.org/spreadsheetml/2006/main">
  <authors>
    <author>作者</author>
  </authors>
  <commentList>
    <comment ref="R1" authorId="0">
      <text>
        <r>
          <rPr>
            <b/>
            <sz val="9"/>
            <color indexed="81"/>
            <rFont val="Tahoma"/>
            <family val="2"/>
          </rPr>
          <t xml:space="preserve">QT2: US$120/cbm
20200326 </t>
        </r>
        <r>
          <rPr>
            <b/>
            <sz val="9"/>
            <color indexed="81"/>
            <rFont val="宋体"/>
            <family val="3"/>
            <charset val="134"/>
          </rPr>
          <t xml:space="preserve">更新為
</t>
        </r>
        <r>
          <rPr>
            <b/>
            <sz val="9"/>
            <color indexed="81"/>
            <rFont val="Tahoma"/>
            <family val="2"/>
          </rPr>
          <t>US$200/cbm</t>
        </r>
      </text>
    </comment>
    <comment ref="C2" authorId="0">
      <text>
        <r>
          <rPr>
            <b/>
            <sz val="9"/>
            <color indexed="81"/>
            <rFont val="宋体"/>
            <charset val="134"/>
          </rPr>
          <t>內</t>
        </r>
        <r>
          <rPr>
            <b/>
            <sz val="9"/>
            <color indexed="81"/>
            <rFont val="Tahoma"/>
            <family val="2"/>
          </rPr>
          <t>9*10
950/Ctn</t>
        </r>
      </text>
    </comment>
    <comment ref="AJ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J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J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AJ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7" authorId="0">
      <text>
        <r>
          <rPr>
            <b/>
            <sz val="9"/>
            <color indexed="81"/>
            <rFont val="宋体"/>
            <charset val="134"/>
          </rPr>
          <t>定作</t>
        </r>
      </text>
    </comment>
    <comment ref="C28" authorId="0">
      <text>
        <r>
          <rPr>
            <b/>
            <sz val="9"/>
            <color indexed="81"/>
            <rFont val="宋体"/>
            <charset val="134"/>
          </rPr>
          <t>定作</t>
        </r>
      </text>
    </comment>
    <comment ref="C29" authorId="0">
      <text>
        <r>
          <rPr>
            <b/>
            <sz val="9"/>
            <color indexed="81"/>
            <rFont val="宋体"/>
            <charset val="134"/>
          </rPr>
          <t>定作</t>
        </r>
      </text>
    </comment>
    <comment ref="C30"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A32" authorId="0">
      <text>
        <r>
          <rPr>
            <b/>
            <sz val="9"/>
            <color indexed="81"/>
            <rFont val="宋体"/>
            <family val="3"/>
            <charset val="134"/>
          </rPr>
          <t>沒有留</t>
        </r>
        <r>
          <rPr>
            <b/>
            <sz val="9"/>
            <color indexed="81"/>
            <rFont val="Tahoma"/>
            <family val="2"/>
          </rPr>
          <t>sample</t>
        </r>
      </text>
    </comment>
    <comment ref="P3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32" authorId="0">
      <text>
        <r>
          <rPr>
            <b/>
            <sz val="9"/>
            <color indexed="81"/>
            <rFont val="宋体"/>
            <family val="3"/>
            <charset val="134"/>
          </rPr>
          <t>沒有留</t>
        </r>
        <r>
          <rPr>
            <b/>
            <sz val="9"/>
            <color indexed="81"/>
            <rFont val="Tahoma"/>
            <family val="2"/>
          </rPr>
          <t>sample</t>
        </r>
      </text>
    </comment>
    <comment ref="P33"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A34" authorId="0">
      <text>
        <r>
          <rPr>
            <b/>
            <sz val="9"/>
            <color indexed="81"/>
            <rFont val="宋体"/>
            <family val="3"/>
            <charset val="134"/>
          </rPr>
          <t>沒有留</t>
        </r>
        <r>
          <rPr>
            <b/>
            <sz val="9"/>
            <color indexed="81"/>
            <rFont val="Tahoma"/>
            <family val="2"/>
          </rPr>
          <t>sample</t>
        </r>
      </text>
    </comment>
    <comment ref="P3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34" authorId="0">
      <text>
        <r>
          <rPr>
            <b/>
            <sz val="9"/>
            <color indexed="81"/>
            <rFont val="宋体"/>
            <family val="3"/>
            <charset val="134"/>
          </rPr>
          <t>沒有留</t>
        </r>
        <r>
          <rPr>
            <b/>
            <sz val="9"/>
            <color indexed="81"/>
            <rFont val="Tahoma"/>
            <family val="2"/>
          </rPr>
          <t>sample</t>
        </r>
      </text>
    </comment>
    <comment ref="C36" authorId="0">
      <text>
        <r>
          <rPr>
            <b/>
            <sz val="9"/>
            <color indexed="81"/>
            <rFont val="宋体"/>
            <charset val="134"/>
          </rPr>
          <t>內</t>
        </r>
        <r>
          <rPr>
            <b/>
            <sz val="9"/>
            <color indexed="81"/>
            <rFont val="Tahoma"/>
            <family val="2"/>
          </rPr>
          <t>13*14</t>
        </r>
      </text>
    </comment>
    <comment ref="P3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37" authorId="0">
      <text>
        <r>
          <rPr>
            <b/>
            <sz val="9"/>
            <color indexed="81"/>
            <rFont val="宋体"/>
            <charset val="134"/>
          </rPr>
          <t>內</t>
        </r>
        <r>
          <rPr>
            <b/>
            <sz val="9"/>
            <color indexed="81"/>
            <rFont val="Tahoma"/>
            <family val="2"/>
          </rPr>
          <t xml:space="preserve">12.5*18.5
</t>
        </r>
      </text>
    </comment>
    <comment ref="P3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38" authorId="0">
      <text>
        <r>
          <rPr>
            <b/>
            <sz val="9"/>
            <color indexed="81"/>
            <rFont val="宋体"/>
            <charset val="134"/>
          </rPr>
          <t>內</t>
        </r>
        <r>
          <rPr>
            <b/>
            <sz val="9"/>
            <color indexed="81"/>
            <rFont val="Tahoma"/>
            <family val="2"/>
          </rPr>
          <t>12.5*24</t>
        </r>
      </text>
    </comment>
    <comment ref="P3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0" authorId="0">
      <text>
        <r>
          <rPr>
            <b/>
            <sz val="9"/>
            <color indexed="81"/>
            <rFont val="宋体"/>
            <charset val="134"/>
          </rPr>
          <t>內</t>
        </r>
        <r>
          <rPr>
            <b/>
            <sz val="9"/>
            <color indexed="81"/>
            <rFont val="Tahoma"/>
            <family val="2"/>
          </rPr>
          <t>14*14</t>
        </r>
      </text>
    </comment>
    <comment ref="P40"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1" authorId="0">
      <text>
        <r>
          <rPr>
            <b/>
            <sz val="9"/>
            <color indexed="81"/>
            <rFont val="宋体"/>
            <charset val="134"/>
          </rPr>
          <t>內</t>
        </r>
        <r>
          <rPr>
            <b/>
            <sz val="9"/>
            <color indexed="81"/>
            <rFont val="Tahoma"/>
            <family val="2"/>
          </rPr>
          <t>14.5*19</t>
        </r>
      </text>
    </comment>
    <comment ref="P41"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2" authorId="0">
      <text>
        <r>
          <rPr>
            <b/>
            <sz val="9"/>
            <color indexed="81"/>
            <rFont val="宋体"/>
            <charset val="134"/>
          </rPr>
          <t>內</t>
        </r>
        <r>
          <rPr>
            <b/>
            <sz val="9"/>
            <color indexed="81"/>
            <rFont val="Tahoma"/>
            <family val="2"/>
          </rPr>
          <t>14.5*23.5</t>
        </r>
      </text>
    </comment>
    <comment ref="P4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4" authorId="0">
      <text>
        <r>
          <rPr>
            <b/>
            <sz val="9"/>
            <color indexed="81"/>
            <rFont val="宋体"/>
            <charset val="134"/>
          </rPr>
          <t>內</t>
        </r>
        <r>
          <rPr>
            <b/>
            <sz val="9"/>
            <color indexed="81"/>
            <rFont val="Tahoma"/>
            <family val="2"/>
          </rPr>
          <t>19.5*24</t>
        </r>
      </text>
    </comment>
    <comment ref="P4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5" authorId="0">
      <text>
        <r>
          <rPr>
            <b/>
            <sz val="9"/>
            <color indexed="81"/>
            <rFont val="宋体"/>
            <charset val="134"/>
          </rPr>
          <t>內</t>
        </r>
        <r>
          <rPr>
            <b/>
            <sz val="9"/>
            <color indexed="81"/>
            <rFont val="Tahoma"/>
            <family val="2"/>
          </rPr>
          <t>19.5*28</t>
        </r>
      </text>
    </comment>
    <comment ref="P45"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6" authorId="0">
      <text>
        <r>
          <rPr>
            <b/>
            <sz val="9"/>
            <color indexed="81"/>
            <rFont val="宋体"/>
            <charset val="134"/>
          </rPr>
          <t>內</t>
        </r>
        <r>
          <rPr>
            <b/>
            <sz val="9"/>
            <color indexed="81"/>
            <rFont val="Tahoma"/>
            <family val="2"/>
          </rPr>
          <t>24.5*24</t>
        </r>
      </text>
    </comment>
    <comment ref="P4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7" authorId="0">
      <text>
        <r>
          <rPr>
            <b/>
            <sz val="9"/>
            <color indexed="81"/>
            <rFont val="宋体"/>
            <charset val="134"/>
          </rPr>
          <t>內</t>
        </r>
        <r>
          <rPr>
            <b/>
            <sz val="9"/>
            <color indexed="81"/>
            <rFont val="Tahoma"/>
            <family val="2"/>
          </rPr>
          <t>24*29</t>
        </r>
      </text>
    </comment>
    <comment ref="P4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A48" authorId="0">
      <text>
        <r>
          <rPr>
            <b/>
            <sz val="9"/>
            <color indexed="81"/>
            <rFont val="宋体"/>
            <family val="3"/>
            <charset val="134"/>
          </rPr>
          <t>沒有留</t>
        </r>
        <r>
          <rPr>
            <b/>
            <sz val="9"/>
            <color indexed="81"/>
            <rFont val="Tahoma"/>
            <family val="2"/>
          </rPr>
          <t>sample</t>
        </r>
      </text>
    </comment>
    <comment ref="P4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48" authorId="0">
      <text>
        <r>
          <rPr>
            <b/>
            <sz val="9"/>
            <color indexed="81"/>
            <rFont val="宋体"/>
            <family val="3"/>
            <charset val="134"/>
          </rPr>
          <t>沒有留</t>
        </r>
        <r>
          <rPr>
            <b/>
            <sz val="9"/>
            <color indexed="81"/>
            <rFont val="Tahoma"/>
            <family val="2"/>
          </rPr>
          <t>sample</t>
        </r>
      </text>
    </comment>
    <comment ref="C49" authorId="0">
      <text>
        <r>
          <rPr>
            <b/>
            <sz val="9"/>
            <color indexed="81"/>
            <rFont val="宋体"/>
            <charset val="134"/>
          </rPr>
          <t>內</t>
        </r>
        <r>
          <rPr>
            <b/>
            <sz val="9"/>
            <color indexed="81"/>
            <rFont val="Tahoma"/>
            <family val="2"/>
          </rPr>
          <t>29.5*34</t>
        </r>
      </text>
    </comment>
    <comment ref="P49"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P51" authorId="0">
      <text>
        <r>
          <rPr>
            <b/>
            <sz val="9"/>
            <color indexed="81"/>
            <rFont val="Tahoma"/>
            <family val="2"/>
          </rPr>
          <t xml:space="preserve">QT2: 104
</t>
        </r>
        <r>
          <rPr>
            <b/>
            <sz val="9"/>
            <color indexed="81"/>
            <rFont val="宋体"/>
            <family val="3"/>
            <charset val="134"/>
          </rPr>
          <t>總重量</t>
        </r>
        <r>
          <rPr>
            <b/>
            <sz val="9"/>
            <color indexed="81"/>
            <rFont val="Tahoma"/>
            <family val="2"/>
          </rPr>
          <t xml:space="preserve"> 11100g</t>
        </r>
      </text>
    </comment>
    <comment ref="B62" authorId="0">
      <text>
        <r>
          <rPr>
            <b/>
            <sz val="9"/>
            <color indexed="81"/>
            <rFont val="Tahoma"/>
            <family val="2"/>
          </rPr>
          <t xml:space="preserve">7g/1000pcs
</t>
        </r>
      </text>
    </comment>
    <comment ref="B63" authorId="0">
      <text>
        <r>
          <rPr>
            <b/>
            <sz val="9"/>
            <color indexed="81"/>
            <rFont val="Tahoma"/>
            <family val="2"/>
          </rPr>
          <t xml:space="preserve">118g/1000pcs
</t>
        </r>
      </text>
    </comment>
    <comment ref="B64" authorId="0">
      <text>
        <r>
          <rPr>
            <b/>
            <sz val="9"/>
            <color indexed="81"/>
            <rFont val="Tahoma"/>
            <family val="2"/>
          </rPr>
          <t xml:space="preserve">282g/2000pcs
</t>
        </r>
      </text>
    </comment>
    <comment ref="B65" authorId="0">
      <text>
        <r>
          <rPr>
            <b/>
            <sz val="9"/>
            <color indexed="81"/>
            <rFont val="Tahoma"/>
            <family val="2"/>
          </rPr>
          <t>466g/1000pcs</t>
        </r>
      </text>
    </comment>
    <comment ref="B66" authorId="0">
      <text>
        <r>
          <rPr>
            <b/>
            <sz val="9"/>
            <color indexed="81"/>
            <rFont val="Tahoma"/>
            <family val="2"/>
          </rPr>
          <t>290g/1000pcs</t>
        </r>
      </text>
    </comment>
    <comment ref="B67" authorId="0">
      <text>
        <r>
          <rPr>
            <b/>
            <sz val="9"/>
            <color indexed="81"/>
            <rFont val="Tahoma"/>
            <family val="2"/>
          </rPr>
          <t>360g/1000pcs</t>
        </r>
      </text>
    </comment>
    <comment ref="B68" authorId="0">
      <text>
        <r>
          <rPr>
            <b/>
            <sz val="9"/>
            <color indexed="81"/>
            <rFont val="Tahoma"/>
            <family val="2"/>
          </rPr>
          <t>128.3g/200?</t>
        </r>
      </text>
    </comment>
    <comment ref="B69" authorId="0">
      <text>
        <r>
          <rPr>
            <b/>
            <sz val="9"/>
            <color indexed="81"/>
            <rFont val="宋体"/>
            <charset val="134"/>
          </rPr>
          <t xml:space="preserve">按面積計算
</t>
        </r>
        <r>
          <rPr>
            <b/>
            <sz val="9"/>
            <color indexed="81"/>
            <rFont val="Tahoma"/>
            <family val="2"/>
          </rPr>
          <t>1cm*1cm=0.006g</t>
        </r>
      </text>
    </comment>
    <comment ref="B70" authorId="0">
      <text>
        <r>
          <rPr>
            <b/>
            <sz val="9"/>
            <color indexed="81"/>
            <rFont val="宋体"/>
            <charset val="134"/>
          </rPr>
          <t xml:space="preserve">按面積計算
</t>
        </r>
        <r>
          <rPr>
            <b/>
            <sz val="9"/>
            <color indexed="81"/>
            <rFont val="Tahoma"/>
            <family val="2"/>
          </rPr>
          <t>1cm*1cm=0.006g</t>
        </r>
      </text>
    </comment>
    <comment ref="W70" authorId="0">
      <text>
        <r>
          <rPr>
            <b/>
            <sz val="9"/>
            <color indexed="81"/>
            <rFont val="宋体"/>
            <charset val="134"/>
          </rPr>
          <t>內</t>
        </r>
        <r>
          <rPr>
            <b/>
            <sz val="9"/>
            <color indexed="81"/>
            <rFont val="Tahoma"/>
            <family val="2"/>
          </rPr>
          <t>7.4*10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內</t>
        </r>
        <r>
          <rPr>
            <b/>
            <sz val="9"/>
            <color indexed="81"/>
            <rFont val="Tahoma"/>
            <family val="2"/>
          </rPr>
          <t>7.4*10</t>
        </r>
      </text>
    </comment>
    <comment ref="C72" authorId="0">
      <text>
        <r>
          <rPr>
            <b/>
            <sz val="9"/>
            <color indexed="81"/>
            <rFont val="宋体"/>
            <charset val="134"/>
          </rPr>
          <t>內</t>
        </r>
        <r>
          <rPr>
            <b/>
            <sz val="9"/>
            <color indexed="81"/>
            <rFont val="Tahoma"/>
            <family val="2"/>
          </rPr>
          <t>8.2*9</t>
        </r>
      </text>
    </comment>
    <comment ref="W72" authorId="0">
      <text>
        <r>
          <rPr>
            <b/>
            <sz val="9"/>
            <color indexed="81"/>
            <rFont val="宋体"/>
            <charset val="134"/>
          </rPr>
          <t>內</t>
        </r>
        <r>
          <rPr>
            <b/>
            <sz val="9"/>
            <color indexed="81"/>
            <rFont val="Tahoma"/>
            <family val="2"/>
          </rPr>
          <t>8.2*9</t>
        </r>
      </text>
    </comment>
    <comment ref="C73" authorId="0">
      <text>
        <r>
          <rPr>
            <b/>
            <sz val="9"/>
            <color indexed="81"/>
            <rFont val="宋体"/>
            <charset val="134"/>
          </rPr>
          <t>內</t>
        </r>
        <r>
          <rPr>
            <b/>
            <sz val="9"/>
            <color indexed="81"/>
            <rFont val="Tahoma"/>
            <family val="2"/>
          </rPr>
          <t>9.5*16</t>
        </r>
      </text>
    </comment>
    <comment ref="W73" authorId="0">
      <text>
        <r>
          <rPr>
            <b/>
            <sz val="9"/>
            <color indexed="81"/>
            <rFont val="宋体"/>
            <charset val="134"/>
          </rPr>
          <t>內</t>
        </r>
        <r>
          <rPr>
            <b/>
            <sz val="9"/>
            <color indexed="81"/>
            <rFont val="Tahoma"/>
            <family val="2"/>
          </rPr>
          <t>9.5*16</t>
        </r>
      </text>
    </comment>
    <comment ref="C74" authorId="0">
      <text>
        <r>
          <rPr>
            <b/>
            <sz val="9"/>
            <color indexed="81"/>
            <rFont val="宋体"/>
            <charset val="134"/>
          </rPr>
          <t>內</t>
        </r>
        <r>
          <rPr>
            <b/>
            <sz val="9"/>
            <color indexed="81"/>
            <rFont val="Tahoma"/>
            <family val="2"/>
          </rPr>
          <t xml:space="preserve">10.5*15
</t>
        </r>
      </text>
    </comment>
    <comment ref="N74"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W74" authorId="0">
      <text>
        <r>
          <rPr>
            <b/>
            <sz val="9"/>
            <color indexed="81"/>
            <rFont val="宋体"/>
            <charset val="134"/>
          </rPr>
          <t>內</t>
        </r>
        <r>
          <rPr>
            <b/>
            <sz val="9"/>
            <color indexed="81"/>
            <rFont val="Tahoma"/>
            <family val="2"/>
          </rPr>
          <t xml:space="preserve">10.5*15
</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內</t>
        </r>
        <r>
          <rPr>
            <b/>
            <sz val="9"/>
            <color indexed="81"/>
            <rFont val="Tahoma"/>
            <family val="2"/>
          </rPr>
          <t>11.5*18</t>
        </r>
      </text>
    </comment>
    <comment ref="W75" authorId="0">
      <text>
        <r>
          <rPr>
            <b/>
            <sz val="9"/>
            <color indexed="81"/>
            <rFont val="宋体"/>
            <charset val="134"/>
          </rPr>
          <t>內</t>
        </r>
        <r>
          <rPr>
            <b/>
            <sz val="9"/>
            <color indexed="81"/>
            <rFont val="Tahoma"/>
            <family val="2"/>
          </rPr>
          <t>11.5*18</t>
        </r>
      </text>
    </comment>
    <comment ref="AL75" authorId="0">
      <text>
        <r>
          <rPr>
            <b/>
            <sz val="9"/>
            <color indexed="81"/>
            <rFont val="宋体"/>
            <charset val="134"/>
          </rPr>
          <t>內</t>
        </r>
        <r>
          <rPr>
            <b/>
            <sz val="9"/>
            <color indexed="81"/>
            <rFont val="Tahoma"/>
            <family val="2"/>
          </rPr>
          <t>11.5*18</t>
        </r>
      </text>
    </comment>
    <comment ref="C76" authorId="0">
      <text>
        <r>
          <rPr>
            <b/>
            <sz val="9"/>
            <color indexed="81"/>
            <rFont val="宋体"/>
            <charset val="134"/>
          </rPr>
          <t>內</t>
        </r>
        <r>
          <rPr>
            <b/>
            <sz val="9"/>
            <color indexed="81"/>
            <rFont val="Tahoma"/>
            <family val="2"/>
          </rPr>
          <t>12.5*20</t>
        </r>
      </text>
    </comment>
    <comment ref="N76" authorId="0">
      <text>
        <r>
          <rPr>
            <b/>
            <sz val="9"/>
            <color indexed="81"/>
            <rFont val="宋体"/>
            <charset val="134"/>
          </rPr>
          <t>包彩帶用</t>
        </r>
        <r>
          <rPr>
            <b/>
            <sz val="9"/>
            <color indexed="81"/>
            <rFont val="Tahoma"/>
            <family val="2"/>
          </rPr>
          <t>-30x</t>
        </r>
      </text>
    </comment>
    <comment ref="O76" authorId="0">
      <text>
        <r>
          <rPr>
            <b/>
            <sz val="9"/>
            <color indexed="81"/>
            <rFont val="宋体"/>
            <charset val="134"/>
          </rPr>
          <t>包彩帶用</t>
        </r>
        <r>
          <rPr>
            <b/>
            <sz val="9"/>
            <color indexed="81"/>
            <rFont val="Tahoma"/>
            <family val="2"/>
          </rPr>
          <t>-30x</t>
        </r>
      </text>
    </comment>
    <comment ref="W76" authorId="0">
      <text>
        <r>
          <rPr>
            <b/>
            <sz val="9"/>
            <color indexed="81"/>
            <rFont val="宋体"/>
            <charset val="134"/>
          </rPr>
          <t>內</t>
        </r>
        <r>
          <rPr>
            <b/>
            <sz val="9"/>
            <color indexed="81"/>
            <rFont val="Tahoma"/>
            <family val="2"/>
          </rPr>
          <t>12.5*20</t>
        </r>
      </text>
    </comment>
    <comment ref="B77" authorId="0">
      <text>
        <r>
          <rPr>
            <b/>
            <sz val="9"/>
            <color indexed="81"/>
            <rFont val="宋体"/>
            <charset val="134"/>
          </rPr>
          <t xml:space="preserve">按面積計算
</t>
        </r>
        <r>
          <rPr>
            <b/>
            <sz val="9"/>
            <color indexed="81"/>
            <rFont val="Tahoma"/>
            <family val="2"/>
          </rPr>
          <t>1cm*1cm=0.006g</t>
        </r>
      </text>
    </comment>
    <comment ref="C77" authorId="0">
      <text>
        <r>
          <rPr>
            <b/>
            <sz val="9"/>
            <color indexed="81"/>
            <rFont val="宋体"/>
            <charset val="134"/>
          </rPr>
          <t>內</t>
        </r>
        <r>
          <rPr>
            <b/>
            <sz val="9"/>
            <color indexed="81"/>
            <rFont val="Tahoma"/>
            <family val="2"/>
          </rPr>
          <t>13.3*25</t>
        </r>
      </text>
    </comment>
    <comment ref="W77" authorId="0">
      <text>
        <r>
          <rPr>
            <b/>
            <sz val="9"/>
            <color indexed="81"/>
            <rFont val="宋体"/>
            <charset val="134"/>
          </rPr>
          <t>內</t>
        </r>
        <r>
          <rPr>
            <b/>
            <sz val="9"/>
            <color indexed="81"/>
            <rFont val="Tahoma"/>
            <family val="2"/>
          </rPr>
          <t>13.3*25</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內</t>
        </r>
        <r>
          <rPr>
            <b/>
            <sz val="9"/>
            <color indexed="81"/>
            <rFont val="Tahoma"/>
            <family val="2"/>
          </rPr>
          <t>14.3*21</t>
        </r>
      </text>
    </comment>
    <comment ref="W78" authorId="0">
      <text>
        <r>
          <rPr>
            <b/>
            <sz val="9"/>
            <color indexed="81"/>
            <rFont val="宋体"/>
            <charset val="134"/>
          </rPr>
          <t>內</t>
        </r>
        <r>
          <rPr>
            <b/>
            <sz val="9"/>
            <color indexed="81"/>
            <rFont val="Tahoma"/>
            <family val="2"/>
          </rPr>
          <t>14.3*21</t>
        </r>
      </text>
    </comment>
    <comment ref="B79" authorId="0">
      <text>
        <r>
          <rPr>
            <b/>
            <sz val="9"/>
            <color indexed="81"/>
            <rFont val="宋体"/>
            <charset val="134"/>
          </rPr>
          <t xml:space="preserve">按面積計算
</t>
        </r>
        <r>
          <rPr>
            <b/>
            <sz val="9"/>
            <color indexed="81"/>
            <rFont val="Tahoma"/>
            <family val="2"/>
          </rPr>
          <t>1cm*1cm=0.006g</t>
        </r>
      </text>
    </comment>
    <comment ref="C79" authorId="0">
      <text>
        <r>
          <rPr>
            <b/>
            <sz val="9"/>
            <color indexed="81"/>
            <rFont val="宋体"/>
            <charset val="134"/>
          </rPr>
          <t>內</t>
        </r>
        <r>
          <rPr>
            <b/>
            <sz val="9"/>
            <color indexed="81"/>
            <rFont val="Tahoma"/>
            <family val="2"/>
          </rPr>
          <t>17.5*30</t>
        </r>
      </text>
    </comment>
    <comment ref="W79" authorId="0">
      <text>
        <r>
          <rPr>
            <b/>
            <sz val="9"/>
            <color indexed="81"/>
            <rFont val="宋体"/>
            <charset val="134"/>
          </rPr>
          <t>內</t>
        </r>
        <r>
          <rPr>
            <b/>
            <sz val="9"/>
            <color indexed="81"/>
            <rFont val="Tahoma"/>
            <family val="2"/>
          </rPr>
          <t>17.5*30</t>
        </r>
      </text>
    </comment>
    <comment ref="B80" authorId="0">
      <text>
        <r>
          <rPr>
            <b/>
            <sz val="9"/>
            <color indexed="81"/>
            <rFont val="宋体"/>
            <charset val="134"/>
          </rPr>
          <t xml:space="preserve">按面積計算
</t>
        </r>
        <r>
          <rPr>
            <b/>
            <sz val="9"/>
            <color indexed="81"/>
            <rFont val="Tahoma"/>
            <family val="2"/>
          </rPr>
          <t>1cm*1cm=0.006g</t>
        </r>
      </text>
    </comment>
    <comment ref="C80" authorId="0">
      <text>
        <r>
          <rPr>
            <b/>
            <sz val="9"/>
            <color indexed="81"/>
            <rFont val="宋体"/>
            <charset val="134"/>
          </rPr>
          <t>洞+內</t>
        </r>
        <r>
          <rPr>
            <b/>
            <sz val="9"/>
            <color indexed="81"/>
            <rFont val="Tahoma"/>
            <family val="2"/>
          </rPr>
          <t>19.3*26</t>
        </r>
      </text>
    </comment>
    <comment ref="W80" authorId="0">
      <text>
        <r>
          <rPr>
            <b/>
            <sz val="9"/>
            <color indexed="81"/>
            <rFont val="宋体"/>
            <charset val="134"/>
          </rPr>
          <t>洞+內</t>
        </r>
        <r>
          <rPr>
            <b/>
            <sz val="9"/>
            <color indexed="81"/>
            <rFont val="Tahoma"/>
            <family val="2"/>
          </rPr>
          <t>19.3*26</t>
        </r>
      </text>
    </comment>
    <comment ref="B81" authorId="0">
      <text>
        <r>
          <rPr>
            <b/>
            <sz val="9"/>
            <color indexed="81"/>
            <rFont val="宋体"/>
            <charset val="134"/>
          </rPr>
          <t xml:space="preserve">按面積計算
</t>
        </r>
        <r>
          <rPr>
            <b/>
            <sz val="9"/>
            <color indexed="81"/>
            <rFont val="Tahoma"/>
            <family val="2"/>
          </rPr>
          <t>1cm*1cm=0.006g</t>
        </r>
      </text>
    </comment>
    <comment ref="C8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W8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82" authorId="0">
      <text>
        <r>
          <rPr>
            <b/>
            <sz val="9"/>
            <color indexed="81"/>
            <rFont val="宋体"/>
            <charset val="134"/>
          </rPr>
          <t xml:space="preserve">按面積計算
</t>
        </r>
        <r>
          <rPr>
            <b/>
            <sz val="9"/>
            <color indexed="81"/>
            <rFont val="Tahoma"/>
            <family val="2"/>
          </rPr>
          <t>1cm*1cm=0.006g</t>
        </r>
      </text>
    </comment>
    <comment ref="C82" authorId="0">
      <text>
        <r>
          <rPr>
            <b/>
            <sz val="9"/>
            <color indexed="81"/>
            <rFont val="宋体"/>
            <charset val="134"/>
          </rPr>
          <t>內</t>
        </r>
        <r>
          <rPr>
            <b/>
            <sz val="9"/>
            <color indexed="81"/>
            <rFont val="Tahoma"/>
            <family val="2"/>
          </rPr>
          <t>22.5*32</t>
        </r>
      </text>
    </comment>
    <comment ref="W82" authorId="0">
      <text>
        <r>
          <rPr>
            <b/>
            <sz val="9"/>
            <color indexed="81"/>
            <rFont val="宋体"/>
            <charset val="134"/>
          </rPr>
          <t>內</t>
        </r>
        <r>
          <rPr>
            <b/>
            <sz val="9"/>
            <color indexed="81"/>
            <rFont val="Tahoma"/>
            <family val="2"/>
          </rPr>
          <t>22.5*32</t>
        </r>
      </text>
    </comment>
    <comment ref="C83" authorId="0">
      <text>
        <r>
          <rPr>
            <b/>
            <sz val="9"/>
            <color indexed="81"/>
            <rFont val="宋体"/>
            <charset val="134"/>
          </rPr>
          <t>洞+內</t>
        </r>
        <r>
          <rPr>
            <b/>
            <sz val="9"/>
            <color indexed="81"/>
            <rFont val="Tahoma"/>
            <family val="2"/>
          </rPr>
          <t>25.3*30</t>
        </r>
      </text>
    </comment>
    <comment ref="W83" authorId="0">
      <text>
        <r>
          <rPr>
            <b/>
            <sz val="9"/>
            <color indexed="81"/>
            <rFont val="宋体"/>
            <charset val="134"/>
          </rPr>
          <t>洞+內</t>
        </r>
        <r>
          <rPr>
            <b/>
            <sz val="9"/>
            <color indexed="81"/>
            <rFont val="Tahoma"/>
            <family val="2"/>
          </rPr>
          <t>25.3*30</t>
        </r>
      </text>
    </comment>
    <comment ref="B84" authorId="0">
      <text>
        <r>
          <rPr>
            <b/>
            <sz val="9"/>
            <color indexed="81"/>
            <rFont val="宋体"/>
            <charset val="134"/>
          </rPr>
          <t xml:space="preserve">按面積計算
</t>
        </r>
        <r>
          <rPr>
            <b/>
            <sz val="9"/>
            <color indexed="81"/>
            <rFont val="Tahoma"/>
            <family val="2"/>
          </rPr>
          <t>1cm*1cm=0.006g</t>
        </r>
      </text>
    </comment>
    <comment ref="C84" authorId="0">
      <text>
        <r>
          <rPr>
            <b/>
            <sz val="9"/>
            <color indexed="81"/>
            <rFont val="宋体"/>
            <charset val="134"/>
          </rPr>
          <t>洞+內</t>
        </r>
        <r>
          <rPr>
            <b/>
            <sz val="9"/>
            <color indexed="81"/>
            <rFont val="Tahoma"/>
            <family val="2"/>
          </rPr>
          <t>29.3*38</t>
        </r>
      </text>
    </comment>
    <comment ref="W84" authorId="0">
      <text>
        <r>
          <rPr>
            <b/>
            <sz val="9"/>
            <color indexed="81"/>
            <rFont val="宋体"/>
            <charset val="134"/>
          </rPr>
          <t>洞+內</t>
        </r>
        <r>
          <rPr>
            <b/>
            <sz val="9"/>
            <color indexed="81"/>
            <rFont val="Tahoma"/>
            <family val="2"/>
          </rPr>
          <t>29.3*38</t>
        </r>
      </text>
    </comment>
    <comment ref="B85" authorId="0">
      <text>
        <r>
          <rPr>
            <b/>
            <sz val="9"/>
            <color indexed="81"/>
            <rFont val="宋体"/>
            <charset val="134"/>
          </rPr>
          <t xml:space="preserve">按面積計算
</t>
        </r>
        <r>
          <rPr>
            <b/>
            <sz val="9"/>
            <color indexed="81"/>
            <rFont val="Tahoma"/>
            <family val="2"/>
          </rPr>
          <t>1cm*1cm=0.006g</t>
        </r>
      </text>
    </comment>
    <comment ref="C85" authorId="0">
      <text>
        <r>
          <rPr>
            <b/>
            <sz val="9"/>
            <color indexed="81"/>
            <rFont val="宋体"/>
            <charset val="134"/>
          </rPr>
          <t>洞+內</t>
        </r>
        <r>
          <rPr>
            <b/>
            <sz val="9"/>
            <color indexed="81"/>
            <rFont val="Tahoma"/>
            <family val="2"/>
          </rPr>
          <t>39.3*60</t>
        </r>
      </text>
    </comment>
    <comment ref="W85" authorId="0">
      <text>
        <r>
          <rPr>
            <b/>
            <sz val="9"/>
            <color indexed="81"/>
            <rFont val="宋体"/>
            <charset val="134"/>
          </rPr>
          <t>洞+內</t>
        </r>
        <r>
          <rPr>
            <b/>
            <sz val="9"/>
            <color indexed="81"/>
            <rFont val="Tahoma"/>
            <family val="2"/>
          </rPr>
          <t>39.3*60</t>
        </r>
      </text>
    </comment>
    <comment ref="A89"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W90" authorId="0">
      <text>
        <r>
          <rPr>
            <b/>
            <sz val="9"/>
            <color indexed="81"/>
            <rFont val="宋体"/>
            <charset val="134"/>
          </rPr>
          <t>內</t>
        </r>
        <r>
          <rPr>
            <b/>
            <sz val="9"/>
            <color indexed="81"/>
            <rFont val="Tahoma"/>
            <family val="2"/>
          </rPr>
          <t>:5.3*24cm</t>
        </r>
      </text>
    </comment>
    <comment ref="W93" authorId="0">
      <text>
        <r>
          <rPr>
            <b/>
            <sz val="9"/>
            <color indexed="81"/>
            <rFont val="宋体"/>
            <charset val="134"/>
          </rPr>
          <t>實際</t>
        </r>
        <r>
          <rPr>
            <b/>
            <sz val="9"/>
            <color indexed="81"/>
            <rFont val="Tahoma"/>
            <family val="2"/>
          </rPr>
          <t>6*15.5cm</t>
        </r>
      </text>
    </comment>
    <comment ref="W94" authorId="0">
      <text>
        <r>
          <rPr>
            <b/>
            <sz val="9"/>
            <color indexed="81"/>
            <rFont val="宋体"/>
            <charset val="134"/>
          </rPr>
          <t>實際</t>
        </r>
        <r>
          <rPr>
            <b/>
            <sz val="9"/>
            <color indexed="81"/>
            <rFont val="Tahoma"/>
            <family val="2"/>
          </rPr>
          <t>6*20.5cm</t>
        </r>
      </text>
    </comment>
    <comment ref="W95" authorId="0">
      <text>
        <r>
          <rPr>
            <b/>
            <sz val="9"/>
            <color indexed="81"/>
            <rFont val="宋体"/>
            <charset val="134"/>
          </rPr>
          <t>實際</t>
        </r>
        <r>
          <rPr>
            <b/>
            <sz val="9"/>
            <color indexed="81"/>
            <rFont val="Tahoma"/>
            <family val="2"/>
          </rPr>
          <t>6*30.5cm</t>
        </r>
      </text>
    </comment>
    <comment ref="A96"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C97" authorId="0">
      <text>
        <r>
          <rPr>
            <b/>
            <sz val="9"/>
            <color indexed="81"/>
            <rFont val="宋体"/>
            <charset val="134"/>
          </rPr>
          <t>實際</t>
        </r>
        <r>
          <rPr>
            <b/>
            <sz val="9"/>
            <color indexed="81"/>
            <rFont val="Tahoma"/>
            <family val="2"/>
          </rPr>
          <t>6*15.5cm</t>
        </r>
      </text>
    </comment>
    <comment ref="V97"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V98"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C99" authorId="0">
      <text>
        <r>
          <rPr>
            <b/>
            <sz val="9"/>
            <color indexed="81"/>
            <rFont val="宋体"/>
            <charset val="134"/>
          </rPr>
          <t>實際</t>
        </r>
        <r>
          <rPr>
            <b/>
            <sz val="9"/>
            <color indexed="81"/>
            <rFont val="Tahoma"/>
            <family val="2"/>
          </rPr>
          <t>6*20.5cm</t>
        </r>
      </text>
    </comment>
    <comment ref="W99" authorId="0">
      <text>
        <r>
          <rPr>
            <b/>
            <sz val="9"/>
            <color indexed="81"/>
            <rFont val="宋体"/>
            <charset val="134"/>
          </rPr>
          <t>實際</t>
        </r>
        <r>
          <rPr>
            <b/>
            <sz val="9"/>
            <color indexed="81"/>
            <rFont val="Tahoma"/>
            <family val="2"/>
          </rPr>
          <t>8*19.5cm</t>
        </r>
      </text>
    </comment>
    <comment ref="C100" authorId="0">
      <text>
        <r>
          <rPr>
            <b/>
            <sz val="9"/>
            <color indexed="81"/>
            <rFont val="宋体"/>
            <charset val="134"/>
          </rPr>
          <t>實際</t>
        </r>
        <r>
          <rPr>
            <b/>
            <sz val="9"/>
            <color indexed="81"/>
            <rFont val="Tahoma"/>
            <family val="2"/>
          </rPr>
          <t>6*30.5cm</t>
        </r>
      </text>
    </comment>
    <comment ref="C101" authorId="0">
      <text>
        <r>
          <rPr>
            <b/>
            <sz val="9"/>
            <color indexed="81"/>
            <rFont val="宋体"/>
            <charset val="134"/>
          </rPr>
          <t>實際</t>
        </r>
        <r>
          <rPr>
            <b/>
            <sz val="9"/>
            <color indexed="81"/>
            <rFont val="Tahoma"/>
            <family val="2"/>
          </rPr>
          <t>8*19.5cm</t>
        </r>
      </text>
    </comment>
    <comment ref="C105" authorId="0">
      <text>
        <r>
          <rPr>
            <b/>
            <sz val="9"/>
            <color indexed="81"/>
            <rFont val="宋体"/>
            <charset val="134"/>
          </rPr>
          <t>內</t>
        </r>
        <r>
          <rPr>
            <b/>
            <sz val="9"/>
            <color indexed="81"/>
            <rFont val="Tahoma"/>
            <family val="2"/>
          </rPr>
          <t>:5.3*24cm</t>
        </r>
      </text>
    </comment>
    <comment ref="C106" authorId="0">
      <text>
        <r>
          <rPr>
            <b/>
            <sz val="9"/>
            <color indexed="81"/>
            <rFont val="宋体"/>
            <charset val="134"/>
          </rPr>
          <t>內</t>
        </r>
        <r>
          <rPr>
            <b/>
            <sz val="9"/>
            <color indexed="81"/>
            <rFont val="Tahoma"/>
            <family val="2"/>
          </rPr>
          <t>:17.5*26cm</t>
        </r>
      </text>
    </comment>
    <comment ref="W106" authorId="0">
      <text>
        <r>
          <rPr>
            <b/>
            <sz val="9"/>
            <color indexed="81"/>
            <rFont val="宋体"/>
            <charset val="134"/>
          </rPr>
          <t>內</t>
        </r>
        <r>
          <rPr>
            <b/>
            <sz val="9"/>
            <color indexed="81"/>
            <rFont val="Tahoma"/>
            <family val="2"/>
          </rPr>
          <t>:17.5*26cm</t>
        </r>
      </text>
    </comment>
    <comment ref="C107" authorId="0">
      <text>
        <r>
          <rPr>
            <b/>
            <sz val="9"/>
            <color indexed="81"/>
            <rFont val="宋体"/>
            <charset val="134"/>
          </rPr>
          <t>內</t>
        </r>
        <r>
          <rPr>
            <b/>
            <sz val="9"/>
            <color indexed="81"/>
            <rFont val="Tahoma"/>
            <family val="2"/>
          </rPr>
          <t>:19.5*30cm</t>
        </r>
      </text>
    </comment>
    <comment ref="W107" authorId="0">
      <text>
        <r>
          <rPr>
            <b/>
            <sz val="9"/>
            <color indexed="81"/>
            <rFont val="宋体"/>
            <charset val="134"/>
          </rPr>
          <t>內</t>
        </r>
        <r>
          <rPr>
            <b/>
            <sz val="9"/>
            <color indexed="81"/>
            <rFont val="Tahoma"/>
            <family val="2"/>
          </rPr>
          <t>:19.5*30cm</t>
        </r>
      </text>
    </comment>
    <comment ref="C108" authorId="0">
      <text>
        <r>
          <rPr>
            <b/>
            <sz val="9"/>
            <color indexed="81"/>
            <rFont val="宋体"/>
            <charset val="134"/>
          </rPr>
          <t>內</t>
        </r>
        <r>
          <rPr>
            <b/>
            <sz val="9"/>
            <color indexed="81"/>
            <rFont val="Tahoma"/>
            <family val="2"/>
          </rPr>
          <t xml:space="preserve">:22*33cm
</t>
        </r>
      </text>
    </comment>
    <comment ref="W108" authorId="0">
      <text>
        <r>
          <rPr>
            <b/>
            <sz val="9"/>
            <color indexed="81"/>
            <rFont val="宋体"/>
            <charset val="134"/>
          </rPr>
          <t>內</t>
        </r>
        <r>
          <rPr>
            <b/>
            <sz val="9"/>
            <color indexed="81"/>
            <rFont val="Tahoma"/>
            <family val="2"/>
          </rPr>
          <t xml:space="preserve">:22*33cm
</t>
        </r>
      </text>
    </comment>
    <comment ref="P11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C111" authorId="0">
      <text>
        <r>
          <rPr>
            <b/>
            <sz val="9"/>
            <color indexed="81"/>
            <rFont val="宋体"/>
            <charset val="134"/>
          </rPr>
          <t>定作</t>
        </r>
      </text>
    </comment>
    <comment ref="P11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V111"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C112" authorId="0">
      <text>
        <r>
          <rPr>
            <b/>
            <sz val="9"/>
            <color indexed="81"/>
            <rFont val="宋体"/>
            <charset val="134"/>
          </rPr>
          <t>定作</t>
        </r>
      </text>
    </comment>
    <comment ref="P11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6"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7"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P11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8"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A119"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19"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20"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P12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V121"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P12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V123"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2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6"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A127"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N12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P12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A128"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P12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50"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45"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73" authorId="0">
      <text>
        <r>
          <rPr>
            <b/>
            <sz val="9"/>
            <color indexed="81"/>
            <rFont val="Tahoma"/>
            <family val="2"/>
          </rPr>
          <t>8</t>
        </r>
        <r>
          <rPr>
            <b/>
            <sz val="9"/>
            <color indexed="81"/>
            <rFont val="宋体"/>
            <charset val="134"/>
          </rPr>
          <t xml:space="preserve">件裝分拆
</t>
        </r>
      </text>
    </comment>
    <comment ref="C374" authorId="0">
      <text>
        <r>
          <rPr>
            <b/>
            <sz val="9"/>
            <color indexed="81"/>
            <rFont val="Tahoma"/>
            <family val="2"/>
          </rPr>
          <t>8</t>
        </r>
        <r>
          <rPr>
            <b/>
            <sz val="9"/>
            <color indexed="81"/>
            <rFont val="宋体"/>
            <charset val="134"/>
          </rPr>
          <t xml:space="preserve">件裝分拆
</t>
        </r>
      </text>
    </comment>
    <comment ref="AJ374" authorId="0">
      <text>
        <r>
          <rPr>
            <b/>
            <sz val="9"/>
            <color indexed="81"/>
            <rFont val="Tahoma"/>
            <family val="2"/>
          </rPr>
          <t>8</t>
        </r>
        <r>
          <rPr>
            <b/>
            <sz val="9"/>
            <color indexed="81"/>
            <rFont val="宋体"/>
            <charset val="134"/>
          </rPr>
          <t xml:space="preserve">件裝分拆
</t>
        </r>
      </text>
    </comment>
    <comment ref="C375" authorId="0">
      <text>
        <r>
          <rPr>
            <b/>
            <sz val="9"/>
            <color indexed="81"/>
            <rFont val="Tahoma"/>
            <family val="2"/>
          </rPr>
          <t>8</t>
        </r>
        <r>
          <rPr>
            <b/>
            <sz val="9"/>
            <color indexed="81"/>
            <rFont val="宋体"/>
            <charset val="134"/>
          </rPr>
          <t xml:space="preserve">件裝分拆
</t>
        </r>
      </text>
    </comment>
    <comment ref="C376" authorId="0">
      <text>
        <r>
          <rPr>
            <b/>
            <sz val="9"/>
            <color indexed="81"/>
            <rFont val="Tahoma"/>
            <family val="2"/>
          </rPr>
          <t>8</t>
        </r>
        <r>
          <rPr>
            <b/>
            <sz val="9"/>
            <color indexed="81"/>
            <rFont val="宋体"/>
            <charset val="134"/>
          </rPr>
          <t xml:space="preserve">件裝分拆
</t>
        </r>
      </text>
    </comment>
    <comment ref="C377" authorId="0">
      <text>
        <r>
          <rPr>
            <b/>
            <sz val="9"/>
            <color indexed="81"/>
            <rFont val="宋体"/>
            <charset val="134"/>
          </rPr>
          <t xml:space="preserve">廠家免費送
</t>
        </r>
      </text>
    </comment>
    <comment ref="O377" authorId="0">
      <text>
        <r>
          <rPr>
            <b/>
            <sz val="9"/>
            <color indexed="81"/>
            <rFont val="宋体"/>
            <charset val="134"/>
          </rPr>
          <t xml:space="preserve">廠家免費送
</t>
        </r>
      </text>
    </comment>
    <comment ref="C378" authorId="0">
      <text>
        <r>
          <rPr>
            <b/>
            <sz val="9"/>
            <color indexed="81"/>
            <rFont val="宋体"/>
            <charset val="134"/>
          </rPr>
          <t xml:space="preserve">勾+毛
</t>
        </r>
      </text>
    </comment>
    <comment ref="AJ378" authorId="0">
      <text>
        <r>
          <rPr>
            <b/>
            <sz val="9"/>
            <color indexed="81"/>
            <rFont val="宋体"/>
            <charset val="134"/>
          </rPr>
          <t xml:space="preserve">廠家免費送
</t>
        </r>
      </text>
    </comment>
    <comment ref="C379" authorId="0">
      <text>
        <r>
          <rPr>
            <b/>
            <sz val="9"/>
            <color indexed="81"/>
            <rFont val="宋体"/>
            <charset val="134"/>
          </rPr>
          <t xml:space="preserve">勾+毛
</t>
        </r>
      </text>
    </comment>
    <comment ref="AJ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C383" authorId="0">
      <text>
        <r>
          <rPr>
            <b/>
            <sz val="9"/>
            <color indexed="81"/>
            <rFont val="宋体"/>
            <charset val="134"/>
          </rPr>
          <t xml:space="preserve">勾+毛
</t>
        </r>
      </text>
    </comment>
    <comment ref="C384" authorId="0">
      <text>
        <r>
          <rPr>
            <b/>
            <sz val="9"/>
            <color indexed="81"/>
            <rFont val="宋体"/>
            <charset val="134"/>
          </rPr>
          <t xml:space="preserve">勾+毛
</t>
        </r>
      </text>
    </comment>
    <comment ref="C385" authorId="0">
      <text>
        <r>
          <rPr>
            <b/>
            <sz val="9"/>
            <color indexed="81"/>
            <rFont val="宋体"/>
            <charset val="134"/>
          </rPr>
          <t xml:space="preserve">勾+毛
</t>
        </r>
      </text>
    </comment>
    <comment ref="AJ385" authorId="0">
      <text>
        <r>
          <rPr>
            <b/>
            <sz val="9"/>
            <color indexed="81"/>
            <rFont val="宋体"/>
            <charset val="134"/>
          </rPr>
          <t xml:space="preserve">勾+毛
</t>
        </r>
      </text>
    </comment>
    <comment ref="C386" authorId="0">
      <text>
        <r>
          <rPr>
            <b/>
            <sz val="9"/>
            <color indexed="81"/>
            <rFont val="宋体"/>
            <charset val="134"/>
          </rPr>
          <t xml:space="preserve">勾+毛
</t>
        </r>
      </text>
    </comment>
    <comment ref="C387" authorId="0">
      <text>
        <r>
          <rPr>
            <b/>
            <sz val="9"/>
            <color indexed="81"/>
            <rFont val="宋体"/>
            <charset val="134"/>
          </rPr>
          <t xml:space="preserve">勾+毛
</t>
        </r>
      </text>
    </comment>
    <comment ref="C388" authorId="0">
      <text>
        <r>
          <rPr>
            <b/>
            <sz val="9"/>
            <color indexed="81"/>
            <rFont val="宋体"/>
            <charset val="134"/>
          </rPr>
          <t xml:space="preserve">勾+毛
</t>
        </r>
      </text>
    </comment>
    <comment ref="C389" authorId="0">
      <text>
        <r>
          <rPr>
            <b/>
            <sz val="9"/>
            <color indexed="81"/>
            <rFont val="宋体"/>
            <charset val="134"/>
          </rPr>
          <t xml:space="preserve">勾+毛
</t>
        </r>
      </text>
    </comment>
    <comment ref="C390" authorId="0">
      <text>
        <r>
          <rPr>
            <b/>
            <sz val="9"/>
            <color indexed="81"/>
            <rFont val="宋体"/>
            <charset val="134"/>
          </rPr>
          <t xml:space="preserve">勾+毛
</t>
        </r>
      </text>
    </comment>
    <comment ref="C391" authorId="0">
      <text>
        <r>
          <rPr>
            <b/>
            <sz val="9"/>
            <color indexed="81"/>
            <rFont val="宋体"/>
            <charset val="134"/>
          </rPr>
          <t xml:space="preserve">勾+毛
</t>
        </r>
      </text>
    </comment>
    <comment ref="C392" authorId="0">
      <text>
        <r>
          <rPr>
            <b/>
            <sz val="9"/>
            <color indexed="81"/>
            <rFont val="宋体"/>
            <charset val="134"/>
          </rPr>
          <t xml:space="preserve">勾+毛
</t>
        </r>
      </text>
    </comment>
    <comment ref="C393" authorId="0">
      <text>
        <r>
          <rPr>
            <b/>
            <sz val="9"/>
            <color indexed="81"/>
            <rFont val="宋体"/>
            <charset val="134"/>
          </rPr>
          <t xml:space="preserve">勾+毛
</t>
        </r>
      </text>
    </comment>
    <comment ref="AJ393" authorId="0">
      <text>
        <r>
          <rPr>
            <b/>
            <sz val="9"/>
            <color indexed="81"/>
            <rFont val="宋体"/>
            <charset val="134"/>
          </rPr>
          <t xml:space="preserve">勾+毛
</t>
        </r>
      </text>
    </comment>
    <comment ref="C394" authorId="0">
      <text>
        <r>
          <rPr>
            <b/>
            <sz val="9"/>
            <color indexed="81"/>
            <rFont val="宋体"/>
            <charset val="134"/>
          </rPr>
          <t xml:space="preserve">勾+毛
</t>
        </r>
      </text>
    </comment>
    <comment ref="O39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30" authorId="0">
      <text>
        <r>
          <rPr>
            <b/>
            <sz val="9"/>
            <color indexed="81"/>
            <rFont val="宋体"/>
            <charset val="134"/>
          </rPr>
          <t xml:space="preserve">疑似出貨100米
</t>
        </r>
      </text>
    </comment>
    <comment ref="N430"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50" authorId="0">
      <text>
        <r>
          <rPr>
            <b/>
            <sz val="9"/>
            <color indexed="81"/>
            <rFont val="宋体"/>
            <charset val="134"/>
          </rPr>
          <t>国标3*100宽2.5mm
国标3*150宽2.5mm
国标3*200宽2.5mm</t>
        </r>
      </text>
    </comment>
    <comment ref="AJ451" authorId="0">
      <text>
        <r>
          <rPr>
            <b/>
            <sz val="9"/>
            <color indexed="81"/>
            <rFont val="宋体"/>
            <charset val="134"/>
          </rPr>
          <t>国标3*100宽2.5mm
国标3*150宽2.5mm
国标3*200宽2.5mm</t>
        </r>
      </text>
    </comment>
    <comment ref="C456" authorId="0">
      <text>
        <r>
          <rPr>
            <b/>
            <sz val="9"/>
            <color indexed="81"/>
            <rFont val="宋体"/>
            <charset val="134"/>
          </rPr>
          <t>国标3*100宽2.5mm
国标3*150宽2.5mm
国标3*200宽2.5mm</t>
        </r>
      </text>
    </comment>
    <comment ref="AJ457" authorId="0">
      <text>
        <r>
          <rPr>
            <b/>
            <sz val="9"/>
            <color indexed="81"/>
            <rFont val="宋体"/>
            <charset val="134"/>
          </rPr>
          <t>国标3*100宽2.5mm
国标3*150宽2.5mm
国标3*200宽2.5mm</t>
        </r>
      </text>
    </comment>
    <comment ref="C464" authorId="0">
      <text>
        <r>
          <rPr>
            <b/>
            <sz val="9"/>
            <color indexed="81"/>
            <rFont val="宋体"/>
            <charset val="134"/>
          </rPr>
          <t>国标3*100宽2.5mm
国标3*150宽2.5mm
国标3*200宽2.5mm</t>
        </r>
      </text>
    </comment>
    <comment ref="AJ465" authorId="0">
      <text>
        <r>
          <rPr>
            <b/>
            <sz val="9"/>
            <color indexed="81"/>
            <rFont val="宋体"/>
            <charset val="134"/>
          </rPr>
          <t>国标3*100宽2.5mm
国标3*150宽2.5mm
国标3*200宽2.5mm</t>
        </r>
      </text>
    </comment>
    <comment ref="C470"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71"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AJ471"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72"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73" authorId="0">
      <text>
        <r>
          <rPr>
            <b/>
            <sz val="9"/>
            <color indexed="81"/>
            <rFont val="Tahoma"/>
            <family val="2"/>
          </rPr>
          <t>330g/10pcs</t>
        </r>
      </text>
    </comment>
    <comment ref="N478"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79"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80"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J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12"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28" authorId="0">
      <text>
        <r>
          <rPr>
            <b/>
            <sz val="9"/>
            <color indexed="81"/>
            <rFont val="Tahoma"/>
            <family val="2"/>
          </rPr>
          <t>5</t>
        </r>
        <r>
          <rPr>
            <b/>
            <sz val="9"/>
            <color indexed="81"/>
            <rFont val="宋体"/>
            <charset val="134"/>
          </rPr>
          <t xml:space="preserve">件套裝分拆
</t>
        </r>
      </text>
    </comment>
    <comment ref="O628"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9" authorId="0">
      <text>
        <r>
          <rPr>
            <b/>
            <sz val="9"/>
            <color indexed="81"/>
            <rFont val="Tahoma"/>
            <family val="2"/>
          </rPr>
          <t>5</t>
        </r>
        <r>
          <rPr>
            <b/>
            <sz val="9"/>
            <color indexed="81"/>
            <rFont val="宋体"/>
            <charset val="134"/>
          </rPr>
          <t xml:space="preserve">件套裝分拆
</t>
        </r>
      </text>
    </comment>
    <comment ref="O629"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30" authorId="0">
      <text>
        <r>
          <rPr>
            <b/>
            <sz val="9"/>
            <color indexed="81"/>
            <rFont val="Tahoma"/>
            <family val="2"/>
          </rPr>
          <t>5</t>
        </r>
        <r>
          <rPr>
            <b/>
            <sz val="9"/>
            <color indexed="81"/>
            <rFont val="宋体"/>
            <charset val="134"/>
          </rPr>
          <t xml:space="preserve">件套裝分拆
</t>
        </r>
      </text>
    </comment>
    <comment ref="O630"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6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6"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7"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8"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77" authorId="0">
      <text>
        <r>
          <rPr>
            <b/>
            <sz val="9"/>
            <color indexed="81"/>
            <rFont val="宋体"/>
            <charset val="134"/>
          </rPr>
          <t>自封袋</t>
        </r>
        <r>
          <rPr>
            <b/>
            <sz val="9"/>
            <color indexed="81"/>
            <rFont val="Tahoma"/>
            <family val="2"/>
          </rPr>
          <t>:8*12cm-1g
4.5g/10pcs</t>
        </r>
      </text>
    </comment>
    <comment ref="B686" authorId="0">
      <text>
        <r>
          <rPr>
            <b/>
            <sz val="9"/>
            <color indexed="81"/>
            <rFont val="Tahoma"/>
            <family val="2"/>
          </rPr>
          <t>13g/10pcs</t>
        </r>
      </text>
    </comment>
    <comment ref="B689" authorId="0">
      <text>
        <r>
          <rPr>
            <b/>
            <sz val="9"/>
            <color indexed="81"/>
            <rFont val="Tahoma"/>
            <family val="2"/>
          </rPr>
          <t>6.4g/10pcs</t>
        </r>
      </text>
    </comment>
    <comment ref="C736" authorId="0">
      <text>
        <r>
          <rPr>
            <b/>
            <sz val="9"/>
            <color indexed="81"/>
            <rFont val="宋体"/>
            <charset val="134"/>
          </rPr>
          <t>出成迷你透明已重新下單小透明1</t>
        </r>
        <r>
          <rPr>
            <b/>
            <sz val="9"/>
            <color indexed="81"/>
            <rFont val="宋体"/>
            <family val="3"/>
            <charset val="134"/>
          </rPr>
          <t>0個</t>
        </r>
      </text>
    </comment>
    <comment ref="N736" authorId="0">
      <text>
        <r>
          <rPr>
            <b/>
            <sz val="9"/>
            <color indexed="81"/>
            <rFont val="宋体"/>
            <charset val="134"/>
          </rPr>
          <t>出成迷你透明已重新下單小透明1</t>
        </r>
        <r>
          <rPr>
            <b/>
            <sz val="9"/>
            <color indexed="81"/>
            <rFont val="宋体"/>
            <family val="3"/>
            <charset val="134"/>
          </rPr>
          <t>0個</t>
        </r>
      </text>
    </comment>
    <comment ref="C738" authorId="0">
      <text>
        <r>
          <rPr>
            <b/>
            <sz val="9"/>
            <color indexed="81"/>
            <rFont val="宋体"/>
            <charset val="134"/>
          </rPr>
          <t>出成迷你透明已重新下單小透明1</t>
        </r>
        <r>
          <rPr>
            <b/>
            <sz val="9"/>
            <color indexed="81"/>
            <rFont val="宋体"/>
            <family val="3"/>
            <charset val="134"/>
          </rPr>
          <t>0個</t>
        </r>
      </text>
    </comment>
    <comment ref="N738" authorId="0">
      <text>
        <r>
          <rPr>
            <b/>
            <sz val="9"/>
            <color indexed="81"/>
            <rFont val="宋体"/>
            <charset val="134"/>
          </rPr>
          <t>出成迷你透明已重新下單小透明1</t>
        </r>
        <r>
          <rPr>
            <b/>
            <sz val="9"/>
            <color indexed="81"/>
            <rFont val="宋体"/>
            <family val="3"/>
            <charset val="134"/>
          </rPr>
          <t>0個</t>
        </r>
      </text>
    </comment>
    <comment ref="A762" authorId="0">
      <text>
        <r>
          <rPr>
            <b/>
            <sz val="9"/>
            <color indexed="81"/>
            <rFont val="宋体"/>
            <family val="3"/>
            <charset val="134"/>
          </rPr>
          <t>原錯編</t>
        </r>
        <r>
          <rPr>
            <b/>
            <sz val="9"/>
            <color indexed="81"/>
            <rFont val="Tahoma"/>
            <family val="2"/>
          </rPr>
          <t>:331.01</t>
        </r>
      </text>
    </comment>
    <comment ref="B762" authorId="0">
      <text>
        <r>
          <rPr>
            <b/>
            <sz val="9"/>
            <color indexed="81"/>
            <rFont val="宋体"/>
            <charset val="134"/>
          </rPr>
          <t>紙卡</t>
        </r>
        <r>
          <rPr>
            <b/>
            <sz val="9"/>
            <color indexed="81"/>
            <rFont val="Tahoma"/>
            <family val="2"/>
          </rPr>
          <t xml:space="preserve">4.2g
</t>
        </r>
      </text>
    </comment>
    <comment ref="C780"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805" authorId="0">
      <text>
        <r>
          <rPr>
            <b/>
            <sz val="9"/>
            <color indexed="81"/>
            <rFont val="宋体"/>
            <charset val="134"/>
          </rPr>
          <t>到</t>
        </r>
        <r>
          <rPr>
            <b/>
            <sz val="9"/>
            <color indexed="81"/>
            <rFont val="Tahoma"/>
            <family val="2"/>
          </rPr>
          <t>99</t>
        </r>
        <r>
          <rPr>
            <b/>
            <sz val="9"/>
            <color indexed="81"/>
            <rFont val="宋体"/>
            <charset val="134"/>
          </rPr>
          <t>個</t>
        </r>
      </text>
    </comment>
    <comment ref="C815" authorId="0">
      <text>
        <r>
          <rPr>
            <b/>
            <sz val="9"/>
            <color indexed="81"/>
            <rFont val="宋体"/>
            <charset val="134"/>
          </rPr>
          <t>下單黑色
出成黃色</t>
        </r>
      </text>
    </comment>
    <comment ref="N816" authorId="0">
      <text>
        <r>
          <rPr>
            <b/>
            <sz val="9"/>
            <color indexed="81"/>
            <rFont val="宋体"/>
            <charset val="134"/>
          </rPr>
          <t>出</t>
        </r>
        <r>
          <rPr>
            <b/>
            <sz val="9"/>
            <color indexed="81"/>
            <rFont val="Tahoma"/>
            <family val="2"/>
          </rPr>
          <t>53</t>
        </r>
        <r>
          <rPr>
            <b/>
            <sz val="9"/>
            <color indexed="81"/>
            <rFont val="宋体"/>
            <charset val="134"/>
          </rPr>
          <t>個</t>
        </r>
      </text>
    </comment>
    <comment ref="B824" authorId="0">
      <text>
        <r>
          <rPr>
            <b/>
            <sz val="9"/>
            <color indexed="81"/>
            <rFont val="宋体"/>
            <charset val="134"/>
          </rPr>
          <t>塑膠袋</t>
        </r>
        <r>
          <rPr>
            <b/>
            <sz val="9"/>
            <color indexed="81"/>
            <rFont val="Tahoma"/>
            <family val="2"/>
          </rPr>
          <t>:2.7g</t>
        </r>
      </text>
    </comment>
    <comment ref="N824" authorId="0">
      <text>
        <r>
          <rPr>
            <b/>
            <sz val="9"/>
            <color indexed="81"/>
            <rFont val="Tahoma"/>
            <family val="2"/>
          </rPr>
          <t>387g/1.54g</t>
        </r>
      </text>
    </comment>
    <comment ref="B825" authorId="0">
      <text>
        <r>
          <rPr>
            <b/>
            <sz val="9"/>
            <color indexed="81"/>
            <rFont val="宋体"/>
            <charset val="134"/>
          </rPr>
          <t>塑膠袋</t>
        </r>
        <r>
          <rPr>
            <b/>
            <sz val="9"/>
            <color indexed="81"/>
            <rFont val="Tahoma"/>
            <family val="2"/>
          </rPr>
          <t>:2.7g</t>
        </r>
      </text>
    </comment>
    <comment ref="N825" authorId="0">
      <text>
        <r>
          <rPr>
            <b/>
            <sz val="9"/>
            <color indexed="81"/>
            <rFont val="Tahoma"/>
            <family val="2"/>
          </rPr>
          <t>381.6g/1.52g</t>
        </r>
      </text>
    </comment>
    <comment ref="A830"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46" authorId="0">
      <text>
        <r>
          <rPr>
            <b/>
            <sz val="9"/>
            <color indexed="81"/>
            <rFont val="宋体"/>
            <charset val="134"/>
          </rPr>
          <t>塑膠袋</t>
        </r>
        <r>
          <rPr>
            <b/>
            <sz val="9"/>
            <color indexed="81"/>
            <rFont val="Tahoma"/>
            <family val="2"/>
          </rPr>
          <t>:2.7g</t>
        </r>
      </text>
    </comment>
    <comment ref="B847" authorId="0">
      <text>
        <r>
          <rPr>
            <b/>
            <sz val="9"/>
            <color indexed="81"/>
            <rFont val="宋体"/>
            <charset val="134"/>
          </rPr>
          <t>塑膠袋</t>
        </r>
        <r>
          <rPr>
            <b/>
            <sz val="9"/>
            <color indexed="81"/>
            <rFont val="Tahoma"/>
            <family val="2"/>
          </rPr>
          <t>:2.7g</t>
        </r>
      </text>
    </comment>
    <comment ref="N860" authorId="0">
      <text>
        <r>
          <rPr>
            <b/>
            <sz val="9"/>
            <color indexed="81"/>
            <rFont val="宋体"/>
            <charset val="134"/>
          </rPr>
          <t>出</t>
        </r>
        <r>
          <rPr>
            <b/>
            <sz val="9"/>
            <color indexed="81"/>
            <rFont val="Tahoma"/>
            <family val="2"/>
          </rPr>
          <t>11</t>
        </r>
        <r>
          <rPr>
            <b/>
            <sz val="9"/>
            <color indexed="81"/>
            <rFont val="宋体"/>
            <charset val="134"/>
          </rPr>
          <t>條</t>
        </r>
      </text>
    </comment>
    <comment ref="B903" authorId="0">
      <text>
        <r>
          <rPr>
            <b/>
            <sz val="9"/>
            <color indexed="81"/>
            <rFont val="宋体"/>
            <charset val="134"/>
          </rPr>
          <t>塑膠袋</t>
        </r>
        <r>
          <rPr>
            <b/>
            <sz val="9"/>
            <color indexed="81"/>
            <rFont val="Tahoma"/>
            <family val="2"/>
          </rPr>
          <t>:2.7g</t>
        </r>
      </text>
    </comment>
    <comment ref="B906" authorId="0">
      <text>
        <r>
          <rPr>
            <b/>
            <sz val="9"/>
            <color indexed="81"/>
            <rFont val="宋体"/>
            <charset val="134"/>
          </rPr>
          <t>塑膠袋</t>
        </r>
        <r>
          <rPr>
            <b/>
            <sz val="9"/>
            <color indexed="81"/>
            <rFont val="Tahoma"/>
            <family val="2"/>
          </rPr>
          <t>:2.7g</t>
        </r>
      </text>
    </comment>
    <comment ref="N928"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33" authorId="0">
      <text>
        <r>
          <rPr>
            <b/>
            <sz val="9"/>
            <color indexed="81"/>
            <rFont val="宋体"/>
            <charset val="134"/>
          </rPr>
          <t>原定
SONY環光鼠標(裸機)x20
-&gt;仿萍果白鼠標(裸機)x19</t>
        </r>
      </text>
    </comment>
    <comment ref="C934"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41"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57" authorId="0">
      <text>
        <r>
          <rPr>
            <b/>
            <sz val="9"/>
            <color indexed="81"/>
            <rFont val="宋体"/>
            <charset val="134"/>
          </rPr>
          <t>紙卡</t>
        </r>
        <r>
          <rPr>
            <b/>
            <sz val="9"/>
            <color indexed="81"/>
            <rFont val="Tahoma"/>
            <family val="2"/>
          </rPr>
          <t>6.6g</t>
        </r>
      </text>
    </comment>
    <comment ref="B1053"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4"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5" authorId="0">
      <text>
        <r>
          <rPr>
            <b/>
            <sz val="9"/>
            <color indexed="81"/>
            <rFont val="宋体"/>
            <charset val="134"/>
          </rPr>
          <t>紙卡包裝</t>
        </r>
        <r>
          <rPr>
            <b/>
            <sz val="9"/>
            <color indexed="81"/>
            <rFont val="Tahoma"/>
            <family val="2"/>
          </rPr>
          <t xml:space="preserve">:7g
</t>
        </r>
      </text>
    </comment>
    <comment ref="B1056" authorId="0">
      <text>
        <r>
          <rPr>
            <b/>
            <sz val="9"/>
            <color indexed="81"/>
            <rFont val="宋体"/>
            <charset val="134"/>
          </rPr>
          <t>紙卡包裝</t>
        </r>
        <r>
          <rPr>
            <b/>
            <sz val="9"/>
            <color indexed="81"/>
            <rFont val="Tahoma"/>
            <family val="2"/>
          </rPr>
          <t xml:space="preserve">:7g
</t>
        </r>
      </text>
    </comment>
    <comment ref="B1057" authorId="0">
      <text>
        <r>
          <rPr>
            <b/>
            <sz val="9"/>
            <color indexed="81"/>
            <rFont val="宋体"/>
            <charset val="134"/>
          </rPr>
          <t>紙卡包裝</t>
        </r>
        <r>
          <rPr>
            <b/>
            <sz val="9"/>
            <color indexed="81"/>
            <rFont val="Tahoma"/>
            <family val="2"/>
          </rPr>
          <t xml:space="preserve">:7g
</t>
        </r>
      </text>
    </comment>
    <comment ref="B1058" authorId="0">
      <text>
        <r>
          <rPr>
            <b/>
            <sz val="9"/>
            <color indexed="81"/>
            <rFont val="宋体"/>
            <charset val="134"/>
          </rPr>
          <t>紙卡包裝</t>
        </r>
        <r>
          <rPr>
            <b/>
            <sz val="9"/>
            <color indexed="81"/>
            <rFont val="Tahoma"/>
            <family val="2"/>
          </rPr>
          <t xml:space="preserve">:7g
</t>
        </r>
      </text>
    </comment>
    <comment ref="B1059" authorId="0">
      <text>
        <r>
          <rPr>
            <b/>
            <sz val="9"/>
            <color indexed="81"/>
            <rFont val="宋体"/>
            <charset val="134"/>
          </rPr>
          <t>紙卡包裝</t>
        </r>
        <r>
          <rPr>
            <b/>
            <sz val="9"/>
            <color indexed="81"/>
            <rFont val="Tahoma"/>
            <family val="2"/>
          </rPr>
          <t xml:space="preserve">:7g
</t>
        </r>
      </text>
    </comment>
    <comment ref="B1060" authorId="0">
      <text>
        <r>
          <rPr>
            <b/>
            <sz val="9"/>
            <color indexed="81"/>
            <rFont val="宋体"/>
            <charset val="134"/>
          </rPr>
          <t>紙卡包裝</t>
        </r>
        <r>
          <rPr>
            <b/>
            <sz val="9"/>
            <color indexed="81"/>
            <rFont val="Tahoma"/>
            <family val="2"/>
          </rPr>
          <t xml:space="preserve">:7g
</t>
        </r>
      </text>
    </comment>
    <comment ref="B1061" authorId="0">
      <text>
        <r>
          <rPr>
            <b/>
            <sz val="9"/>
            <color indexed="81"/>
            <rFont val="宋体"/>
            <charset val="134"/>
          </rPr>
          <t>紙卡包裝</t>
        </r>
        <r>
          <rPr>
            <b/>
            <sz val="9"/>
            <color indexed="81"/>
            <rFont val="Tahoma"/>
            <family val="2"/>
          </rPr>
          <t xml:space="preserve">:7g
</t>
        </r>
      </text>
    </comment>
    <comment ref="B1062" authorId="0">
      <text>
        <r>
          <rPr>
            <b/>
            <sz val="9"/>
            <color indexed="81"/>
            <rFont val="宋体"/>
            <charset val="134"/>
          </rPr>
          <t>紙卡包裝</t>
        </r>
        <r>
          <rPr>
            <b/>
            <sz val="9"/>
            <color indexed="81"/>
            <rFont val="Tahoma"/>
            <family val="2"/>
          </rPr>
          <t xml:space="preserve">:7g
</t>
        </r>
      </text>
    </comment>
    <comment ref="N1071"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72"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79"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8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38" authorId="0">
      <text>
        <r>
          <rPr>
            <b/>
            <sz val="9"/>
            <color indexed="81"/>
            <rFont val="宋体"/>
            <charset val="134"/>
          </rPr>
          <t xml:space="preserve">錯誤編號為
</t>
        </r>
        <r>
          <rPr>
            <b/>
            <sz val="9"/>
            <color indexed="81"/>
            <rFont val="Tahoma"/>
            <family val="2"/>
          </rPr>
          <t>501.xx</t>
        </r>
      </text>
    </comment>
    <comment ref="A1139" authorId="0">
      <text>
        <r>
          <rPr>
            <b/>
            <sz val="9"/>
            <color indexed="81"/>
            <rFont val="宋体"/>
            <charset val="134"/>
          </rPr>
          <t xml:space="preserve">錯誤編號為
</t>
        </r>
        <r>
          <rPr>
            <b/>
            <sz val="9"/>
            <color indexed="81"/>
            <rFont val="Tahoma"/>
            <family val="2"/>
          </rPr>
          <t>501.xx</t>
        </r>
      </text>
    </comment>
    <comment ref="A1140" authorId="0">
      <text>
        <r>
          <rPr>
            <b/>
            <sz val="9"/>
            <color indexed="81"/>
            <rFont val="宋体"/>
            <charset val="134"/>
          </rPr>
          <t xml:space="preserve">錯誤編號為
</t>
        </r>
        <r>
          <rPr>
            <b/>
            <sz val="9"/>
            <color indexed="81"/>
            <rFont val="Tahoma"/>
            <family val="2"/>
          </rPr>
          <t>501.xx</t>
        </r>
      </text>
    </comment>
    <comment ref="A1141" authorId="0">
      <text>
        <r>
          <rPr>
            <b/>
            <sz val="9"/>
            <color indexed="81"/>
            <rFont val="宋体"/>
            <charset val="134"/>
          </rPr>
          <t xml:space="preserve">錯誤編號為
</t>
        </r>
        <r>
          <rPr>
            <b/>
            <sz val="9"/>
            <color indexed="81"/>
            <rFont val="Tahoma"/>
            <family val="2"/>
          </rPr>
          <t>501.xx</t>
        </r>
      </text>
    </comment>
    <comment ref="A1142" authorId="0">
      <text>
        <r>
          <rPr>
            <b/>
            <sz val="9"/>
            <color indexed="81"/>
            <rFont val="宋体"/>
            <charset val="134"/>
          </rPr>
          <t xml:space="preserve">錯誤編號為
</t>
        </r>
        <r>
          <rPr>
            <b/>
            <sz val="9"/>
            <color indexed="81"/>
            <rFont val="Tahoma"/>
            <family val="2"/>
          </rPr>
          <t>501.xx</t>
        </r>
      </text>
    </comment>
    <comment ref="A1143" authorId="0">
      <text>
        <r>
          <rPr>
            <b/>
            <sz val="9"/>
            <color indexed="81"/>
            <rFont val="宋体"/>
            <charset val="134"/>
          </rPr>
          <t xml:space="preserve">錯誤編號為
</t>
        </r>
        <r>
          <rPr>
            <b/>
            <sz val="9"/>
            <color indexed="81"/>
            <rFont val="Tahoma"/>
            <family val="2"/>
          </rPr>
          <t>501.xx</t>
        </r>
      </text>
    </comment>
    <comment ref="A1144" authorId="0">
      <text>
        <r>
          <rPr>
            <b/>
            <sz val="9"/>
            <color indexed="81"/>
            <rFont val="宋体"/>
            <charset val="134"/>
          </rPr>
          <t xml:space="preserve">錯誤編號為
</t>
        </r>
        <r>
          <rPr>
            <b/>
            <sz val="9"/>
            <color indexed="81"/>
            <rFont val="Tahoma"/>
            <family val="2"/>
          </rPr>
          <t>501.xx</t>
        </r>
      </text>
    </comment>
    <comment ref="A1145" authorId="0">
      <text>
        <r>
          <rPr>
            <b/>
            <sz val="9"/>
            <color indexed="81"/>
            <rFont val="宋体"/>
            <charset val="134"/>
          </rPr>
          <t xml:space="preserve">錯誤編號為
</t>
        </r>
        <r>
          <rPr>
            <b/>
            <sz val="9"/>
            <color indexed="81"/>
            <rFont val="Tahoma"/>
            <family val="2"/>
          </rPr>
          <t>501.xx</t>
        </r>
      </text>
    </comment>
    <comment ref="A1146" authorId="0">
      <text>
        <r>
          <rPr>
            <b/>
            <sz val="9"/>
            <color indexed="81"/>
            <rFont val="宋体"/>
            <charset val="134"/>
          </rPr>
          <t xml:space="preserve">錯誤編號為
</t>
        </r>
        <r>
          <rPr>
            <b/>
            <sz val="9"/>
            <color indexed="81"/>
            <rFont val="Tahoma"/>
            <family val="2"/>
          </rPr>
          <t>501.xx</t>
        </r>
      </text>
    </comment>
    <comment ref="A1147" authorId="0">
      <text>
        <r>
          <rPr>
            <b/>
            <sz val="9"/>
            <color indexed="81"/>
            <rFont val="宋体"/>
            <charset val="134"/>
          </rPr>
          <t xml:space="preserve">錯誤編號為
</t>
        </r>
        <r>
          <rPr>
            <b/>
            <sz val="9"/>
            <color indexed="81"/>
            <rFont val="Tahoma"/>
            <family val="2"/>
          </rPr>
          <t>501.xx</t>
        </r>
      </text>
    </comment>
    <comment ref="C1189"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202"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203" authorId="0">
      <text>
        <r>
          <rPr>
            <b/>
            <sz val="9"/>
            <color indexed="81"/>
            <rFont val="宋体"/>
            <charset val="134"/>
          </rPr>
          <t>定平3尖3
收平6</t>
        </r>
      </text>
    </comment>
  </commentList>
</comments>
</file>

<file path=xl/comments5.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6.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7.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8.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9.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10.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1.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2.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<sst xmlns="http://schemas.openxmlformats.org/spreadsheetml/2006/main" count="13455" uniqueCount="6462">
  <si>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</si>
  <si>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</si>
  <si>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</si>
  <si>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</si>
  <si>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</si>
  <si>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</si>
  <si>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</si>
  <si>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</si>
  <si>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</si>
  <si>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</si>
  <si>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</si>
  <si>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</si>
  <si>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</si>
  <si>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</si>
  <si>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</si>
  <si>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</si>
  <si>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</si>
  <si>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</si>
  <si>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</si>
  <si>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</si>
  <si>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</si>
  <si>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</si>
  <si>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</si>
  <si>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</si>
  <si>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</si>
  <si>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</si>
  <si>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</si>
  <si>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</si>
  <si>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</si>
  <si>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</si>
  <si>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</si>
  <si>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</si>
  <si>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</si>
  <si>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</si>
  <si>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</si>
  <si>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</si>
  <si>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</si>
  <si>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</si>
  <si>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</si>
  <si>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</si>
  <si>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</si>
  <si>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</si>
  <si>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</si>
  <si>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</si>
  <si>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</si>
  <si>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</si>
  <si>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</si>
  <si>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</si>
  <si>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</si>
  <si>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</si>
  <si>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</si>
  <si>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</si>
  <si>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</si>
  <si>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</si>
  <si>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</si>
  <si>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</si>
  <si>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</si>
  <si>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</si>
  <si>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</si>
  <si>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</si>
  <si>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</si>
  <si>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</si>
  <si>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</si>
  <si>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</si>
  <si>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</si>
  <si>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</si>
  <si>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</si>
  <si>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</si>
  <si>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</si>
  <si>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</si>
  <si>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</si>
  <si>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</si>
  <si>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</si>
  <si>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</si>
  <si>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</si>
  <si>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</si>
  <si>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</si>
  <si>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</si>
  <si>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</si>
  <si>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</si>
  <si>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</si>
  <si>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</si>
  <si>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</si>
  <si>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</si>
  <si>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</si>
  <si>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</si>
  <si>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</si>
  <si>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</si>
  <si>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</si>
  <si>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</si>
  <si>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</si>
  <si>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</si>
  <si>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</si>
  <si>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</si>
  <si>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</si>
  <si>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</si>
  <si>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</si>
  <si>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</si>
  <si>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</si>
  <si>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</si>
  <si>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</si>
  <si>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</si>
  <si>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</si>
  <si>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</si>
  <si>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</si>
  <si>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</si>
  <si>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</si>
  <si>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</si>
  <si>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</si>
  <si>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</si>
  <si>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</si>
  <si>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</si>
  <si>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</si>
  <si>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</si>
  <si>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</si>
  <si>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</si>
  <si>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</si>
  <si>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</si>
  <si>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</si>
  <si>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</si>
  <si>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</si>
  <si>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</si>
  <si>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</si>
  <si>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</si>
  <si>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</si>
  <si>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</si>
  <si>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</si>
  <si>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</si>
  <si>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</si>
  <si>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</si>
  <si>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</si>
  <si>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</si>
  <si>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</si>
  <si>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</si>
  <si>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</si>
  <si>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</si>
  <si>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</si>
  <si>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</si>
  <si>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</si>
  <si>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</si>
  <si>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</si>
  <si>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</si>
  <si>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</si>
  <si>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</si>
  <si>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</si>
  <si>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</si>
  <si>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</si>
  <si>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</si>
  <si>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</si>
  <si>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</si>
  <si>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</si>
  <si>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</si>
  <si>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</si>
  <si>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</si>
  <si>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</si>
  <si>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</si>
  <si>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</si>
  <si>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</si>
  <si>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</si>
  <si>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</si>
  <si>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</si>
  <si>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</si>
  <si>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</si>
  <si>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</si>
  <si>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</si>
  <si>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</si>
  <si>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</si>
  <si>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</si>
  <si>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</si>
  <si>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</si>
  <si>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</si>
  <si>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</si>
  <si>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</si>
  <si>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</si>
  <si>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</si>
  <si>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</si>
  <si>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</si>
  <si>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</si>
  <si>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</si>
  <si>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</si>
  <si>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</si>
  <si>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</si>
  <si>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</si>
  <si>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</si>
  <si>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</si>
  <si>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</si>
  <si>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</si>
  <si>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</si>
  <si>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</si>
  <si>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</si>
  <si>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</si>
  <si>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</si>
  <si>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</si>
  <si>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</si>
  <si>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</si>
  <si>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</si>
  <si>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</si>
  <si>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</si>
  <si>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</si>
  <si>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</si>
  <si>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</si>
  <si>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</si>
  <si>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</si>
  <si>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</si>
  <si>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</si>
  <si>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</si>
  <si>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</si>
  <si>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</si>
  <si>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</si>
  <si>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</si>
  <si>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</si>
  <si>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</si>
  <si>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</si>
  <si>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</si>
  <si>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</si>
  <si>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</si>
  <si>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</si>
  <si>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</si>
  <si>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</si>
  <si>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</si>
  <si>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</si>
  <si>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</si>
  <si>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</si>
  <si>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</si>
  <si>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</si>
  <si>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</si>
  <si>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</si>
  <si>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</si>
  <si>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</si>
  <si>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</si>
  <si>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</si>
  <si>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</si>
  <si>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</si>
  <si>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</si>
  <si>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</si>
  <si>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</si>
  <si>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</si>
  <si>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</si>
  <si>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</si>
  <si>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</si>
  <si>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</si>
  <si>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</si>
  <si>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</si>
  <si>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</si>
  <si>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</si>
  <si>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</si>
  <si>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</si>
  <si>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</si>
  <si>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</si>
  <si>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</si>
  <si>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</si>
  <si>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</si>
  <si>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</si>
  <si>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</si>
  <si>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</si>
  <si>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</si>
  <si>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</si>
  <si>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</si>
  <si>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</si>
  <si>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</si>
  <si>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</si>
  <si>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</si>
  <si>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</si>
  <si>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</si>
  <si>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</si>
  <si>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</si>
  <si>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</si>
  <si>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</si>
  <si>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</si>
  <si>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</si>
  <si>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</si>
  <si>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</si>
  <si>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</si>
  <si>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</si>
  <si>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</si>
  <si>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</si>
  <si>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</si>
  <si>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</si>
  <si>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</si>
  <si>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</si>
  <si>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</si>
  <si>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</si>
  <si>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</si>
  <si>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</si>
  <si>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</si>
  <si>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</si>
  <si>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</si>
  <si>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</si>
  <si>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</si>
  <si>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</si>
  <si>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</si>
  <si>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</si>
  <si>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</si>
  <si>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</si>
  <si>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</si>
  <si>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</si>
  <si>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</si>
  <si>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</si>
  <si>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</si>
  <si>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</si>
  <si>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</si>
  <si>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</si>
  <si>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</si>
  <si>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</si>
  <si>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</si>
  <si>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</si>
  <si>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</si>
  <si>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</si>
  <si>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</si>
  <si>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</si>
  <si>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</si>
  <si>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</si>
  <si>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</si>
  <si>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</si>
  <si>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</si>
  <si>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</si>
  <si>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</si>
  <si>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</si>
  <si>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</si>
  <si>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</si>
  <si>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</si>
  <si>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</si>
  <si>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</si>
  <si>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</si>
  <si>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</si>
  <si>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</si>
  <si>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</si>
  <si>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</si>
  <si>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</si>
  <si>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</si>
  <si>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</si>
  <si>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</si>
  <si>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</si>
  <si>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</si>
  <si>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</si>
  <si>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</si>
  <si>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</si>
  <si>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</si>
  <si>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</si>
  <si>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</si>
  <si>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</si>
  <si>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</si>
  <si>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</si>
  <si>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</si>
  <si>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</si>
  <si>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</si>
  <si>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</si>
  <si>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</si>
  <si>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</si>
  <si>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</si>
  <si>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</si>
  <si>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</si>
  <si>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</si>
  <si>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</si>
  <si>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</si>
  <si>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</si>
  <si>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</si>
  <si>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</si>
  <si>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</si>
  <si>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</si>
  <si>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</si>
  <si>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</si>
  <si>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</si>
  <si>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</si>
  <si>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</si>
  <si>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</si>
  <si>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</si>
  <si>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</si>
  <si>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</si>
  <si>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</si>
  <si>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</si>
  <si>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</si>
  <si>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</si>
  <si>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</si>
  <si>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</si>
  <si>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</si>
  <si>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</si>
  <si>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</si>
  <si>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</si>
  <si>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</si>
  <si>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</si>
  <si>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</si>
  <si>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</si>
  <si>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</si>
  <si>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</si>
  <si>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</si>
  <si>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</si>
  <si>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</si>
  <si>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</si>
  <si>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</si>
  <si>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</si>
  <si>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</si>
  <si>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</si>
  <si>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</si>
  <si>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</si>
  <si>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</si>
  <si>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</si>
  <si>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</si>
  <si>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</si>
  <si>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</si>
  <si>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</si>
  <si>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</si>
  <si>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</si>
  <si>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</si>
  <si>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</si>
  <si>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</si>
  <si>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</si>
  <si>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</si>
  <si>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</si>
  <si>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</si>
  <si>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</si>
  <si>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</si>
  <si>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</si>
  <si>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</si>
  <si>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</si>
  <si>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</si>
  <si>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</si>
  <si>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</si>
  <si>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</si>
  <si>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</si>
  <si>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</si>
  <si>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</si>
  <si>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</si>
  <si>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</si>
  <si>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</si>
  <si>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</si>
  <si>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</si>
  <si>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</si>
  <si>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</si>
  <si>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</si>
  <si>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</si>
  <si>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</si>
  <si>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</si>
  <si>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</si>
  <si>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</si>
  <si>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</si>
  <si>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</si>
  <si>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</si>
  <si>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</si>
  <si>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</si>
  <si>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</si>
  <si>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</si>
  <si>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</si>
  <si>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</si>
  <si>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</si>
  <si>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</si>
  <si>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</si>
  <si>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</si>
  <si>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</si>
  <si>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</si>
  <si>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</si>
  <si>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</si>
  <si>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</si>
  <si>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</si>
  <si>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</si>
  <si>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</si>
  <si>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</si>
  <si>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</si>
  <si>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</si>
  <si>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</si>
  <si>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</si>
  <si>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</si>
  <si>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</si>
  <si>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</si>
  <si>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</si>
  <si>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</si>
  <si>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</si>
  <si>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</si>
  <si>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</si>
  <si>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</si>
  <si>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</si>
  <si>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</si>
  <si>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</si>
  <si>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</si>
  <si>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</si>
  <si>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</si>
  <si>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</si>
  <si>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</si>
  <si>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</si>
  <si>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</si>
  <si>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</si>
  <si>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</si>
  <si>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</si>
  <si>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</si>
  <si>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</si>
  <si>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</si>
  <si>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</si>
  <si>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</si>
  <si>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</si>
  <si>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</si>
  <si>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</si>
  <si>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</si>
  <si>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</si>
  <si>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</si>
  <si>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</si>
  <si>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</si>
  <si>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</si>
  <si>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</si>
  <si>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</si>
  <si>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</si>
  <si>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</si>
  <si>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</si>
  <si>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</si>
  <si>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</si>
  <si>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</si>
  <si>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</si>
  <si>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</si>
  <si>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</si>
  <si>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</si>
  <si>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</si>
  <si>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</si>
  <si>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</si>
  <si>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</si>
  <si>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</si>
  <si>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</si>
  <si>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</si>
  <si>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</si>
  <si>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</si>
  <si>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</si>
  <si>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</si>
  <si>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</si>
  <si>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</si>
  <si>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</si>
  <si>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</si>
  <si>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</si>
  <si>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</si>
  <si>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</si>
  <si>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</si>
  <si>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</si>
  <si>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</si>
  <si>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</si>
  <si>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</si>
  <si>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</si>
  <si>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</si>
  <si>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</si>
  <si>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</si>
  <si>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</si>
  <si>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</si>
  <si>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</si>
  <si>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</si>
  <si>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</si>
  <si>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</si>
  <si>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</si>
  <si>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</si>
  <si>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</si>
  <si>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</si>
  <si>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</si>
  <si>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</si>
  <si>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</si>
  <si>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</si>
  <si>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</si>
  <si>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</si>
  <si>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</si>
  <si>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</si>
  <si>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</si>
  <si>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</si>
  <si>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</si>
  <si>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</si>
  <si>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</si>
  <si>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</si>
  <si>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</si>
  <si>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</si>
  <si>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</si>
  <si>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</si>
  <si>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</si>
  <si>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</si>
  <si>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</si>
  <si>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</si>
  <si>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</si>
  <si>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</si>
  <si>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</si>
  <si>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</si>
  <si>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</si>
  <si>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</si>
  <si>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</si>
  <si>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</si>
  <si>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</si>
  <si>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</si>
  <si>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</si>
  <si>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</si>
  <si>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</si>
  <si>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</si>
  <si>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</si>
  <si>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</si>
  <si>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</si>
  <si>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</si>
  <si>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</si>
  <si>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</si>
  <si>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</si>
  <si>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</si>
  <si>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</si>
  <si>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</si>
  <si>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</si>
  <si>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</si>
  <si>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</si>
  <si>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</si>
  <si>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</si>
  <si>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</si>
  <si>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</si>
  <si>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</si>
  <si>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</si>
  <si>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</si>
  <si>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</si>
  <si>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</si>
  <si>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</si>
  <si>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</si>
  <si>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</si>
  <si>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</si>
  <si>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</si>
  <si>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</si>
  <si>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</si>
  <si>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</si>
  <si>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</si>
  <si>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</si>
  <si>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</si>
  <si>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</si>
  <si>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</si>
  <si>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</si>
  <si>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</si>
  <si>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</si>
  <si>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</si>
  <si>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</si>
  <si>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</si>
  <si>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</si>
  <si>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</si>
  <si>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</si>
  <si>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</si>
  <si>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</si>
  <si>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</si>
  <si>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</si>
  <si>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</si>
  <si>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</si>
  <si>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</si>
  <si>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</si>
  <si>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</si>
  <si>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</si>
  <si>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</si>
  <si>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</si>
  <si>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</si>
  <si>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</si>
  <si>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</si>
  <si>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</si>
  <si>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</si>
  <si>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</si>
  <si>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</si>
  <si>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</si>
  <si>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</si>
  <si>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</si>
  <si>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</si>
  <si>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</si>
  <si>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</si>
  <si>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</si>
  <si>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</si>
  <si>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</si>
  <si>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</si>
  <si>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</si>
  <si>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</si>
  <si>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</si>
  <si>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</si>
  <si>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</si>
  <si>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</si>
  <si>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</si>
  <si>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</si>
  <si>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</si>
  <si>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</si>
  <si>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</si>
  <si>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</si>
  <si>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</si>
  <si>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</si>
  <si>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</si>
  <si>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</si>
  <si>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</si>
  <si>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</si>
  <si>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</si>
  <si>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</si>
  <si>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</si>
  <si>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</si>
  <si>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</si>
  <si>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</si>
  <si>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</si>
  <si>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</si>
  <si>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</si>
  <si>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</si>
  <si>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</si>
  <si>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</si>
  <si>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</si>
  <si>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</si>
  <si>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</si>
  <si>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</si>
  <si>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</si>
  <si>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</si>
  <si>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</si>
  <si>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</si>
  <si>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</si>
  <si>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</si>
  <si>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</si>
  <si>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</si>
  <si>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</si>
  <si>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</si>
  <si>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</si>
  <si>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</si>
  <si>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</si>
  <si>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</si>
  <si>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</si>
  <si>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</si>
  <si>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</si>
  <si>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</si>
  <si>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</si>
  <si>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</si>
  <si>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</si>
  <si>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</si>
  <si>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</si>
  <si>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</si>
  <si>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</si>
  <si>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</si>
  <si>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</si>
  <si>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</si>
  <si>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</si>
  <si>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</si>
  <si>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</si>
  <si>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</si>
  <si>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</si>
  <si>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</si>
  <si>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</si>
  <si>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</si>
  <si>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</si>
  <si>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</si>
  <si>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</si>
  <si>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</si>
  <si>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</si>
  <si>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</si>
  <si>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</si>
  <si>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</si>
  <si>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</si>
  <si>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</si>
  <si>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</si>
  <si>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</si>
  <si>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</si>
  <si>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</si>
  <si>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</si>
  <si>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</si>
  <si>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</si>
  <si>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</si>
  <si>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</si>
  <si>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</si>
  <si>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</si>
  <si>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</si>
  <si>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</si>
  <si>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</si>
  <si>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</si>
  <si>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</si>
  <si>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</si>
  <si>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</si>
  <si>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</si>
  <si>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</si>
  <si>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</si>
  <si>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</si>
  <si>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</si>
  <si>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</si>
  <si>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</si>
  <si>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</si>
  <si>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</si>
  <si>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</si>
  <si>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</si>
  <si>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</si>
  <si>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</si>
  <si>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</si>
  <si>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</si>
  <si>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</si>
  <si>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</si>
  <si>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</si>
  <si>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</si>
  <si>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</si>
  <si>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</si>
  <si>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</si>
  <si>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</si>
  <si>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</si>
  <si>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</si>
  <si>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</si>
  <si>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</si>
  <si>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</si>
  <si>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</si>
  <si>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</si>
  <si>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</si>
  <si>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</si>
  <si>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</si>
  <si>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</si>
  <si>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</si>
  <si>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</si>
  <si>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</si>
  <si>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</si>
  <si>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</si>
  <si>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</si>
  <si>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</si>
  <si>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</si>
  <si>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</si>
  <si>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</si>
  <si>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</si>
  <si>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</si>
  <si>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</si>
  <si>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</si>
  <si>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</si>
  <si>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</si>
  <si>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</si>
  <si>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</si>
  <si>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</si>
  <si>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</si>
  <si>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</si>
  <si>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</si>
  <si>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</si>
  <si>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</si>
  <si>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</si>
  <si>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</si>
  <si>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</si>
  <si>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</si>
  <si>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</si>
  <si>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</si>
  <si>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</si>
  <si>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</si>
  <si>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</si>
  <si>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</si>
  <si>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</si>
  <si>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</si>
  <si>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</si>
  <si>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</si>
  <si>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</si>
  <si>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</si>
  <si>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</si>
  <si>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</si>
  <si>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</si>
  <si>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</si>
  <si>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</si>
  <si>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</si>
  <si>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</si>
  <si>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</si>
  <si>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</si>
  <si>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</si>
  <si>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</si>
  <si>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</si>
  <si>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</si>
  <si>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</si>
  <si>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</si>
  <si>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</si>
  <si>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</si>
  <si>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</si>
  <si>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</si>
  <si>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</si>
  <si>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</si>
  <si>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</si>
  <si>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</si>
  <si>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</si>
  <si>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</si>
  <si>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</si>
  <si>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</si>
  <si>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</si>
  <si>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</si>
  <si>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</si>
  <si>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</si>
  <si>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</si>
  <si>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</si>
  <si>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</si>
  <si>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</si>
  <si>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</si>
  <si>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</si>
  <si>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</si>
  <si>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</si>
  <si>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</si>
  <si>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</si>
  <si>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</si>
  <si>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</si>
  <si>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</si>
  <si>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</si>
  <si>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</si>
  <si>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</si>
  <si>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</si>
  <si>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</si>
  <si>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</si>
  <si>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</si>
  <si>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</si>
  <si>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</si>
  <si>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</si>
  <si>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</si>
  <si>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</si>
  <si>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</si>
  <si>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</si>
  <si>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</si>
  <si>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</si>
  <si>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</si>
  <si>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</si>
  <si>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</si>
  <si>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</si>
  <si>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</si>
  <si>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</si>
  <si>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</si>
  <si>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</si>
  <si>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</si>
  <si>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</si>
  <si>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</si>
  <si>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</si>
  <si>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</si>
  <si>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</si>
  <si>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</si>
  <si>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</si>
  <si>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</si>
  <si>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</si>
  <si>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</si>
  <si>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</si>
  <si>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</si>
  <si>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</si>
  <si>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</si>
  <si>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</si>
  <si>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</si>
  <si>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</si>
  <si>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</si>
  <si>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</si>
  <si>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</si>
  <si>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</si>
  <si>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</si>
  <si>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</si>
  <si>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</si>
  <si>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</si>
  <si>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</si>
  <si>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</si>
  <si>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</si>
  <si>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</si>
  <si>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</si>
  <si>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</si>
  <si>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</si>
  <si>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</si>
  <si>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</si>
  <si>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</si>
  <si>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</si>
  <si>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</si>
  <si>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</si>
  <si>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</si>
  <si>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</si>
  <si>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</si>
  <si>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</si>
  <si>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</si>
  <si>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</si>
  <si>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</si>
  <si>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</si>
  <si>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</si>
  <si>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</si>
  <si>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</si>
  <si>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</si>
  <si>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</si>
  <si>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</si>
  <si>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</si>
  <si>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</si>
  <si>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</si>
  <si>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</si>
  <si>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</si>
  <si>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</si>
  <si>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</si>
  <si>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</si>
  <si>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</si>
  <si>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</si>
  <si>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</si>
  <si>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</si>
  <si>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</si>
  <si>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</si>
  <si>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</si>
  <si>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</si>
  <si>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</si>
  <si>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</si>
  <si>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</si>
  <si>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</si>
  <si>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</si>
  <si>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</si>
  <si>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</si>
  <si>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</si>
  <si>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</si>
  <si>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</si>
  <si>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</si>
  <si>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</si>
  <si>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</si>
  <si>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</si>
  <si>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</si>
  <si>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</si>
  <si>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</si>
  <si>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</si>
  <si>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</si>
  <si>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</si>
  <si>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</si>
  <si>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</si>
  <si>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</si>
  <si>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</si>
  <si>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</si>
  <si>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</si>
  <si>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</si>
  <si>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</si>
  <si>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</si>
  <si>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</si>
  <si>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</si>
  <si>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</si>
  <si>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</si>
  <si>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</si>
  <si>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</si>
  <si>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</si>
  <si>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</si>
  <si>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</si>
  <si>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</si>
  <si>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</si>
  <si>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</si>
  <si>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</si>
  <si>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</si>
  <si>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</si>
  <si>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</si>
  <si>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</si>
  <si>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</si>
  <si>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</si>
  <si>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</si>
  <si>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</si>
  <si>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</si>
  <si>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</si>
  <si>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</si>
  <si>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</si>
  <si>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</si>
  <si>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</si>
  <si>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</si>
  <si>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</si>
  <si>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</si>
  <si>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</si>
  <si>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</si>
  <si>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</si>
  <si>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</si>
  <si>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</si>
  <si>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</si>
  <si>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</si>
  <si>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</si>
  <si>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</si>
  <si>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</si>
  <si>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</si>
  <si>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</si>
  <si>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</si>
  <si>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</si>
  <si>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</si>
  <si>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</si>
  <si>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</si>
  <si>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</si>
  <si>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</si>
  <si>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</si>
  <si>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</si>
  <si>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</si>
  <si>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</si>
  <si>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</si>
  <si>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</si>
  <si>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</si>
  <si>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</si>
  <si>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</si>
  <si>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</si>
  <si>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</si>
  <si>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</si>
  <si>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</si>
  <si>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</si>
  <si>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</si>
  <si>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</si>
  <si>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</si>
  <si>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</si>
  <si>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</si>
  <si>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</si>
  <si>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</si>
  <si>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</si>
  <si>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</si>
  <si>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</si>
  <si>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</si>
  <si>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</si>
  <si>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</si>
  <si>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</si>
  <si>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</si>
  <si>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</si>
  <si>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</si>
  <si>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</si>
  <si>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</si>
  <si>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</si>
  <si>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</si>
  <si>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</si>
  <si>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</si>
  <si>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</si>
  <si>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</si>
  <si>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</si>
  <si>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</si>
  <si>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</si>
  <si>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</si>
  <si>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</si>
  <si>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</si>
  <si>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</si>
  <si>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</si>
  <si>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</si>
  <si>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</si>
  <si>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</si>
  <si>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</si>
  <si>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</si>
  <si>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</si>
  <si>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</si>
  <si>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</si>
  <si>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</si>
  <si>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</si>
  <si>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</si>
  <si>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</si>
  <si>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</si>
  <si>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</si>
  <si>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</si>
  <si>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</si>
  <si>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</si>
  <si>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</si>
  <si>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</si>
  <si>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</si>
  <si>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</si>
  <si>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</si>
  <si>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</si>
  <si>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</si>
  <si>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</si>
  <si>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</si>
  <si>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</si>
  <si>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</si>
  <si>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</si>
  <si>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</si>
  <si>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</si>
  <si>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</si>
  <si>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</si>
  <si>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</si>
  <si>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</si>
  <si>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</si>
  <si>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</si>
  <si>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</si>
  <si>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</si>
  <si>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</si>
  <si>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</si>
  <si>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</si>
  <si>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</si>
  <si>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</si>
  <si>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</si>
  <si>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</si>
  <si>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</si>
  <si>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</si>
  <si>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</si>
  <si>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</si>
  <si>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</si>
  <si>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</si>
  <si>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</si>
  <si>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</si>
  <si>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</si>
  <si>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</si>
  <si>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</si>
  <si>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</si>
  <si>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</si>
  <si>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</si>
  <si>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</si>
  <si>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</si>
  <si>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</si>
  <si>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</si>
  <si>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</si>
  <si>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</si>
  <si>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</si>
  <si>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</si>
  <si>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</si>
  <si>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</si>
  <si>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</si>
  <si>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</si>
  <si>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</si>
  <si>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</si>
  <si>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</si>
  <si>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</si>
  <si>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</si>
  <si>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</si>
  <si>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</si>
  <si>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</si>
  <si>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</si>
  <si>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</si>
  <si>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</si>
  <si>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</si>
  <si>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</si>
  <si>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</si>
  <si>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</si>
  <si>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</si>
  <si>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</si>
  <si>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</si>
  <si>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</si>
  <si>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</si>
  <si>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</si>
  <si>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</si>
  <si>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</si>
  <si>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</si>
  <si>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</si>
  <si>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</si>
  <si>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</si>
  <si>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</si>
  <si>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</si>
  <si>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</si>
  <si>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</si>
  <si>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</si>
  <si>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</si>
  <si>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</si>
  <si>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</si>
  <si>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</si>
  <si>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</si>
  <si>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</si>
  <si>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</si>
  <si>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</si>
  <si>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</si>
  <si>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</si>
  <si>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</si>
  <si>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</si>
  <si>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</si>
  <si>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</si>
  <si>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</si>
  <si>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</si>
  <si>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</si>
  <si>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</si>
  <si>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</si>
  <si>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</si>
  <si>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</si>
  <si>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</si>
  <si>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</si>
  <si>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</si>
  <si>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</si>
  <si>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</si>
  <si>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</si>
  <si>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</si>
  <si>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</si>
  <si>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</si>
  <si>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</si>
  <si>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</si>
  <si>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</si>
  <si>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</si>
  <si>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</si>
  <si>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</si>
  <si>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</si>
  <si>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</si>
  <si>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</si>
  <si>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</si>
  <si>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</si>
  <si>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</si>
  <si>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</si>
  <si>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</si>
  <si>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</si>
  <si>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</si>
  <si>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</si>
  <si>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</si>
  <si>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</si>
  <si>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</si>
  <si>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</si>
  <si>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</si>
  <si>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</si>
  <si>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</si>
  <si>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</si>
  <si>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</si>
  <si>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</si>
  <si>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</si>
  <si>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</si>
  <si>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</si>
  <si>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</si>
  <si>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</si>
  <si>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</si>
  <si>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</si>
  <si>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</si>
  <si>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</si>
  <si>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</si>
  <si>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</si>
  <si>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</si>
  <si>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</si>
  <si>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</si>
  <si>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</si>
  <si>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</si>
  <si>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</si>
  <si>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</si>
  <si>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</si>
  <si>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</si>
  <si>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</si>
  <si>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</si>
  <si>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</si>
  <si>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</si>
  <si>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</si>
  <si>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</si>
  <si>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</si>
  <si>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</si>
  <si>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</si>
  <si>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</si>
  <si>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</si>
  <si>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</si>
  <si>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</si>
  <si>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</si>
  <si>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</si>
  <si>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</si>
  <si>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</si>
  <si>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</si>
  <si>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</si>
  <si>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</si>
  <si>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</si>
  <si>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</si>
  <si>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</si>
  <si>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</si>
  <si>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</si>
  <si>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</si>
  <si>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</si>
  <si>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</si>
  <si>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</si>
  <si>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</si>
  <si>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</si>
  <si>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</si>
  <si>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</si>
  <si>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</si>
  <si>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</si>
  <si>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</si>
  <si>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</si>
  <si>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</si>
  <si>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</si>
  <si>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</si>
  <si>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</si>
  <si>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</si>
  <si>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</si>
  <si>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</si>
  <si>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</si>
  <si>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</si>
  <si>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</si>
  <si>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</si>
  <si>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</si>
  <si>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</si>
  <si>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</si>
  <si>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</si>
  <si>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</si>
  <si>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</si>
  <si>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</si>
  <si>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</si>
  <si>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</si>
  <si>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</si>
  <si>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</si>
  <si>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</si>
  <si>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</si>
  <si>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</si>
  <si>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</si>
  <si>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</si>
  <si>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</si>
  <si>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</si>
  <si>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</si>
  <si>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</si>
  <si>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</si>
  <si>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</si>
  <si>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</si>
  <si>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</si>
  <si>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</si>
  <si>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</si>
  <si>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</si>
  <si>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</si>
  <si>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</si>
  <si>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</si>
  <si>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</si>
  <si>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</si>
  <si>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</si>
  <si>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</si>
  <si>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</si>
  <si>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</si>
  <si>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</si>
  <si>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</si>
  <si>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</si>
  <si>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</si>
  <si>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</si>
  <si>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</si>
  <si>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</si>
  <si>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</si>
  <si>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</si>
  <si>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</si>
  <si>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</si>
  <si>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</si>
  <si>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</si>
  <si>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</si>
  <si>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</si>
  <si>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</si>
  <si>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</si>
  <si>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</si>
  <si>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</si>
  <si>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</si>
  <si>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</si>
  <si>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</si>
  <si>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</si>
  <si>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</si>
  <si>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</si>
  <si>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</si>
  <si>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</si>
  <si>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</si>
  <si>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</si>
  <si>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</si>
  <si>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</si>
  <si>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</si>
  <si>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</si>
  <si>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</si>
  <si>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</si>
  <si>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</si>
  <si>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</si>
  <si>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</si>
  <si>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</si>
  <si>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</si>
  <si>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</si>
  <si>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</si>
  <si>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</si>
  <si>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</si>
  <si>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</si>
  <si>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</si>
  <si>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</si>
  <si>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</si>
  <si>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</si>
  <si>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</si>
  <si>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</si>
  <si>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</si>
  <si>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</si>
  <si>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</si>
  <si>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</si>
  <si>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</si>
  <si>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</si>
  <si>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</si>
  <si>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</si>
  <si>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</si>
  <si>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</si>
  <si>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</si>
  <si>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</si>
  <si>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</si>
  <si>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</si>
  <si>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</si>
  <si>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</si>
  <si>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</si>
  <si>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</si>
  <si>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</si>
  <si>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</si>
  <si>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</si>
  <si>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</si>
  <si>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</si>
  <si>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</si>
  <si>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</si>
  <si>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</si>
  <si>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</si>
  <si>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</si>
  <si>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</si>
  <si>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</si>
  <si>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</si>
  <si>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</si>
  <si>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</si>
  <si>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</si>
  <si>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</si>
  <si>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</si>
  <si>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</si>
  <si>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</si>
  <si>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</si>
  <si>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</si>
  <si>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</si>
  <si>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</si>
  <si>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</si>
  <si>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</si>
  <si>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</si>
  <si>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</si>
  <si>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</si>
  <si>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</si>
  <si>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</si>
  <si>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</si>
  <si>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</si>
  <si>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</si>
  <si>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</si>
  <si>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</si>
  <si>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</si>
  <si>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</si>
  <si>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</si>
  <si>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</si>
  <si>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</si>
  <si>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</si>
  <si>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</si>
  <si>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</si>
  <si>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</si>
  <si>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</si>
  <si>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</si>
  <si>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</si>
  <si>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</si>
  <si>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</si>
  <si>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</si>
  <si>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</si>
  <si>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</si>
  <si>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</si>
  <si>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</si>
  <si>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</si>
  <si>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</si>
  <si>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</si>
  <si>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</si>
  <si>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</si>
  <si>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</si>
  <si>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</si>
  <si>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</si>
  <si>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</si>
  <si>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</si>
  <si>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</si>
  <si>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</si>
  <si>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</si>
  <si>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</si>
  <si>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</si>
  <si>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</si>
  <si>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</si>
  <si>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</si>
  <si>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</si>
  <si>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</si>
  <si>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</si>
  <si>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</si>
  <si>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</si>
  <si>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</si>
  <si>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</si>
  <si>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</si>
  <si>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</si>
  <si>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</si>
  <si>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</si>
  <si>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</si>
  <si>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</si>
  <si>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</si>
  <si>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</si>
  <si>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</si>
  <si>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</si>
  <si>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</si>
  <si>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</si>
  <si>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</si>
  <si>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</si>
  <si>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</si>
  <si>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</si>
  <si>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</si>
  <si>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</si>
  <si>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</si>
  <si>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</si>
  <si>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</si>
  <si>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</si>
  <si>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</si>
  <si>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</si>
  <si>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</si>
  <si>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</si>
  <si>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</si>
  <si>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</si>
  <si>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</si>
  <si>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</si>
  <si>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</si>
  <si>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</si>
  <si>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</si>
  <si>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</si>
  <si>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</si>
  <si>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</si>
  <si>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</si>
  <si>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</si>
  <si>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</si>
  <si>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</si>
  <si>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</si>
  <si>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</si>
  <si>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</si>
  <si>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</si>
  <si>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</si>
  <si>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</si>
  <si>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</si>
  <si>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</si>
  <si>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</si>
  <si>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</si>
  <si>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</si>
  <si>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</si>
  <si>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</si>
  <si>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</si>
  <si>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</si>
  <si>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</si>
  <si>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</si>
  <si>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</si>
  <si>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</si>
  <si>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</si>
  <si>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</si>
  <si>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</si>
  <si>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</si>
  <si>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</si>
  <si>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</si>
  <si>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</si>
  <si>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</si>
  <si>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</si>
  <si>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</si>
  <si>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</si>
  <si>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</si>
  <si>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</si>
  <si>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</si>
  <si>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</si>
  <si>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</si>
  <si>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</si>
  <si>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</si>
  <si>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</si>
  <si>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</si>
  <si>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</si>
  <si>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</si>
  <si>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</si>
  <si>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</si>
  <si>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</si>
  <si>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</si>
  <si>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</si>
  <si>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</si>
  <si>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</si>
  <si>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</si>
  <si>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</si>
  <si>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</si>
  <si>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</si>
  <si>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</si>
  <si>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</si>
  <si>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</si>
  <si>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</si>
  <si>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</si>
  <si>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</si>
  <si>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</si>
  <si>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</si>
  <si>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</si>
  <si>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</si>
  <si>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</si>
  <si>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</si>
  <si>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</si>
  <si>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</si>
  <si>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</si>
  <si>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</si>
  <si>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</si>
  <si>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</si>
  <si>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</si>
  <si>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</si>
  <si>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</si>
  <si>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</si>
  <si>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</si>
  <si>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</si>
  <si>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</si>
  <si>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</si>
  <si>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</si>
  <si>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</si>
  <si>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</si>
  <si>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</si>
  <si>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</si>
  <si>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</si>
  <si>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</si>
  <si>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</si>
  <si>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</si>
  <si>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</si>
  <si>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</si>
  <si>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</si>
  <si>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</si>
  <si>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</si>
  <si>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</si>
  <si>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</si>
  <si>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</si>
  <si>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</si>
  <si>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</si>
  <si>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</si>
  <si>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</si>
  <si>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</si>
  <si>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</si>
  <si>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</si>
  <si>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</si>
  <si>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</si>
  <si>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</si>
  <si>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</si>
  <si>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</si>
  <si>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</si>
  <si>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</si>
  <si>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</si>
  <si>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</si>
  <si>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</si>
  <si>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</si>
  <si>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</si>
  <si>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</si>
  <si>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</si>
  <si>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</si>
  <si>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</si>
  <si>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</si>
  <si>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</si>
  <si>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</si>
  <si>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</si>
  <si>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</si>
  <si>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</si>
  <si>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</si>
  <si>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</si>
  <si>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</si>
  <si>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</si>
  <si>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</si>
  <si>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</si>
  <si>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</si>
  <si>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</si>
  <si>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</si>
  <si>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</si>
  <si>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</si>
  <si>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</si>
  <si>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</si>
  <si>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</si>
  <si>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</si>
  <si>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</si>
  <si>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</si>
  <si>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</si>
  <si>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</si>
  <si>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</si>
  <si>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</si>
  <si>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</si>
  <si>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</si>
  <si>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</si>
  <si>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</si>
  <si>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</si>
  <si>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</si>
  <si>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</si>
  <si>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</si>
  <si>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</si>
  <si>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</si>
  <si>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</si>
  <si>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</si>
  <si>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</si>
  <si>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</si>
  <si>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</si>
  <si>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</si>
  <si>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</si>
  <si>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</si>
  <si>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</si>
  <si>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</si>
  <si>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</si>
  <si>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</si>
  <si>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</si>
  <si>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</si>
  <si>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</si>
  <si>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</si>
  <si>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</si>
  <si>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</si>
  <si>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</si>
  <si>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</si>
  <si>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</si>
  <si>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</si>
  <si>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</si>
  <si>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</si>
  <si>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</si>
  <si>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</si>
  <si>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</si>
  <si>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</si>
  <si>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</si>
  <si>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</si>
  <si>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</si>
  <si>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</si>
  <si>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</si>
  <si>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</si>
  <si>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</si>
  <si>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</si>
  <si>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</si>
  <si>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</si>
  <si>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</si>
  <si>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</si>
  <si>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</si>
  <si>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</si>
  <si>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</si>
  <si>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</si>
  <si>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</si>
  <si>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</si>
  <si>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</si>
  <si>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</si>
  <si>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</si>
  <si>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</si>
  <si>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</si>
  <si>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</si>
  <si>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</si>
  <si>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</si>
  <si>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</si>
  <si>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</si>
  <si>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</si>
  <si>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</si>
  <si>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</si>
  <si>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</si>
  <si>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</si>
  <si>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</si>
  <si>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</si>
  <si>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</si>
  <si>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</si>
  <si>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</si>
  <si>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</si>
  <si>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</si>
  <si>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</si>
  <si>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</si>
  <si>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</si>
  <si>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</si>
  <si>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</si>
  <si>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</si>
  <si>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</si>
  <si>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</si>
  <si>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</si>
  <si>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</si>
  <si>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</si>
  <si>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</si>
  <si>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</si>
  <si>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</si>
  <si>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</si>
  <si>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</si>
  <si>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</si>
  <si>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</si>
  <si>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</si>
  <si>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</si>
  <si>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</si>
  <si>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</si>
  <si>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</si>
  <si>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</si>
  <si>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</si>
  <si>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</si>
  <si>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</si>
  <si>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</si>
  <si>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</si>
  <si>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</si>
  <si>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</si>
  <si>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</si>
  <si>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</si>
  <si>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</si>
  <si>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</si>
  <si>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</si>
  <si>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</si>
  <si>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</si>
  <si>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</si>
  <si>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</si>
  <si>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</si>
  <si>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</si>
  <si>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</si>
  <si>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</si>
  <si>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</si>
  <si>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</si>
  <si>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</si>
  <si>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</si>
  <si>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</si>
  <si>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</si>
  <si>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</si>
  <si>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</si>
  <si>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</si>
  <si>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</si>
  <si>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</si>
  <si>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</si>
  <si>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</si>
  <si>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</si>
  <si>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</si>
  <si>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</si>
  <si>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</si>
  <si>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</si>
  <si>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</si>
  <si>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</si>
  <si>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</si>
  <si>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</si>
  <si>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</si>
  <si>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</si>
  <si>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</si>
  <si>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</si>
  <si>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</si>
  <si>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</si>
  <si>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</si>
  <si>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</si>
  <si>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</si>
  <si>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</si>
  <si>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</si>
  <si>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</si>
  <si>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</si>
  <si>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</si>
  <si>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</si>
  <si>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</si>
  <si>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</si>
  <si>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</si>
  <si>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</si>
  <si>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</si>
  <si>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</si>
  <si>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</si>
  <si>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</si>
  <si>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</si>
  <si>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</si>
  <si>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</si>
  <si>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</si>
  <si>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</si>
  <si>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</si>
  <si>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</si>
  <si>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</si>
  <si>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</si>
  <si>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</si>
  <si>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</si>
  <si>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</si>
  <si>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</si>
  <si>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</si>
  <si>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</si>
  <si>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</si>
  <si>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</si>
  <si>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</si>
  <si>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</si>
  <si>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</si>
  <si>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</si>
  <si>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</si>
  <si>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</si>
  <si>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</si>
  <si>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</si>
  <si>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</si>
  <si>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</si>
  <si>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</si>
  <si>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</si>
  <si>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</si>
  <si>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</si>
  <si>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</si>
  <si>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</si>
  <si>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</si>
  <si>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</si>
  <si>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</si>
  <si>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</si>
  <si>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</si>
  <si>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</si>
  <si>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</si>
  <si>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</si>
  <si>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</si>
  <si>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</si>
  <si>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</si>
  <si>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</si>
  <si>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</si>
  <si>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</si>
  <si>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</si>
  <si>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</si>
  <si>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</si>
  <si>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</si>
  <si>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</si>
  <si>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</si>
  <si>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</si>
  <si>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</si>
  <si>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</si>
  <si>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</si>
  <si>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</si>
  <si>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</si>
  <si>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</si>
  <si>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</si>
  <si>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</si>
  <si>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</si>
  <si>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</si>
  <si>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</si>
  <si>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</si>
  <si>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</si>
  <si>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</si>
  <si>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</si>
  <si>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</si>
  <si>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</si>
  <si>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</si>
  <si>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</si>
  <si>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</si>
  <si>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</si>
  <si>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</si>
  <si>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</si>
  <si>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</si>
  <si>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</si>
  <si>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</si>
  <si>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</si>
  <si>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</si>
  <si>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</si>
  <si>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</si>
  <si>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</si>
  <si>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</si>
  <si>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</si>
  <si>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</si>
  <si>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</si>
  <si>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</si>
  <si>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</si>
  <si>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</si>
  <si>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</si>
  <si>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</si>
  <si>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</si>
  <si>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</si>
  <si>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</si>
  <si>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</si>
  <si>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</si>
  <si>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</si>
  <si>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</si>
  <si>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</si>
  <si>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</si>
  <si>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</si>
  <si>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</si>
  <si>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</si>
  <si>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</si>
  <si>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</si>
  <si>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</si>
  <si>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</si>
  <si>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</si>
  <si>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</si>
  <si>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</si>
  <si>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</si>
  <si>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</si>
  <si>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</si>
  <si>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</si>
  <si>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</si>
  <si>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</si>
  <si>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</si>
  <si>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</si>
  <si>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</si>
  <si>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</si>
  <si>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</si>
  <si>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</si>
  <si>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</si>
  <si>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</si>
  <si>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</si>
  <si>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</si>
  <si>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</si>
  <si>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</si>
  <si>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</si>
  <si>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</si>
  <si>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</si>
  <si>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</si>
  <si>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</si>
  <si>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</si>
  <si>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</si>
  <si>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</si>
  <si>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</si>
  <si>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</si>
  <si>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</si>
  <si>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</si>
  <si>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</si>
  <si>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</si>
  <si>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</si>
  <si>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</si>
  <si>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</si>
  <si>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</si>
  <si>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</si>
  <si>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</si>
  <si>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</si>
  <si>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</si>
  <si>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</si>
  <si>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</si>
  <si>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</si>
  <si>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</si>
  <si>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</si>
  <si>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</si>
  <si>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</si>
  <si>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</si>
  <si>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</si>
  <si>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</si>
  <si>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</si>
  <si>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</si>
  <si>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</si>
  <si>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</si>
  <si>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</si>
  <si>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</si>
  <si>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</si>
  <si>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</si>
  <si>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</si>
  <si>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</si>
  <si>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</si>
  <si>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</si>
  <si>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</si>
  <si>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</si>
  <si>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</si>
  <si>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</si>
  <si>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</si>
  <si>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</si>
  <si>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</si>
  <si>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</si>
  <si>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</si>
  <si>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</si>
  <si>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</si>
  <si>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</si>
  <si>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</si>
  <si>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</si>
  <si>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</si>
  <si>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</si>
  <si>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</si>
  <si>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</si>
  <si>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</si>
  <si>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</si>
  <si>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</si>
  <si>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</si>
  <si>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</si>
  <si>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</si>
  <si>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</si>
  <si>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</si>
  <si>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</si>
  <si>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</si>
  <si>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</si>
  <si>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</si>
  <si>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</si>
  <si>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</si>
  <si>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</si>
  <si>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</si>
  <si>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</si>
  <si>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</si>
  <si>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</si>
  <si>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</si>
  <si>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</si>
  <si>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</si>
  <si>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</si>
  <si>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</si>
  <si>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</si>
  <si>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</si>
  <si>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</si>
  <si>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</si>
  <si>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</si>
  <si>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</si>
  <si>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</si>
  <si>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</si>
  <si>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</si>
  <si>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</si>
  <si>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</si>
  <si>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</si>
  <si>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</si>
  <si>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</si>
  <si>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</si>
  <si>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</si>
  <si>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</si>
  <si>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</si>
  <si>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</si>
  <si>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</si>
  <si>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</si>
  <si>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</si>
  <si>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</si>
  <si>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</si>
  <si>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</si>
  <si>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</si>
  <si>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</si>
  <si>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</si>
  <si>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</si>
  <si>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</si>
  <si>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</si>
  <si>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</si>
  <si>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</si>
  <si>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</si>
  <si>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</si>
  <si>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</si>
  <si>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</si>
  <si>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</si>
  <si>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</si>
  <si>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</si>
  <si>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</si>
  <si>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</si>
  <si>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</si>
  <si>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</si>
  <si>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</si>
  <si>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</si>
  <si>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</si>
  <si>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</si>
  <si>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</si>
  <si>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</si>
  <si>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</si>
  <si>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</si>
  <si>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</si>
  <si>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</si>
  <si>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</si>
  <si>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</si>
  <si>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</si>
  <si>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</si>
  <si>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</si>
  <si>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</si>
  <si>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</si>
  <si>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</si>
  <si>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</si>
  <si>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</si>
  <si>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</si>
  <si>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</si>
  <si>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</si>
  <si>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</si>
  <si>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</si>
  <si>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</si>
  <si>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</si>
  <si>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</si>
  <si>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</si>
  <si>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</si>
  <si>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</si>
  <si>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</si>
  <si>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</si>
  <si>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</si>
  <si>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</si>
  <si>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</si>
  <si>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</si>
  <si>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</si>
  <si>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</si>
  <si>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</si>
  <si>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</si>
  <si>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</si>
  <si>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</si>
  <si>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</si>
  <si>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</si>
  <si>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</si>
  <si>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</si>
  <si>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</si>
  <si>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</si>
  <si>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</si>
  <si>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</si>
  <si>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</si>
  <si>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</si>
  <si>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</si>
  <si>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</si>
  <si>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</si>
  <si>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</si>
  <si>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</si>
  <si>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</si>
  <si>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</si>
  <si>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</si>
  <si>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</si>
  <si>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</si>
  <si>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</si>
  <si>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</si>
  <si>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</si>
  <si>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</si>
  <si>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</si>
  <si>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</si>
  <si>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</si>
  <si>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</si>
  <si>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</si>
  <si>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</si>
  <si>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</si>
  <si>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</si>
  <si>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</si>
  <si>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</si>
  <si>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</si>
  <si>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</si>
  <si>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</si>
  <si>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</si>
  <si>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</si>
  <si>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</si>
  <si>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</si>
  <si>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</si>
  <si>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</si>
  <si>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</si>
  <si>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</si>
  <si>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</si>
  <si>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</si>
  <si>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</si>
  <si>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</si>
  <si>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</si>
  <si>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</si>
  <si>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</si>
  <si>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</si>
  <si>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</si>
  <si>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</si>
  <si>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</si>
  <si>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</si>
  <si>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</si>
  <si>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</si>
  <si>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</si>
  <si>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</si>
  <si>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</si>
  <si>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</si>
  <si>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</si>
  <si>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</si>
  <si>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</si>
  <si>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</si>
  <si>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</si>
  <si>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</si>
  <si>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</si>
  <si>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</si>
  <si>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</si>
  <si>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</si>
  <si>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</si>
  <si>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</si>
  <si>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</si>
  <si>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</si>
  <si>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</si>
  <si>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</si>
  <si>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</si>
  <si>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</si>
  <si>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</si>
  <si>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</si>
  <si>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</si>
  <si>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</si>
  <si>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</si>
  <si>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</si>
  <si>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</si>
  <si>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</si>
  <si>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</si>
  <si>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</si>
  <si>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</si>
  <si>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</si>
  <si>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</si>
  <si>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</si>
  <si>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</si>
  <si>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</si>
  <si>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</si>
  <si>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</si>
  <si>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</si>
  <si>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</si>
  <si>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</si>
  <si>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</si>
  <si>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</si>
  <si>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</si>
  <si>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</si>
  <si>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</si>
  <si>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</si>
  <si>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</si>
  <si>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</si>
  <si>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</si>
  <si>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</si>
  <si>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</si>
  <si>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</si>
  <si>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</si>
  <si>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</si>
  <si>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</si>
  <si>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</si>
  <si>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</si>
  <si>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</si>
  <si>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</si>
  <si>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</si>
  <si>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</si>
  <si>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</si>
  <si>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</si>
  <si>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</si>
  <si>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</si>
  <si>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</si>
  <si>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</si>
  <si>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</si>
  <si>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</si>
  <si>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</si>
  <si>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</si>
  <si>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</si>
  <si>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</si>
  <si>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</si>
  <si>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</si>
  <si>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</si>
  <si>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</si>
  <si>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</si>
  <si>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</si>
  <si>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</si>
  <si>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</si>
  <si>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</si>
  <si>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</si>
  <si>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</si>
  <si>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</si>
  <si>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</si>
  <si>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</si>
  <si>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</si>
  <si>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</si>
  <si>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</si>
  <si>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</si>
  <si>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</si>
  <si>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</si>
  <si>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</si>
  <si>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</si>
  <si>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</si>
  <si>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</si>
  <si>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</si>
  <si>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</si>
  <si>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</si>
  <si>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</si>
  <si>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</si>
  <si>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</si>
  <si>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</si>
  <si>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</si>
  <si>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</si>
  <si>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</si>
  <si>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</si>
  <si>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</si>
  <si>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</si>
  <si>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</si>
  <si>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</si>
  <si>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</si>
  <si>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</si>
  <si>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</si>
  <si>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</si>
  <si>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</si>
  <si>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</si>
  <si>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</si>
  <si>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</si>
  <si>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</si>
  <si>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</si>
  <si>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</si>
  <si>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</si>
  <si>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</si>
  <si>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</si>
  <si>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</si>
  <si>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</si>
  <si>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</si>
  <si>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</si>
  <si>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</si>
  <si>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</si>
  <si>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</si>
  <si>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</si>
  <si>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</si>
  <si>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</si>
  <si>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</si>
  <si>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</si>
  <si>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</si>
  <si>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</si>
  <si>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</si>
  <si>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</si>
  <si>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</si>
  <si>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</si>
  <si>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</si>
  <si>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</si>
  <si>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</si>
  <si>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</si>
  <si>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</si>
  <si>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</si>
  <si>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</si>
  <si>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</si>
  <si>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</si>
  <si>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</si>
  <si>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</si>
  <si>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</si>
  <si>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</si>
  <si>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</si>
  <si>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</si>
  <si>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</si>
  <si>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</si>
  <si>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</si>
  <si>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</si>
  <si>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</si>
  <si>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</si>
  <si>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</si>
  <si>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</si>
  <si>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</si>
  <si>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</si>
  <si>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</si>
  <si>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</si>
  <si>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</si>
  <si>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</si>
  <si>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</si>
  <si>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</si>
  <si>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</si>
  <si>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</si>
  <si>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</si>
  <si>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</si>
  <si>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</si>
  <si>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</si>
  <si>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</si>
  <si>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</si>
  <si>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</si>
  <si>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</si>
  <si>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</si>
  <si>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</si>
  <si>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</si>
  <si>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</si>
  <si>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</si>
  <si>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</si>
  <si>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</si>
  <si>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</si>
  <si>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</si>
  <si>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</si>
  <si>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</si>
  <si>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</si>
  <si>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</si>
  <si>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</si>
  <si>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</si>
  <si>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</si>
  <si>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</si>
  <si>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</si>
  <si>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</si>
  <si>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</si>
  <si>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</si>
  <si>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</si>
  <si>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</si>
  <si>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</si>
  <si>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</si>
  <si>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</si>
  <si>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</si>
  <si>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</si>
  <si>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</si>
  <si>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</si>
  <si>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</si>
  <si>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</si>
  <si>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</si>
  <si>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</si>
  <si>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</si>
  <si>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</si>
  <si>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</si>
  <si>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</si>
  <si>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</si>
  <si>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</si>
  <si>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</si>
  <si>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</si>
  <si>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</si>
  <si>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</si>
  <si>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</si>
  <si>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</si>
  <si>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</si>
  <si>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</si>
  <si>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</si>
  <si>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</si>
  <si>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</si>
  <si>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</si>
  <si>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</si>
  <si>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</si>
  <si>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</si>
  <si>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</si>
  <si>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</si>
  <si>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</si>
  <si>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</si>
  <si>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</si>
  <si>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</si>
  <si>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</si>
  <si>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</si>
  <si>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</si>
  <si>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</si>
  <si>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</si>
  <si>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</si>
  <si>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</si>
  <si>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</si>
  <si>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</si>
  <si>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</si>
  <si>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</si>
  <si>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</si>
  <si>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</si>
  <si>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</si>
  <si>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</si>
  <si>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</si>
  <si>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</si>
  <si>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</si>
  <si>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</si>
  <si>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</si>
  <si>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</si>
  <si>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</si>
  <si>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</si>
  <si>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</si>
  <si>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</si>
  <si>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</si>
  <si>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</si>
  <si>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</si>
  <si>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</si>
  <si>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</si>
  <si>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</si>
  <si>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</si>
  <si>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</si>
  <si>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</si>
  <si>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</si>
  <si>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</si>
  <si>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</si>
  <si>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</si>
  <si>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</si>
  <si>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</si>
  <si>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</si>
  <si>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</si>
  <si>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</si>
  <si>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</si>
  <si>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</si>
  <si>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</si>
  <si>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</si>
  <si>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</si>
  <si>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</si>
  <si>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</si>
  <si>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</si>
  <si>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</si>
  <si>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</si>
  <si>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</si>
  <si>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</si>
  <si>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</si>
  <si>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</si>
  <si>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</si>
  <si>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</si>
  <si>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</si>
  <si>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</si>
  <si>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</si>
  <si>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</si>
  <si>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</si>
  <si>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</si>
  <si>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</si>
  <si>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</si>
  <si>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</si>
  <si>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</si>
  <si>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</si>
  <si>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</si>
  <si>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</si>
  <si>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</si>
  <si>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</si>
  <si>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</si>
  <si>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</si>
  <si>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</si>
  <si>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</si>
  <si>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</si>
  <si>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</si>
  <si>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</si>
  <si>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</si>
  <si>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</si>
  <si>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</si>
  <si>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</si>
  <si>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</si>
  <si>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</si>
  <si>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</si>
  <si>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</si>
  <si>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</si>
  <si>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</si>
  <si>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</si>
  <si>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</si>
  <si>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</si>
  <si>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</si>
  <si>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</si>
  <si>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</si>
  <si>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</si>
  <si>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</si>
  <si>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</si>
  <si>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</si>
  <si>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</si>
  <si>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</si>
  <si>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</si>
  <si>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</si>
  <si>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</si>
  <si>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</si>
  <si>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</si>
  <si>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</si>
  <si>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</si>
  <si>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</si>
  <si>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</si>
  <si>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</si>
  <si>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</si>
  <si>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</si>
  <si>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</si>
  <si>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</si>
  <si>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</si>
  <si>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</si>
  <si>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</si>
  <si>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</si>
  <si>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</si>
  <si>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</si>
  <si>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</si>
  <si>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</si>
  <si>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</si>
  <si>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</si>
  <si>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</si>
  <si>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</si>
  <si>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</si>
  <si>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</si>
  <si>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</si>
  <si>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</si>
  <si>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</si>
  <si>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</si>
  <si>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</si>
  <si>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</si>
  <si>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</si>
  <si>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</si>
  <si>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</si>
  <si>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</si>
  <si>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</si>
  <si>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</si>
  <si>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</si>
  <si>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</si>
  <si>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</si>
  <si>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</si>
  <si>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</si>
  <si>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</si>
  <si>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</si>
  <si>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</si>
  <si>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</si>
  <si>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</si>
  <si>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</si>
  <si>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</si>
  <si>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</si>
  <si>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</si>
  <si>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</si>
  <si>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</si>
  <si>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</si>
  <si>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</si>
  <si>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</si>
  <si>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</si>
  <si>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</si>
  <si>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</si>
  <si>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</si>
  <si>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</si>
  <si>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</si>
  <si>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</si>
  <si>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</si>
  <si>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</si>
  <si>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</si>
  <si>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</si>
  <si>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</si>
  <si>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</si>
  <si>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</si>
  <si>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</si>
  <si>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</si>
  <si>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</si>
  <si>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</si>
  <si>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</si>
  <si>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</si>
  <si>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</si>
  <si>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</si>
  <si>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</si>
  <si>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</si>
  <si>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</si>
  <si>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</si>
  <si>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</si>
  <si>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</si>
  <si>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</si>
  <si>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</si>
  <si>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</si>
  <si>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</si>
  <si>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</si>
  <si>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</si>
  <si>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</si>
  <si>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</si>
  <si>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</si>
  <si>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</si>
  <si>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</si>
  <si>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</si>
  <si>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</si>
  <si>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</si>
  <si>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</si>
  <si>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</si>
  <si>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</si>
  <si>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</si>
  <si>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</si>
  <si>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</si>
  <si>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</si>
  <si>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</si>
  <si>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</si>
  <si>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</si>
  <si>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</si>
  <si>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</si>
  <si>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</si>
  <si>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</si>
  <si>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</si>
  <si>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</si>
  <si>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</si>
  <si>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</si>
  <si>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</si>
  <si>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</si>
  <si>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</si>
  <si>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</si>
  <si>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</si>
  <si>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</si>
  <si>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</si>
  <si>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</si>
  <si>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</si>
  <si>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</si>
  <si>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</si>
  <si>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</si>
  <si>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</si>
  <si>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</si>
  <si>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</si>
  <si>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</si>
  <si>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</si>
  <si>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</si>
  <si>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</si>
  <si>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</si>
  <si>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</si>
  <si>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</si>
  <si>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</si>
  <si>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</si>
  <si>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</si>
  <si>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</si>
  <si>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</si>
  <si>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</si>
  <si>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</si>
  <si>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</si>
  <si>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</si>
  <si>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</si>
  <si>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</si>
  <si>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</si>
  <si>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</si>
  <si>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</si>
  <si>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</si>
  <si>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</si>
  <si>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</si>
  <si>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</si>
  <si>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</si>
  <si>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</si>
  <si>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</si>
  <si>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</si>
  <si>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</si>
  <si>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</si>
  <si>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</si>
  <si>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</si>
  <si>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</si>
  <si>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</si>
  <si>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</si>
  <si>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</si>
  <si>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</si>
  <si>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</si>
  <si>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</si>
  <si>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</si>
  <si>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</si>
  <si>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</si>
  <si>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</si>
  <si>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</si>
  <si>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</si>
  <si>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</si>
  <si>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</si>
  <si>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</si>
  <si>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</si>
  <si>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</si>
  <si>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</si>
  <si>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</si>
  <si>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</si>
  <si>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</si>
  <si>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</si>
  <si>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</si>
  <si>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</si>
  <si>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</si>
  <si>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</si>
  <si>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</si>
  <si>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</si>
  <si>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</si>
  <si>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</si>
  <si>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</si>
  <si>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</si>
  <si>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</si>
  <si>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</si>
  <si>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</si>
  <si>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</si>
  <si>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</si>
  <si>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</si>
  <si>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</si>
  <si>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</si>
  <si>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</si>
  <si>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</si>
  <si>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</si>
  <si>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</si>
  <si>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</si>
  <si>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</si>
  <si>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</si>
  <si>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</si>
  <si>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</si>
  <si>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</si>
  <si>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</si>
  <si>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</si>
  <si>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</si>
  <si>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</si>
  <si>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</si>
  <si>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</si>
  <si>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</si>
  <si>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</si>
  <si>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</si>
  <si>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</si>
  <si>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</si>
  <si>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</si>
  <si>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</si>
  <si>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</si>
  <si>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</si>
  <si>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</si>
  <si>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</si>
  <si>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</si>
  <si>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</si>
  <si>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</si>
  <si>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</si>
  <si>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</si>
  <si>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</si>
  <si>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</si>
  <si>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</si>
  <si>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</si>
  <si>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</si>
  <si>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</si>
  <si>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</si>
  <si>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</si>
  <si>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</si>
  <si>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</si>
  <si>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</si>
  <si>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</si>
  <si>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</si>
  <si>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</si>
  <si>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</si>
  <si>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</si>
  <si>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</si>
  <si>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</si>
  <si>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</si>
  <si>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</si>
  <si>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</si>
  <si>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</si>
  <si>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</si>
  <si>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</si>
  <si>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</si>
  <si>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</si>
  <si>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</si>
  <si>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</si>
  <si>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</si>
  <si>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</si>
  <si>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</si>
  <si>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</si>
  <si>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</si>
  <si>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</si>
  <si>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</si>
  <si>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</si>
  <si>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</si>
  <si>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</si>
  <si>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</si>
  <si>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</si>
  <si>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</si>
  <si>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</si>
  <si>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</si>
  <si>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</si>
  <si>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</si>
  <si>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</si>
  <si>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</si>
  <si>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</si>
  <si>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</si>
  <si>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</si>
  <si>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</si>
  <si>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</si>
  <si>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</si>
  <si>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</si>
  <si>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</si>
  <si>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</si>
  <si>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</si>
  <si>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</si>
  <si>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</si>
  <si>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</si>
  <si>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</si>
  <si>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</si>
  <si>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</si>
  <si>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</si>
  <si>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</si>
  <si>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</si>
  <si>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</si>
  <si>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</si>
  <si>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</si>
  <si>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</si>
  <si>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</si>
  <si>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</si>
  <si>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</si>
  <si>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</si>
  <si>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</si>
  <si>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</si>
  <si>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</si>
  <si>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</si>
  <si>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</si>
  <si>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</si>
  <si>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</si>
  <si>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</si>
  <si>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</si>
  <si>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</si>
  <si>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</si>
  <si>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</si>
  <si>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</si>
  <si>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</si>
  <si>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</si>
  <si>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</si>
  <si>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</si>
  <si>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</si>
  <si>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</si>
  <si>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</si>
  <si>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</si>
  <si>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</si>
  <si>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</si>
  <si>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</si>
  <si>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</si>
  <si>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</si>
  <si>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</si>
  <si>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</si>
  <si>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</si>
  <si>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</si>
  <si>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</si>
  <si>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</si>
  <si>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</si>
  <si>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</si>
  <si>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</si>
  <si>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</si>
  <si>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</si>
  <si>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</si>
  <si>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</si>
  <si>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</si>
  <si>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</si>
  <si>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</si>
  <si>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</si>
  <si>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</si>
  <si>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</si>
  <si>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</si>
  <si>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</si>
  <si>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</si>
  <si>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</si>
  <si>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</si>
  <si>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</si>
  <si>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</si>
  <si>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</si>
  <si>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</si>
  <si>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</si>
  <si>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</si>
  <si>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</si>
  <si>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</si>
  <si>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</si>
  <si>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</si>
  <si>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</si>
  <si>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</si>
  <si>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</si>
  <si>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</si>
  <si>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</si>
  <si>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</si>
  <si>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</si>
  <si>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</si>
  <si>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</si>
  <si>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</si>
  <si>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</si>
  <si>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</si>
  <si>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</si>
  <si>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</si>
  <si>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</si>
  <si>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</si>
  <si>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</si>
  <si>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</si>
  <si>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</si>
  <si>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</si>
  <si>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</si>
  <si>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</si>
  <si>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</si>
  <si>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</si>
  <si>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</si>
  <si>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</si>
  <si>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</si>
  <si>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</si>
  <si>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</si>
  <si>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</si>
  <si>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</si>
  <si>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</si>
  <si>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</si>
  <si>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</si>
  <si>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</si>
  <si>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</si>
  <si>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</si>
  <si>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</si>
  <si>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</si>
  <si>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</si>
  <si>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</si>
  <si>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</si>
  <si>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</si>
  <si>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</si>
  <si>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</si>
  <si>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</si>
  <si>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</si>
  <si>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</si>
  <si>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</si>
  <si>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</si>
  <si>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</si>
  <si>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</si>
  <si>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</si>
  <si>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</si>
  <si>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</si>
  <si>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</si>
  <si>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</si>
  <si>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</si>
  <si>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</si>
  <si>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</si>
  <si>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</si>
  <si>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</si>
  <si>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</si>
  <si>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</si>
  <si>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</si>
  <si>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</si>
  <si>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</si>
  <si>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</si>
  <si>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</si>
  <si>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</si>
  <si>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</si>
  <si>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</si>
  <si>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</si>
  <si>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</si>
  <si>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</si>
  <si>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</si>
  <si>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</si>
  <si>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</si>
  <si>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</si>
  <si>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</si>
  <si>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</si>
  <si>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</si>
  <si>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</si>
  <si>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</si>
  <si>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</si>
  <si>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</si>
  <si>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</si>
  <si>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</si>
  <si>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</si>
  <si>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</si>
  <si>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</si>
  <si>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</si>
  <si>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</si>
  <si>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</si>
  <si>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</si>
  <si>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</si>
  <si>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</si>
  <si>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</si>
  <si>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</si>
  <si>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</si>
  <si>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</si>
  <si>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</si>
  <si>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</si>
  <si>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</si>
  <si>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</si>
  <si>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</si>
  <si>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</si>
  <si>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</si>
  <si>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</si>
  <si>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</si>
  <si>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</si>
  <si>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</si>
  <si>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</si>
  <si>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</si>
  <si>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</si>
  <si>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</si>
  <si>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</si>
  <si>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</si>
  <si>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</si>
  <si>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</si>
  <si>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</si>
  <si>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</si>
  <si>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</si>
  <si>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</si>
  <si>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</si>
  <si>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</si>
  <si>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</si>
  <si>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</si>
  <si>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</si>
  <si>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</si>
  <si>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</si>
  <si>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</si>
  <si>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</si>
  <si>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</si>
  <si>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</si>
  <si>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</si>
  <si>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</si>
  <si>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</si>
  <si>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</si>
  <si>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</si>
  <si>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</si>
  <si>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</si>
  <si>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</si>
  <si>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</si>
  <si>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</si>
  <si>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</si>
  <si>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</si>
  <si>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</si>
  <si>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</si>
  <si>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</si>
  <si>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</si>
  <si>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</si>
  <si>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</si>
  <si>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</si>
  <si>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</si>
  <si>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</si>
  <si>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</si>
  <si>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</si>
  <si>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</si>
  <si>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</si>
  <si>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</si>
  <si>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</si>
  <si>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</si>
  <si>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</si>
  <si>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</si>
  <si>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</si>
  <si>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</si>
  <si>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</si>
  <si>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</si>
  <si>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</si>
  <si>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</si>
  <si>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</si>
  <si>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</si>
  <si>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</si>
  <si>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</si>
  <si>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</si>
  <si>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</si>
  <si>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</si>
  <si>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</si>
  <si>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</si>
  <si>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</si>
  <si>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</si>
  <si>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</si>
  <si>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</si>
  <si>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</si>
  <si>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</si>
  <si>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</si>
  <si>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</si>
  <si>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</si>
  <si>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</si>
  <si>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</si>
  <si>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</si>
  <si>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</si>
  <si>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</si>
  <si>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</si>
  <si>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</si>
  <si>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</si>
  <si>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</si>
  <si>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</si>
  <si>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</si>
  <si>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</si>
  <si>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</si>
  <si>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</si>
  <si>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</si>
  <si>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</si>
  <si>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</si>
  <si>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</si>
  <si>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</si>
  <si>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</si>
  <si>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</si>
  <si>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</si>
  <si>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</si>
  <si>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</si>
  <si>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</si>
  <si>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</si>
  <si>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</si>
  <si>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</si>
  <si>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</si>
  <si>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</si>
  <si>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</si>
  <si>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</si>
  <si>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</si>
  <si>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</si>
  <si>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</si>
  <si>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</si>
  <si>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</si>
  <si>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</si>
  <si>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</si>
  <si>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</si>
  <si>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</si>
  <si>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</si>
  <si>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</si>
  <si>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</si>
  <si>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</si>
  <si>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</si>
  <si>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</si>
  <si>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</si>
  <si>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</si>
  <si>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</si>
  <si>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</si>
  <si>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</si>
  <si>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</si>
  <si>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</si>
  <si>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</si>
  <si>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</si>
  <si>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</si>
  <si>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</si>
  <si>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</si>
  <si>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</si>
  <si>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</si>
  <si>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</si>
  <si>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</si>
  <si>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</si>
  <si>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</si>
  <si>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</si>
  <si>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</si>
  <si>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</si>
  <si>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</si>
  <si>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</si>
  <si>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</si>
  <si>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</si>
  <si>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</si>
  <si>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</si>
  <si>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</si>
  <si>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</si>
  <si>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</si>
  <si>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</si>
  <si>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</si>
  <si>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</si>
  <si>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</si>
  <si>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</si>
  <si>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</si>
  <si>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</si>
  <si>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</si>
  <si>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</si>
  <si>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</si>
  <si>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</si>
  <si>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</si>
  <si>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</si>
  <si>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</si>
  <si>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</si>
  <si>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</si>
  <si>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</si>
  <si>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</si>
  <si>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</si>
  <si>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</si>
  <si>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</si>
  <si>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</si>
  <si>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</si>
  <si>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</si>
  <si>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</si>
  <si>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</si>
  <si>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</si>
  <si>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</si>
  <si>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</si>
  <si>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</si>
  <si>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</si>
  <si>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</si>
  <si>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</si>
  <si>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</si>
  <si>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</si>
  <si>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</si>
  <si>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</si>
  <si>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</si>
  <si>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</si>
  <si>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</si>
  <si>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</si>
  <si>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</si>
  <si>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</si>
  <si>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</si>
  <si>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</si>
  <si>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</si>
  <si>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</si>
  <si>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</si>
  <si>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</si>
  <si>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</si>
  <si>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</si>
  <si>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</si>
  <si>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</si>
  <si>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</si>
  <si>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</si>
  <si>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</si>
  <si>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</si>
  <si>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</si>
  <si>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</si>
  <si>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</si>
  <si>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</si>
  <si>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</si>
  <si>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</si>
  <si>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</si>
  <si>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</si>
  <si>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</si>
  <si>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</si>
  <si>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</si>
  <si>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</si>
  <si>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</si>
  <si>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</si>
  <si>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</si>
  <si>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</si>
  <si>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</si>
  <si>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</si>
  <si>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</si>
  <si>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</si>
  <si>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</si>
  <si>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</si>
  <si>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</si>
  <si>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</si>
  <si>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</si>
  <si>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</si>
  <si>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</si>
  <si>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</si>
  <si>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</si>
  <si>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</si>
  <si>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</si>
  <si>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</si>
  <si>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</si>
  <si>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</si>
  <si>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</si>
  <si>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</si>
  <si>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</si>
  <si>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</si>
  <si>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</si>
  <si>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</si>
  <si>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</si>
  <si>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</si>
  <si>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</si>
  <si>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</si>
  <si>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</si>
  <si>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</si>
  <si>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</si>
  <si>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</si>
  <si>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</si>
  <si>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</si>
  <si>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</si>
  <si>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</si>
  <si>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</si>
  <si>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</si>
  <si>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</si>
  <si>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</si>
  <si>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</si>
  <si>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</si>
  <si>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</si>
  <si>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</si>
  <si>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</si>
  <si>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</si>
  <si>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</si>
  <si>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</si>
  <si>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</si>
  <si>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</si>
  <si>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</si>
  <si>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</si>
  <si>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</si>
  <si>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</si>
  <si>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</si>
  <si>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</si>
  <si>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</si>
  <si>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</si>
  <si>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</si>
  <si>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</si>
  <si>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</si>
  <si>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</si>
  <si>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</si>
  <si>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</si>
  <si>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</si>
  <si>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</si>
  <si>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</si>
  <si>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</si>
  <si>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</si>
  <si>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</si>
  <si>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</si>
  <si>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</si>
  <si>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</si>
  <si>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</si>
  <si>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</si>
  <si>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</si>
  <si>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</si>
  <si>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</si>
  <si>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</si>
  <si>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</si>
  <si>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</si>
  <si>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</si>
  <si>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</si>
  <si>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</si>
  <si>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</si>
  <si>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</si>
  <si>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</si>
  <si>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</si>
  <si>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</si>
  <si>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</si>
  <si>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</si>
  <si>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</si>
  <si>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</si>
  <si>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</si>
  <si>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</si>
  <si>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</si>
  <si>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</si>
  <si>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</si>
  <si>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</si>
  <si>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</si>
  <si>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</si>
  <si>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</si>
  <si>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</si>
  <si>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</si>
  <si>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</si>
  <si>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</si>
  <si>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</si>
  <si>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</si>
  <si>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</si>
  <si>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</si>
  <si>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</si>
  <si>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</si>
  <si>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</si>
  <si>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</si>
  <si>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</si>
  <si>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</si>
  <si>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</si>
  <si>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</si>
  <si>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</si>
  <si>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</si>
  <si>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</si>
  <si>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</si>
  <si>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</si>
  <si>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</si>
  <si>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</si>
  <si>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</si>
  <si>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</si>
  <si>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</si>
  <si>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</si>
  <si>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</si>
  <si>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</si>
  <si>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</si>
  <si>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</si>
  <si>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</si>
  <si>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</si>
  <si>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</si>
  <si>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</si>
  <si>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</si>
  <si>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</si>
  <si>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</si>
  <si>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</si>
  <si>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</si>
  <si>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</si>
  <si>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</si>
  <si>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</si>
  <si>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</si>
  <si>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</si>
  <si>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</si>
  <si>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</si>
  <si>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</si>
  <si>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</si>
  <si>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</si>
  <si>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</si>
  <si>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</si>
  <si>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</si>
  <si>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</si>
  <si>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</si>
  <si>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</si>
  <si>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</si>
  <si>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</si>
  <si>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</si>
  <si>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</si>
  <si>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</si>
  <si>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</si>
  <si>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</si>
  <si>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</si>
  <si>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</si>
  <si>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</si>
  <si>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</si>
  <si>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</si>
  <si>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</si>
  <si>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</si>
  <si>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</si>
  <si>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</si>
  <si>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</si>
  <si>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</si>
  <si>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</si>
  <si>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</si>
  <si>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</si>
  <si>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</si>
  <si>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</si>
  <si>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</si>
  <si>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</si>
  <si>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</si>
  <si>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</si>
  <si>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</si>
  <si>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</si>
  <si>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</si>
  <si>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</si>
  <si>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</si>
  <si>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</si>
  <si>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</si>
  <si>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</si>
  <si>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</si>
  <si>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</si>
  <si>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</si>
  <si>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</si>
  <si>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</si>
  <si>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</si>
  <si>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</si>
  <si>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</si>
  <si>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</si>
  <si>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</si>
  <si>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</si>
  <si>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</si>
  <si>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</si>
  <si>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</si>
  <si>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</si>
  <si>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</si>
  <si>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</si>
  <si>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</si>
  <si>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</si>
  <si>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</si>
  <si>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</si>
  <si>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</si>
  <si>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</si>
  <si>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</si>
  <si>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</si>
  <si>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</si>
  <si>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</si>
  <si>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</si>
  <si>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</si>
  <si>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</si>
  <si>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</si>
  <si>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</si>
  <si>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</si>
  <si>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</si>
  <si>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</si>
  <si>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</si>
  <si>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</si>
  <si>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</si>
  <si>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</si>
  <si>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</si>
  <si>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</si>
  <si>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</si>
  <si>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</si>
  <si>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</si>
  <si>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</si>
  <si>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</si>
  <si>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</si>
  <si>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</si>
  <si>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</si>
  <si>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</si>
  <si>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</si>
  <si>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</si>
  <si>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</si>
  <si>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</si>
  <si>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</si>
  <si>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</si>
  <si>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</si>
  <si>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</si>
  <si>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</si>
  <si>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</si>
  <si>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</si>
  <si>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</si>
  <si>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</si>
  <si>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</si>
  <si>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</si>
  <si>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</si>
  <si>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</si>
  <si>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</si>
  <si>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</si>
  <si>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</si>
  <si>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</si>
  <si>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</si>
  <si>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</si>
  <si>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</si>
  <si>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</si>
  <si>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</si>
  <si>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</si>
  <si>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</si>
  <si>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</si>
  <si>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</si>
  <si>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</si>
  <si>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</si>
  <si>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</si>
  <si>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</si>
  <si>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</si>
  <si>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</si>
  <si>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</si>
  <si>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</si>
  <si>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</si>
  <si>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</si>
  <si>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</si>
  <si>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</si>
  <si>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</si>
  <si>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</si>
  <si>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</si>
  <si>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</si>
  <si>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</si>
  <si>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</si>
  <si>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</si>
  <si>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</si>
  <si>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</si>
  <si>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</si>
  <si>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</si>
  <si>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</si>
  <si>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</si>
  <si>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</si>
  <si>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</si>
  <si>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</si>
  <si>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</si>
  <si>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</si>
  <si>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</si>
  <si>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</si>
  <si>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</si>
  <si>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</si>
  <si>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</si>
  <si>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</si>
  <si>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</si>
  <si>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</si>
  <si>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</si>
  <si>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</si>
  <si>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</si>
  <si>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</si>
  <si>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</si>
  <si>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</si>
  <si>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</si>
  <si>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</si>
  <si>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</si>
  <si>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</si>
  <si>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</si>
  <si>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</si>
  <si>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</si>
  <si>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</si>
  <si>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</si>
  <si>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</si>
  <si>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</si>
  <si>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</si>
  <si>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</si>
  <si>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</si>
  <si>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</si>
  <si>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</si>
  <si>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</si>
  <si>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</si>
  <si>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</si>
  <si>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</si>
  <si>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</si>
  <si>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</si>
  <si>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</si>
  <si>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</si>
  <si>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</si>
  <si>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</si>
  <si>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</si>
  <si>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</si>
  <si>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</si>
  <si>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</si>
  <si>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</si>
  <si>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</si>
  <si>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</si>
  <si>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</si>
  <si>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</si>
  <si>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</si>
  <si>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</si>
  <si>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</si>
  <si>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</si>
  <si>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</si>
  <si>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</si>
  <si>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</si>
  <si>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</si>
  <si>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</si>
  <si>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</si>
  <si>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</si>
  <si>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</si>
  <si>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</si>
  <si>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</si>
  <si>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</si>
  <si>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</si>
  <si>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</si>
  <si>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</si>
  <si>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</si>
  <si>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</si>
  <si>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</si>
  <si>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</si>
  <si>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</si>
  <si>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</si>
  <si>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</si>
  <si>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</si>
  <si>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</si>
  <si>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</si>
  <si>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</si>
  <si>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</si>
  <si>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</si>
  <si>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</si>
  <si>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</si>
  <si>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</si>
  <si>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</si>
  <si>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</si>
  <si>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</si>
  <si>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</si>
  <si>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</si>
  <si>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</si>
  <si>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</si>
  <si>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</si>
  <si>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</si>
  <si>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</si>
  <si>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</si>
  <si>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</si>
  <si>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</si>
  <si>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</si>
  <si>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</si>
  <si>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</si>
  <si>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</si>
  <si>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</si>
  <si>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</si>
  <si>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</si>
  <si>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</si>
  <si>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</si>
  <si>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</si>
  <si>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</si>
  <si>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</si>
  <si>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</si>
  <si>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</si>
  <si>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</si>
  <si>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</si>
  <si>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</si>
  <si>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</si>
  <si>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</si>
  <si>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</si>
  <si>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</si>
  <si>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</si>
  <si>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</si>
  <si>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</si>
  <si>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</si>
  <si>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</si>
  <si>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</si>
  <si>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</si>
  <si>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</si>
  <si>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</si>
  <si>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</si>
  <si>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</si>
  <si>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</si>
  <si>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</si>
  <si>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</si>
  <si>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</si>
  <si>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</si>
  <si>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</si>
  <si>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</si>
  <si>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</si>
  <si>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</si>
  <si>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</si>
  <si>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</si>
  <si>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</si>
  <si>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</si>
  <si>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</si>
  <si>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</si>
  <si>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</si>
  <si>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</si>
  <si>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</si>
  <si>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</si>
  <si>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</si>
  <si>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</si>
  <si>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</si>
  <si>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</si>
  <si>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</si>
  <si>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</si>
  <si>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</si>
  <si>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</si>
  <si>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</si>
  <si>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</si>
  <si>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</si>
  <si>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</si>
  <si>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</si>
  <si>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</si>
  <si>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</si>
  <si>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</si>
  <si>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</si>
  <si>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</si>
  <si>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</si>
  <si>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</si>
  <si>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</si>
  <si>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</si>
  <si>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</si>
  <si>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</si>
  <si>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</si>
  <si>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</si>
  <si>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</si>
  <si>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</si>
  <si>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</si>
  <si>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</si>
  <si>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</si>
  <si>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</si>
  <si>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</si>
  <si>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</si>
  <si>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</si>
  <si>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</si>
  <si>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</si>
  <si>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</si>
  <si>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</si>
  <si>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</si>
  <si>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</si>
  <si>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</si>
  <si>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</si>
  <si>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</si>
  <si>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</si>
  <si>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</si>
  <si>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</si>
  <si>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</si>
  <si>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</si>
  <si>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</si>
  <si>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</si>
  <si>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</si>
  <si>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</si>
  <si>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</si>
  <si>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</si>
  <si>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</si>
  <si>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</si>
  <si>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</si>
  <si>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</si>
  <si>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</si>
  <si>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</si>
  <si>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</si>
  <si>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</si>
  <si>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</si>
  <si>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</si>
  <si>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</si>
  <si>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</si>
  <si>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</si>
  <si>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</si>
  <si>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</si>
  <si>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</si>
  <si>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</si>
  <si>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</si>
  <si>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</si>
  <si>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</si>
  <si>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</si>
  <si>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</si>
  <si>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</si>
  <si>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</si>
  <si>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</si>
  <si>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</si>
  <si>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</si>
  <si>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</si>
  <si>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</si>
  <si>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</si>
  <si>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</si>
  <si>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</si>
  <si>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</si>
  <si>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</si>
  <si>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</si>
  <si>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</si>
  <si>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</si>
  <si>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</si>
  <si>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</si>
  <si>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</si>
  <si>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</si>
  <si>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</si>
  <si>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</si>
  <si>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</si>
  <si>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</si>
  <si>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</si>
  <si>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</si>
  <si>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</si>
  <si>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</si>
  <si>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</si>
  <si>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</si>
  <si>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</si>
  <si>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</si>
  <si>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</si>
  <si>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</si>
  <si>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</si>
  <si>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</si>
  <si>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</si>
  <si>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</si>
  <si>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</si>
  <si>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</si>
  <si>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</si>
  <si>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</si>
  <si>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</si>
  <si>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</si>
  <si>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</si>
  <si>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</si>
  <si>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</si>
  <si>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</si>
  <si>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</si>
  <si>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</si>
  <si>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</si>
  <si>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</si>
  <si>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</si>
  <si>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</si>
  <si>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</si>
  <si>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</si>
  <si>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</si>
  <si>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</si>
  <si>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</si>
  <si>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</si>
  <si>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</si>
  <si>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</si>
  <si>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</si>
  <si>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</si>
  <si>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</si>
  <si>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</si>
  <si>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</si>
  <si>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</si>
  <si>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</si>
  <si>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</si>
  <si>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</si>
  <si>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</si>
  <si>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</si>
  <si>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</si>
  <si>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</si>
  <si>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</si>
  <si>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</si>
  <si>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</si>
  <si>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</si>
  <si>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</si>
  <si>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</si>
  <si>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</si>
  <si>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</si>
  <si>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</si>
  <si>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</si>
  <si>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</si>
  <si>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</si>
  <si>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</si>
  <si>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</si>
  <si>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</si>
  <si>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</si>
  <si>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</si>
  <si>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</si>
  <si>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</si>
  <si>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</si>
  <si>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</si>
  <si>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</si>
  <si>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</si>
  <si>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</si>
  <si>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</si>
  <si>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</si>
  <si>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</si>
  <si>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</si>
  <si>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</si>
  <si>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</si>
  <si>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</si>
  <si>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</si>
  <si>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</si>
  <si>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</si>
  <si>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</si>
  <si>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</si>
  <si>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</si>
  <si>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</si>
  <si>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</si>
  <si>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</si>
  <si>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</si>
  <si>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</si>
  <si>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</si>
  <si>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</si>
  <si>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</si>
  <si>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</si>
  <si>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</si>
  <si>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</si>
  <si>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</si>
  <si>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</si>
  <si>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</si>
  <si>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</si>
  <si>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</si>
  <si>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</si>
  <si>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</si>
  <si>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</si>
  <si>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</si>
  <si>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</si>
  <si>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</si>
  <si>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</si>
  <si>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</si>
  <si>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</si>
  <si>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</si>
  <si>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</si>
  <si>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</si>
  <si>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</si>
  <si>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</si>
  <si>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</si>
  <si>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</si>
  <si>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</si>
  <si>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</si>
  <si>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</si>
  <si>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</si>
  <si>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</si>
  <si>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</si>
  <si>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</si>
  <si>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</si>
  <si>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</si>
  <si>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</si>
  <si>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</si>
  <si>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</si>
  <si>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</si>
  <si>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</si>
  <si>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</si>
  <si>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</si>
  <si>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</si>
  <si>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</si>
  <si>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</si>
  <si>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</si>
  <si>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</si>
  <si>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</si>
  <si>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</si>
  <si>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</si>
  <si>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</si>
  <si>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</si>
  <si>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</si>
  <si>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</si>
  <si>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</si>
  <si>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</si>
  <si>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</si>
  <si>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</si>
  <si>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</si>
  <si>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</si>
  <si>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</si>
  <si>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</si>
  <si>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</si>
  <si>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</si>
  <si>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</si>
  <si>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</si>
  <si>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</si>
  <si>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</si>
  <si>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</si>
  <si>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</si>
  <si>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</si>
  <si>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</si>
  <si>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</si>
  <si>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</si>
  <si>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</si>
  <si>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</si>
  <si>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</si>
  <si>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</si>
  <si>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</si>
  <si>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</si>
  <si>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</si>
  <si>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</si>
  <si>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</si>
  <si>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</si>
  <si>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</si>
  <si>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</si>
  <si>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</si>
  <si>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</si>
  <si>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</si>
  <si>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</si>
  <si>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</si>
  <si>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</si>
  <si>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</si>
  <si>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</si>
  <si>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</si>
  <si>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</si>
  <si>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</si>
  <si>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</si>
  <si>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</si>
  <si>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</si>
  <si>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</si>
  <si>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</si>
  <si>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</si>
  <si>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</si>
  <si>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</si>
  <si>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</si>
  <si>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</si>
  <si>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</si>
  <si>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</si>
  <si>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</si>
  <si>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</si>
  <si>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</si>
  <si>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</si>
  <si>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</si>
  <si>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</si>
  <si>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</si>
  <si>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</si>
  <si>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</si>
  <si>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</si>
  <si>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</si>
  <si>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</si>
  <si>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</si>
  <si>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</si>
  <si>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</si>
  <si>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</si>
  <si>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</si>
  <si>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</si>
  <si>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</si>
  <si>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</si>
  <si>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</si>
  <si>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</si>
  <si>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</si>
  <si>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</si>
  <si>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</si>
  <si>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</si>
  <si>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</si>
  <si>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</si>
  <si>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</si>
  <si>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</si>
  <si>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</si>
  <si>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</si>
  <si>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</si>
  <si>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</si>
  <si>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</si>
  <si>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</si>
  <si>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</si>
  <si>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</si>
  <si>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</si>
  <si>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</si>
  <si>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</si>
  <si>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</si>
  <si>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</si>
  <si>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</si>
  <si>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</si>
  <si>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</si>
  <si>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</si>
  <si>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</si>
  <si>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</si>
  <si>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</si>
  <si>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</si>
  <si>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</si>
  <si>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</si>
  <si>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</si>
  <si>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</si>
  <si>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</si>
  <si>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</si>
  <si>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</si>
  <si>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</si>
  <si>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</si>
  <si>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</si>
  <si>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</si>
  <si>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</si>
  <si>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</si>
  <si>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</si>
  <si>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</si>
  <si>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</si>
  <si>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</si>
  <si>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</si>
  <si>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</si>
  <si>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</si>
  <si>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</si>
  <si>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</si>
  <si>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</si>
  <si>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</si>
  <si>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</si>
  <si>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</si>
  <si>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</si>
  <si>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</si>
  <si>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</si>
  <si>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</si>
  <si>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</si>
  <si>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</si>
  <si>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</si>
  <si>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</si>
  <si>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</si>
  <si>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</si>
  <si>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</si>
  <si>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</si>
  <si>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</si>
  <si>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</si>
  <si>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</si>
  <si>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</si>
  <si>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</si>
  <si>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</si>
  <si>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</si>
  <si>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</si>
  <si>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</si>
  <si>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</si>
  <si>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</si>
  <si>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</si>
  <si>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</si>
  <si>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</si>
  <si>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</si>
  <si>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</si>
  <si>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</si>
  <si>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</si>
  <si>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</si>
  <si>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</si>
  <si>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</si>
  <si>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</si>
  <si>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</si>
  <si>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</si>
  <si>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</si>
  <si>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</si>
  <si>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</si>
  <si>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</si>
  <si>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</si>
  <si>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</si>
  <si>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</si>
  <si>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</si>
  <si>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</si>
  <si>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</si>
  <si>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</si>
  <si>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</si>
  <si>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</si>
  <si>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</si>
  <si>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</si>
  <si>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</si>
  <si>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</si>
  <si>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</si>
  <si>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</si>
  <si>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</si>
  <si>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</si>
  <si>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</si>
  <si>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</si>
  <si>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</si>
  <si>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</si>
  <si>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</si>
  <si>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</si>
  <si>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</si>
  <si>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</si>
  <si>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</si>
  <si>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</si>
  <si>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</si>
  <si>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</si>
  <si>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</si>
  <si>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</si>
  <si>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</si>
  <si>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</si>
  <si>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</si>
  <si>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</si>
  <si>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</si>
  <si>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</si>
  <si>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</si>
  <si>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</si>
  <si>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</si>
  <si>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</si>
  <si>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</si>
  <si>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</si>
  <si>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</si>
  <si>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</si>
  <si>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</si>
  <si>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</si>
  <si>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</si>
  <si>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</si>
  <si>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</si>
  <si>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</si>
  <si>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</si>
  <si>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</si>
  <si>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</si>
  <si>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</si>
  <si>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</si>
  <si>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</si>
  <si>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</si>
  <si>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</si>
  <si>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</si>
  <si>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</si>
  <si>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</si>
  <si>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</si>
  <si>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</si>
  <si>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</si>
  <si>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</si>
  <si>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</si>
  <si>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</si>
  <si>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</si>
  <si>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</si>
  <si>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</si>
  <si>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</si>
  <si>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</si>
  <si>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</si>
  <si>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</si>
  <si>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</si>
  <si>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</si>
  <si>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</si>
  <si>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</si>
  <si>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</si>
  <si>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</si>
  <si>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</si>
  <si>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</si>
  <si>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</si>
  <si>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</si>
  <si>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</si>
  <si>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</si>
  <si>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</si>
  <si>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</si>
  <si>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</si>
  <si>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</si>
  <si>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</si>
  <si>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</si>
  <si>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</si>
  <si>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</si>
  <si>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</si>
  <si>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</si>
  <si>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</si>
  <si>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</si>
  <si>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</si>
  <si>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</si>
  <si>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</si>
  <si>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</si>
  <si>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</si>
  <si>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</si>
  <si>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</si>
  <si>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</si>
  <si>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</si>
  <si>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</si>
  <si>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</si>
  <si>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</si>
  <si>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</si>
  <si>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</si>
  <si>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</si>
  <si>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</si>
  <si>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</si>
  <si>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</si>
  <si>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</si>
  <si>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</si>
  <si>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</si>
  <si>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</si>
  <si>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</si>
  <si>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</si>
  <si>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</si>
  <si>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</si>
  <si>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</si>
  <si>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</si>
  <si>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</si>
  <si>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</si>
  <si>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</si>
  <si>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</si>
  <si>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</si>
  <si>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</si>
  <si>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</si>
  <si>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</si>
  <si>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</si>
  <si>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</si>
  <si>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</si>
  <si>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</si>
  <si>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</si>
  <si>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</si>
  <si>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</si>
  <si>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</si>
  <si>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</si>
  <si>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</si>
  <si>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</si>
  <si>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</si>
  <si>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</si>
  <si>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</si>
  <si>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</si>
  <si>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</si>
  <si>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</si>
  <si>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</si>
  <si>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</si>
  <si>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</si>
  <si>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</si>
  <si>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</si>
  <si>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</si>
  <si>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</si>
  <si>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</si>
  <si>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</si>
  <si>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</si>
  <si>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</si>
  <si>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</si>
  <si>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</si>
  <si>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</si>
  <si>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</si>
  <si>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</si>
  <si>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</si>
  <si>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</si>
  <si>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</si>
  <si>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</si>
  <si>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</si>
  <si>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</si>
  <si>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</si>
  <si>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</si>
  <si>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</si>
  <si>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</si>
  <si>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</si>
  <si>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</si>
  <si>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</si>
  <si>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</si>
  <si>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</si>
  <si>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</si>
  <si>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</si>
  <si>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</si>
  <si>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</si>
  <si>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</si>
  <si>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</si>
  <si>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</si>
  <si>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</si>
  <si>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</si>
  <si>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</si>
  <si>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</si>
  <si>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</si>
  <si>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</si>
  <si>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</si>
  <si>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</si>
  <si>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</si>
  <si>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</si>
  <si>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</si>
  <si>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</si>
  <si>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</si>
  <si>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</si>
  <si>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</si>
  <si>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</si>
  <si>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</si>
  <si>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</si>
  <si>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</si>
  <si>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</si>
  <si>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</si>
  <si>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</si>
  <si>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</si>
  <si>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</si>
  <si>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</si>
  <si>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</si>
  <si>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</si>
  <si>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</si>
  <si>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</si>
  <si>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</si>
  <si>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</si>
  <si>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</si>
  <si>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</si>
  <si>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</si>
  <si>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</si>
  <si>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</si>
  <si>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</si>
  <si>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</si>
  <si>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</si>
  <si>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</si>
  <si>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</si>
  <si>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</si>
  <si>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</si>
  <si>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</si>
  <si>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</si>
  <si>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</si>
  <si>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</si>
  <si>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</si>
  <si>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</si>
  <si>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</si>
  <si>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</si>
  <si>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</si>
  <si>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</si>
  <si>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</si>
  <si>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</si>
  <si>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</si>
  <si>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</si>
  <si>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</si>
  <si>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</si>
  <si>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</si>
  <si>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</si>
  <si>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</si>
  <si>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</si>
  <si>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</si>
  <si>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</si>
  <si>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</si>
  <si>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</si>
  <si>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</si>
  <si>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</si>
  <si>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</si>
  <si>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</si>
  <si>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</si>
  <si>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</si>
  <si>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</si>
  <si>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</si>
  <si>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</si>
  <si>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</si>
  <si>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</si>
  <si>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</si>
  <si>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</si>
  <si>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</si>
  <si>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</si>
  <si>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</si>
  <si>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</si>
  <si>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</si>
  <si>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</si>
  <si>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</si>
  <si>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</si>
  <si>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</si>
  <si>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</si>
  <si>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</si>
  <si>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</si>
  <si>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</si>
  <si>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</si>
  <si>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</si>
  <si>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</si>
  <si>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</si>
  <si>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</si>
  <si>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</si>
  <si>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</si>
  <si>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</si>
  <si>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</si>
  <si>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</si>
  <si>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</si>
  <si>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</si>
  <si>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</si>
  <si>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</si>
  <si>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</si>
  <si>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</si>
  <si>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</si>
  <si>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</si>
  <si>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</si>
  <si>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</si>
  <si>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</si>
  <si>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</si>
  <si>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</si>
  <si>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</si>
  <si>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</si>
  <si>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</si>
  <si>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</si>
  <si>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</si>
  <si>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</si>
  <si>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</si>
  <si>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</si>
  <si>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</si>
  <si>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</si>
  <si>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</si>
  <si>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</si>
  <si>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</si>
  <si>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</si>
  <si>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</si>
  <si>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</si>
  <si>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</si>
  <si>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</si>
  <si>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</si>
  <si>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</si>
  <si>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</si>
  <si>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</si>
  <si>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</si>
  <si>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</si>
  <si>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</si>
  <si>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</si>
  <si>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</si>
  <si>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</si>
  <si>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</si>
  <si>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</si>
  <si>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</si>
  <si>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</si>
  <si>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</si>
  <si>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</si>
  <si>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</si>
  <si>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</si>
  <si>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</si>
  <si>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</si>
  <si>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</si>
  <si>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</si>
  <si>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</si>
  <si>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</si>
  <si>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</si>
  <si>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</si>
  <si>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</si>
  <si>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</si>
  <si>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</si>
  <si>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</si>
  <si>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</si>
  <si>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</si>
  <si>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</si>
  <si>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</si>
  <si>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</si>
  <si>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</si>
  <si>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</si>
  <si>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</si>
  <si>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</si>
  <si>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</si>
  <si>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</si>
  <si>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</si>
  <si>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</si>
  <si>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</si>
  <si>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</si>
  <si>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</si>
  <si>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</si>
  <si>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</si>
  <si>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</si>
  <si>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</si>
  <si>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</si>
  <si>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</si>
  <si>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</si>
  <si>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</si>
  <si>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</si>
  <si>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</si>
  <si>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</si>
  <si>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</si>
  <si>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</si>
  <si>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</si>
  <si>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</si>
  <si>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</si>
  <si>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</si>
  <si>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</si>
  <si>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</si>
  <si>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</si>
  <si>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</si>
  <si>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</si>
  <si>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</si>
  <si>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</si>
  <si>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</si>
  <si>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</si>
  <si>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</si>
  <si>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</si>
  <si>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</si>
  <si>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</si>
  <si>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</si>
  <si>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</si>
  <si>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</si>
  <si>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</si>
  <si>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</si>
  <si>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</si>
  <si>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</si>
  <si>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</si>
  <si>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</si>
  <si>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</si>
  <si>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</si>
  <si>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</si>
  <si>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</si>
  <si>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</si>
  <si>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</si>
  <si>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</si>
  <si>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</si>
  <si>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</si>
  <si>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</si>
  <si>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</si>
  <si>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</si>
  <si>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</si>
  <si>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</si>
  <si>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</si>
  <si>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</si>
  <si>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</si>
  <si>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</si>
  <si>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</si>
  <si>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</si>
  <si>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</si>
  <si>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</si>
  <si>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</si>
  <si>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</si>
  <si>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</si>
  <si>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</si>
  <si>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</si>
  <si>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</si>
  <si>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</si>
  <si>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</si>
  <si>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</si>
  <si>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</si>
  <si>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</si>
  <si>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</si>
  <si>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</si>
  <si>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</si>
  <si>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</si>
  <si>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</si>
  <si>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</si>
  <si>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</si>
  <si>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</si>
  <si>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</si>
  <si>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</si>
  <si>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</si>
  <si>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</si>
  <si>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</si>
  <si>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</si>
  <si>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</si>
  <si>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</si>
  <si>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</si>
  <si>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</si>
  <si>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</si>
  <si>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</si>
  <si>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</si>
  <si>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</si>
  <si>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</si>
  <si>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</si>
  <si>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</si>
  <si>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</si>
  <si>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</si>
  <si>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</si>
  <si>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</si>
  <si>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</si>
  <si>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</si>
  <si>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</si>
  <si>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</si>
  <si>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</si>
  <si>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</si>
  <si>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</si>
  <si>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</si>
  <si>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</si>
  <si>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</si>
  <si>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</si>
  <si>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</si>
  <si>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</si>
  <si>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</si>
  <si>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</si>
  <si>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</si>
  <si>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</si>
  <si>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</si>
  <si>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</si>
  <si>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</si>
  <si>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</si>
  <si>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</si>
  <si>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</si>
  <si>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</si>
  <si>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</si>
  <si>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</si>
  <si>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</si>
  <si>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</si>
  <si>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</si>
  <si>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</si>
  <si>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</si>
  <si>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</si>
  <si>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</si>
  <si>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</si>
  <si>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</si>
  <si>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</si>
  <si>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</si>
  <si>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</si>
  <si>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</si>
  <si>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</si>
  <si>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</si>
  <si>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</si>
  <si>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</si>
  <si>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</si>
  <si>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</si>
  <si>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</si>
  <si>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</si>
  <si>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</si>
  <si>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</si>
  <si>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</si>
  <si>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</si>
  <si>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</si>
  <si>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</si>
  <si>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</si>
  <si>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</si>
  <si>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</si>
  <si>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</si>
  <si>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</si>
  <si>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</si>
  <si>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</si>
  <si>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</si>
  <si>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</si>
  <si>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</si>
  <si>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</si>
  <si>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</si>
  <si>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</si>
  <si>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</si>
  <si>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</si>
  <si>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</si>
  <si>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</si>
  <si>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</si>
  <si>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</si>
  <si>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</si>
  <si>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</si>
  <si>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</si>
  <si>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</si>
  <si>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</si>
  <si>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</si>
  <si>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</si>
  <si>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</si>
  <si>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</si>
  <si>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</si>
  <si>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</si>
  <si>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</si>
  <si>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</si>
  <si>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</si>
  <si>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</si>
  <si>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</si>
  <si>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</si>
  <si>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</si>
  <si>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</si>
  <si>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</si>
  <si>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</si>
  <si>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</si>
  <si>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</si>
  <si>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</si>
  <si>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</si>
  <si>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</si>
  <si>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</si>
  <si>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</si>
  <si>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</si>
  <si>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</si>
  <si>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</si>
  <si>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</si>
  <si>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</si>
  <si>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</si>
  <si>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</si>
  <si>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</si>
  <si>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</si>
  <si>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</si>
  <si>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</si>
  <si>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</si>
  <si>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</si>
  <si>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</si>
  <si>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</si>
  <si>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</si>
  <si>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</si>
  <si>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</si>
  <si>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</si>
  <si>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</si>
  <si>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</si>
  <si>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</si>
  <si>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</si>
  <si>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</si>
  <si>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</si>
  <si>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</si>
  <si>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</si>
  <si>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</si>
  <si>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</si>
  <si>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</si>
  <si>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</si>
  <si>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</si>
  <si>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</si>
  <si>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</si>
  <si>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</si>
  <si>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</si>
  <si>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</si>
  <si>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</si>
  <si>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</si>
  <si>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</si>
  <si>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</si>
  <si>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</si>
  <si>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</si>
  <si>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</si>
  <si>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</si>
  <si>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</si>
  <si>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</si>
  <si>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</si>
  <si>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</si>
  <si>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</si>
  <si>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</si>
  <si>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</si>
  <si>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</si>
  <si>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</si>
  <si>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</si>
  <si>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</si>
  <si>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</si>
  <si>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</si>
  <si>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</si>
  <si>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</si>
  <si>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</si>
  <si>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</si>
  <si>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</si>
  <si>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</si>
  <si>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</si>
  <si>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</si>
  <si>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</si>
  <si>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</si>
  <si>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</si>
  <si>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</si>
  <si>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</si>
  <si>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</si>
  <si>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</si>
  <si>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</si>
  <si>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</si>
  <si>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</si>
  <si>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</si>
  <si>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</si>
  <si>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</si>
  <si>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</si>
  <si>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</si>
  <si>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</si>
  <si>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</si>
  <si>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</si>
  <si>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</si>
  <si>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</si>
  <si>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</si>
  <si>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</si>
  <si>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</si>
  <si>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</si>
  <si>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</si>
  <si>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</si>
  <si>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</si>
  <si>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</si>
  <si>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</si>
  <si>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</si>
  <si>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</si>
  <si>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</si>
  <si>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</si>
  <si>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</si>
  <si>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</si>
  <si>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</si>
  <si>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</si>
  <si>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</si>
  <si>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</si>
  <si>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</si>
  <si>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</si>
  <si>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</si>
  <si>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</si>
  <si>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</si>
  <si>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</si>
  <si>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</si>
  <si>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</si>
  <si>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</si>
  <si>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</si>
  <si>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</si>
  <si>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</si>
  <si>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</si>
  <si>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</si>
  <si>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</si>
  <si>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</si>
  <si>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</si>
  <si>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</si>
  <si>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</si>
  <si>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</si>
  <si>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</si>
  <si>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</si>
  <si>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</si>
  <si>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</si>
  <si>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</si>
  <si>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</si>
  <si>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</si>
  <si>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</si>
  <si>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</si>
  <si>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</si>
  <si>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</si>
  <si>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</si>
  <si>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</si>
  <si>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</si>
  <si>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</si>
  <si>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</si>
  <si>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</si>
  <si>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</si>
  <si>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</si>
  <si>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</si>
  <si>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</si>
  <si>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</si>
  <si>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</si>
  <si>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</si>
  <si>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</si>
  <si>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</si>
  <si>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</si>
  <si>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</si>
  <si>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</si>
  <si>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</si>
  <si>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</si>
  <si>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</si>
  <si>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</si>
  <si>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</si>
  <si>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</si>
  <si>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</si>
  <si>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</si>
  <si>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</si>
  <si>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</si>
  <si>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</si>
  <si>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</si>
  <si>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</si>
  <si>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</si>
  <si>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</si>
  <si>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</si>
  <si>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</si>
  <si>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</si>
  <si>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</si>
  <si>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</si>
  <si>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</si>
  <si>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</si>
  <si>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</si>
  <si>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</si>
  <si>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</si>
  <si>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</si>
  <si>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</si>
  <si>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</si>
  <si>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</si>
  <si>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</si>
  <si>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</si>
  <si>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</si>
  <si>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</si>
  <si>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</si>
  <si>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</si>
  <si>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</si>
  <si>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</si>
  <si>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</si>
  <si>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</si>
  <si>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</si>
  <si>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</si>
  <si>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</si>
  <si>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</si>
  <si>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</si>
  <si>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</si>
  <si>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</si>
  <si>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</si>
  <si>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</si>
  <si>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</si>
  <si>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</si>
  <si>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</si>
  <si>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</si>
  <si>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</si>
  <si>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</si>
  <si>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</si>
  <si>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</si>
  <si>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</si>
  <si>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</si>
  <si>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</si>
  <si>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</si>
  <si>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</si>
  <si>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</si>
  <si>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</si>
  <si>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</si>
  <si>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</si>
  <si>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</si>
  <si>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</si>
  <si>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</si>
  <si>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</si>
  <si>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</si>
  <si>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</si>
  <si>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</si>
  <si>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</si>
  <si>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</si>
  <si>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</si>
  <si>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</si>
  <si>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</si>
  <si>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</si>
  <si>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</si>
  <si>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</si>
  <si>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</si>
  <si>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</si>
  <si>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</si>
  <si>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</si>
  <si>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</si>
  <si>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</si>
  <si>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</si>
  <si>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</si>
  <si>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</si>
  <si>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</si>
  <si>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</si>
  <si>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</si>
  <si>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</si>
  <si>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</si>
  <si>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</si>
  <si>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</si>
  <si>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</si>
  <si>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</si>
  <si>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</si>
  <si>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</si>
  <si>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</si>
  <si>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</si>
  <si>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</si>
  <si>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</si>
  <si>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</si>
  <si>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</si>
  <si>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</si>
  <si>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</si>
  <si>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</si>
  <si>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</si>
  <si>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</si>
  <si>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</si>
  <si>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</si>
  <si>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</si>
  <si>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</si>
  <si>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</si>
  <si>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</si>
  <si>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</si>
  <si>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</si>
  <si>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</si>
  <si>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</si>
  <si>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</si>
  <si>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</si>
  <si>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</si>
  <si>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</si>
  <si>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</si>
  <si>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</si>
  <si>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</si>
  <si>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</si>
  <si>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</si>
  <si>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</si>
  <si>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</si>
  <si>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</si>
  <si>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</si>
  <si>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</si>
  <si>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</si>
  <si>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</si>
  <si>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</si>
  <si>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</si>
  <si>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</si>
  <si>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</si>
  <si>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</si>
  <si>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</si>
  <si>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</si>
  <si>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</si>
  <si>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</si>
  <si>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</si>
  <si>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</si>
  <si>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</si>
  <si>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</si>
  <si>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</si>
  <si>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</si>
  <si>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</si>
  <si>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</si>
  <si>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</si>
  <si>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</si>
  <si>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</si>
  <si>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</si>
  <si>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</si>
  <si>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</si>
  <si>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</si>
  <si>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</si>
  <si>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</si>
  <si>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</si>
  <si>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</si>
  <si>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</si>
  <si>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</si>
  <si>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</si>
  <si>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</si>
  <si>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</si>
  <si>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</si>
  <si>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</si>
  <si>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</si>
  <si>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</si>
  <si>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</si>
  <si>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</si>
  <si>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</si>
  <si>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</si>
  <si>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</si>
  <si>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</si>
  <si>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</si>
  <si>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</si>
  <si>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</si>
  <si>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</si>
  <si>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</si>
  <si>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</si>
  <si>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</si>
  <si>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</si>
  <si>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</si>
  <si>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</si>
  <si>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</si>
  <si>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</si>
  <si>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</si>
  <si>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</si>
  <si>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</si>
  <si>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</si>
  <si>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</si>
  <si>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</si>
  <si>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</si>
  <si>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</si>
  <si>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</si>
  <si>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</si>
  <si>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</si>
  <si>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</si>
  <si>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</si>
  <si>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</si>
  <si>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</si>
  <si>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</si>
  <si>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</si>
  <si>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</si>
  <si>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</si>
  <si>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</si>
  <si>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</si>
  <si>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</si>
  <si>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</si>
  <si>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</si>
  <si>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</si>
  <si>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</si>
  <si>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</si>
  <si>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</si>
  <si>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</si>
  <si>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</si>
  <si>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</si>
  <si>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</si>
  <si>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</si>
  <si>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</si>
  <si>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</si>
  <si>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</si>
  <si>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</si>
  <si>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</si>
  <si>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</si>
  <si>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</si>
  <si>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</si>
  <si>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</si>
  <si>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</si>
  <si>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</si>
  <si>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</si>
  <si>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</si>
  <si>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</si>
  <si>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</si>
  <si>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</si>
  <si>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</si>
  <si>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</si>
  <si>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</si>
  <si>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</si>
  <si>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</si>
  <si>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</si>
  <si>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</si>
  <si>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</si>
  <si>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</si>
  <si>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</si>
  <si>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</si>
  <si>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</si>
  <si>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</si>
  <si>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</si>
  <si>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</si>
  <si>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</si>
  <si>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</si>
  <si>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</si>
  <si>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</si>
  <si>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</si>
  <si>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</si>
  <si>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</si>
  <si>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</si>
  <si>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</si>
  <si>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</si>
  <si>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</si>
  <si>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</si>
  <si>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</si>
  <si>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</si>
  <si>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</si>
  <si>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</si>
  <si>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</si>
  <si>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</si>
  <si>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</si>
  <si>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</si>
  <si>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</si>
  <si>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</si>
  <si>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</si>
  <si>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</si>
  <si>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</si>
  <si>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</si>
  <si>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</si>
  <si>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</si>
  <si>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</si>
  <si>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</si>
  <si>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</si>
  <si>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</si>
  <si>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</si>
  <si>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</si>
  <si>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</si>
  <si>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</si>
  <si>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</si>
  <si>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</si>
  <si>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</si>
  <si>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</si>
  <si>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</si>
  <si>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</si>
  <si>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</si>
  <si>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</si>
  <si>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</si>
  <si>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</si>
  <si>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</si>
  <si>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</si>
  <si>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</si>
  <si>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</si>
  <si>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</si>
  <si>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</si>
  <si>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</si>
  <si>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</si>
  <si>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</si>
  <si>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</si>
  <si>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</si>
  <si>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</si>
  <si>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</si>
  <si>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</si>
  <si>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</si>
  <si>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</si>
  <si>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</si>
  <si>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</si>
  <si>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</si>
  <si>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</si>
  <si>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</si>
  <si>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</si>
  <si>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</si>
  <si>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</si>
  <si>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</si>
  <si>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</si>
  <si>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</si>
  <si>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</si>
  <si>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</si>
  <si>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</si>
  <si>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</si>
  <si>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</si>
  <si>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</si>
  <si>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</si>
  <si>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</si>
  <si>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</si>
  <si>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</si>
  <si>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</si>
  <si>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</si>
  <si>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</si>
  <si>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</si>
  <si>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</si>
  <si>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</si>
  <si>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</si>
  <si>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</si>
  <si>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</si>
  <si>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</si>
  <si>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</si>
  <si>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</si>
  <si>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</si>
  <si>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</si>
  <si>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</si>
  <si>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</si>
  <si>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</si>
  <si>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</si>
  <si>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</si>
  <si>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</si>
  <si>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</si>
  <si>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</si>
  <si>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</si>
  <si>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</si>
  <si>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</si>
  <si>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</si>
  <si>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</si>
  <si>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</si>
  <si>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</si>
  <si>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</si>
  <si>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</si>
  <si>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</si>
  <si>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</si>
  <si>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</si>
  <si>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</si>
  <si>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</si>
  <si>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</si>
  <si>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</si>
  <si>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</si>
  <si>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</si>
  <si>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</si>
  <si>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</si>
  <si>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</si>
  <si>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</si>
  <si>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</si>
  <si>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</si>
  <si>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</si>
  <si>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</si>
  <si>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</si>
  <si>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</si>
  <si>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</si>
  <si>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</si>
  <si>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</si>
  <si>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</si>
  <si>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</si>
  <si>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</si>
  <si>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</si>
  <si>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</si>
  <si>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</si>
  <si>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</si>
  <si>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</si>
  <si>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</si>
  <si>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</si>
  <si>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</si>
  <si>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</si>
  <si>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</si>
  <si>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</si>
  <si>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</si>
  <si>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</si>
  <si>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</si>
  <si>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</si>
  <si>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</si>
  <si>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</si>
  <si>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</si>
  <si>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</si>
  <si>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</si>
  <si>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</si>
  <si>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</si>
  <si>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</si>
  <si>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</si>
  <si>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</si>
  <si>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</si>
  <si>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</si>
  <si>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</si>
  <si>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</si>
  <si>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</si>
  <si>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</si>
  <si>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</si>
  <si>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</si>
  <si>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</si>
  <si>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</si>
  <si>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</si>
  <si>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</si>
  <si>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</si>
  <si>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</si>
  <si>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</si>
  <si>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</si>
  <si>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</si>
  <si>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</si>
  <si>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</si>
  <si>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</si>
  <si>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</si>
  <si>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</si>
  <si>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</si>
  <si>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</si>
  <si>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</si>
  <si>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</si>
  <si>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</si>
  <si>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</si>
  <si>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</si>
  <si>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</si>
  <si>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</si>
  <si>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</si>
  <si>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</si>
  <si>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</si>
  <si>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</si>
  <si>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</si>
  <si>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</si>
  <si>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</si>
  <si>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</si>
  <si>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</si>
  <si>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</si>
  <si>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</si>
  <si>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</si>
  <si>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</si>
  <si>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</si>
  <si>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</si>
  <si>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</si>
  <si>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</si>
  <si>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</si>
  <si>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</si>
  <si>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</si>
  <si>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</si>
  <si>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</si>
  <si>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</si>
  <si>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</si>
  <si>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</si>
  <si>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</si>
  <si>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</si>
  <si>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</si>
  <si>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</si>
  <si>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</si>
  <si>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</si>
  <si>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</si>
  <si>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</si>
  <si>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</si>
  <si>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</si>
  <si>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</si>
  <si>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</si>
  <si>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</si>
  <si>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</si>
  <si>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</si>
  <si>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</si>
  <si>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</si>
  <si>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</si>
  <si>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</si>
  <si>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</si>
  <si>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</si>
  <si>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</si>
  <si>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</si>
  <si>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</si>
  <si>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</si>
  <si>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</si>
  <si>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</si>
  <si>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</si>
  <si>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</si>
  <si>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</si>
  <si>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</si>
  <si>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</si>
  <si>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</si>
  <si>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</si>
  <si>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</si>
  <si>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</si>
  <si>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</si>
  <si>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</si>
  <si>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</si>
  <si>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</si>
  <si>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</si>
  <si>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</si>
  <si>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</si>
  <si>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</si>
  <si>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</si>
  <si>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</si>
  <si>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</si>
  <si>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</si>
  <si>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</si>
  <si>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</si>
  <si>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</si>
  <si>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</si>
  <si>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</si>
  <si>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</si>
  <si>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</si>
  <si>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</si>
  <si>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</si>
  <si>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</si>
  <si>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</si>
  <si>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</si>
  <si>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</si>
  <si>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</si>
  <si>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</si>
  <si>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</si>
  <si>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</si>
  <si>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</si>
  <si>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</si>
  <si>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</si>
  <si>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</si>
  <si>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</si>
  <si>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</si>
  <si>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</si>
  <si>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</si>
  <si>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</si>
  <si>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</si>
  <si>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</si>
  <si>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</si>
  <si>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</si>
  <si>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</si>
  <si>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</si>
  <si>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</si>
  <si>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</si>
  <si>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</si>
  <si>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</si>
  <si>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</si>
  <si>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</si>
  <si>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</si>
  <si>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</si>
  <si>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</si>
  <si>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</si>
  <si>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</si>
  <si>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</si>
  <si>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</si>
  <si>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</si>
  <si>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</si>
  <si>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</si>
  <si>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</si>
  <si>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</si>
  <si>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</si>
  <si>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</si>
  <si>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</si>
  <si>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</si>
  <si>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</si>
  <si>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</si>
  <si>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</si>
  <si>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</si>
  <si>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</si>
  <si>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</si>
  <si>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</si>
  <si>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</si>
  <si>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</si>
  <si>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</si>
  <si>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</si>
  <si>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</si>
  <si>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</si>
  <si>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</si>
  <si>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</si>
  <si>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</si>
  <si>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</si>
  <si>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</si>
  <si>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</si>
  <si>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</si>
  <si>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</si>
  <si>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</si>
  <si>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</si>
  <si>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</si>
  <si>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</si>
  <si>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</si>
  <si>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</si>
  <si>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</si>
  <si>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</si>
  <si>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</si>
  <si>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</si>
  <si>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</si>
  <si>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</si>
  <si>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</si>
  <si>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</si>
  <si>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</si>
  <si>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</si>
  <si>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</si>
  <si>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</si>
  <si>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</si>
  <si>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</si>
  <si>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</si>
  <si>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</si>
  <si>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</si>
  <si>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</si>
  <si>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</si>
  <si>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</si>
  <si>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</si>
  <si>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</si>
  <si>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</si>
  <si>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</si>
  <si>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</si>
  <si>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</si>
  <si>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</si>
  <si>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</si>
  <si>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</si>
  <si>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</si>
  <si>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</si>
  <si>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</si>
  <si>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</si>
  <si>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</si>
  <si>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</si>
  <si>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</si>
  <si>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</si>
  <si>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</si>
  <si>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</si>
  <si>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</si>
  <si>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</si>
  <si>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</si>
  <si>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</si>
  <si>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</si>
  <si>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</si>
  <si>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</si>
  <si>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</si>
  <si>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</si>
  <si>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</si>
  <si>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</si>
  <si>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</si>
  <si>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</si>
  <si>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</si>
  <si>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</si>
  <si>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</si>
  <si>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</si>
  <si>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</si>
  <si>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</si>
  <si>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</si>
  <si>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</si>
  <si>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</si>
  <si>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</si>
  <si>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</si>
  <si>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</si>
  <si>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</si>
  <si>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</si>
  <si>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</si>
  <si>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</si>
  <si>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</si>
  <si>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</si>
  <si>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</si>
  <si>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</si>
  <si>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</si>
  <si>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</si>
  <si>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</si>
  <si>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</si>
  <si>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</si>
  <si>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</si>
  <si>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</si>
  <si>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</si>
  <si>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</si>
  <si>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</si>
  <si>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</si>
  <si>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</si>
  <si>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</si>
  <si>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</si>
  <si>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</si>
  <si>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</si>
  <si>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</si>
  <si>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</si>
  <si>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</si>
  <si>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</si>
  <si>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</si>
  <si>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</si>
  <si>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</si>
  <si>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</si>
  <si>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</si>
  <si>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</si>
  <si>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</si>
  <si>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</si>
  <si>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</si>
  <si>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</si>
  <si>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</si>
  <si>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</si>
  <si>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</si>
  <si>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</si>
  <si>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</si>
  <si>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</si>
  <si>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</si>
  <si>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</si>
  <si>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</si>
  <si>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</si>
  <si>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</si>
  <si>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</si>
  <si>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</si>
  <si>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</si>
  <si>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</si>
  <si>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</si>
  <si>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</si>
  <si>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</si>
  <si>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</si>
  <si>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</si>
  <si>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</si>
  <si>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</si>
  <si>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</si>
  <si>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</si>
  <si>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</si>
  <si>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</si>
  <si>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</si>
  <si>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</si>
  <si>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</si>
  <si>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</si>
  <si>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</si>
  <si>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</si>
  <si>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</si>
  <si>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</si>
  <si>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</si>
  <si>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</si>
  <si>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</si>
  <si>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</si>
  <si>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</si>
  <si>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</si>
  <si>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</si>
  <si>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</si>
  <si>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</si>
  <si>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</si>
  <si>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</si>
  <si>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</si>
  <si>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</si>
  <si>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</si>
  <si>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</si>
  <si>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</si>
  <si>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</si>
  <si>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</si>
  <si>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</si>
  <si>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</si>
  <si>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</si>
  <si>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</si>
  <si>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</si>
  <si>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</si>
  <si>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</si>
  <si>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</si>
  <si>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</si>
  <si>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</si>
  <si>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</si>
  <si>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</si>
  <si>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</si>
  <si>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</si>
  <si>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</si>
  <si>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</si>
  <si>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</si>
  <si>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</si>
  <si>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</si>
  <si>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</si>
  <si>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</si>
  <si>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</si>
  <si>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</si>
  <si>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</si>
  <si>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</si>
  <si>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</si>
  <si>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</si>
  <si>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</si>
  <si>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</si>
  <si>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</si>
  <si>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</si>
  <si>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</si>
  <si>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</si>
  <si>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</si>
  <si>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</si>
  <si>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</si>
  <si>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</si>
  <si>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</si>
  <si>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</si>
  <si>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</si>
  <si>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</si>
  <si>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</si>
  <si>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</si>
  <si>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</si>
  <si>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</si>
  <si>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</si>
  <si>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</si>
  <si>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</si>
  <si>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</si>
  <si>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</si>
  <si>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</si>
  <si>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</si>
  <si>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</si>
  <si>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</si>
  <si>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</si>
  <si>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</si>
  <si>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</si>
  <si>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</si>
  <si>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</si>
  <si>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</si>
  <si>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</si>
  <si>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</si>
  <si>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</si>
  <si>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</si>
  <si>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</si>
  <si>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</si>
  <si>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</si>
  <si>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</si>
  <si>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</si>
  <si>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</si>
  <si>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</si>
  <si>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</si>
  <si>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</si>
  <si>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</si>
  <si>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</si>
  <si>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</si>
  <si>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</si>
  <si>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</si>
  <si>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</si>
  <si>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</si>
  <si>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</si>
  <si>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</si>
  <si>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</si>
  <si>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</si>
  <si>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</si>
  <si>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</si>
  <si>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</si>
  <si>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</si>
  <si>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</si>
  <si>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</si>
  <si>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</si>
  <si>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</si>
  <si>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</si>
  <si>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</si>
  <si>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</si>
  <si>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</si>
  <si>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</si>
  <si>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</si>
  <si>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</si>
  <si>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</si>
  <si>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</si>
  <si>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</si>
  <si>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</si>
  <si>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</si>
  <si>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</si>
  <si>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</si>
  <si>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</si>
  <si>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</si>
  <si>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</si>
  <si>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</si>
  <si>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</si>
  <si>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</si>
  <si>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</si>
  <si>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</si>
  <si>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</si>
  <si>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</si>
  <si>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</si>
  <si>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</si>
  <si>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</si>
  <si>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</si>
  <si>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</si>
  <si>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</si>
  <si>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</si>
  <si>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</si>
  <si>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</si>
  <si>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</si>
  <si>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</si>
  <si>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</si>
  <si>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</si>
  <si>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</si>
  <si>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</si>
  <si>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</si>
  <si>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</si>
  <si>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</si>
  <si>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</si>
  <si>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</si>
  <si>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</si>
  <si>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</si>
  <si>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</si>
  <si>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</si>
  <si>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</si>
  <si>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</si>
  <si>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</si>
  <si>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</si>
  <si>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</si>
  <si>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</si>
  <si>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</si>
  <si>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</si>
  <si>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</si>
  <si>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</si>
  <si>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</si>
  <si>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</si>
  <si>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</si>
  <si>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</si>
  <si>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</si>
  <si>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</si>
  <si>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</si>
  <si>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</si>
  <si>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</si>
  <si>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</si>
  <si>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</si>
  <si>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</si>
  <si>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</si>
  <si>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</si>
  <si>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</si>
  <si>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</si>
  <si>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</si>
  <si>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</si>
  <si>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</si>
  <si>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</si>
  <si>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</si>
  <si>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</si>
  <si>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</si>
  <si>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</si>
  <si>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</si>
  <si>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</si>
  <si>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</si>
  <si>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</si>
  <si>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</si>
  <si>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</si>
  <si>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</si>
  <si>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</si>
  <si>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</si>
  <si>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</si>
  <si>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</si>
  <si>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</si>
  <si>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</si>
  <si>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</si>
  <si>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</si>
  <si>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</si>
  <si>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</si>
  <si>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</si>
  <si>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</si>
  <si>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</si>
  <si>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</si>
  <si>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</si>
  <si>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</si>
  <si>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</si>
  <si>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</si>
  <si>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</si>
  <si>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</si>
  <si>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</si>
  <si>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</si>
  <si>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</si>
  <si>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</si>
  <si>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</si>
  <si>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</si>
  <si>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</si>
  <si>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</si>
  <si>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</si>
  <si>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</si>
  <si>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</si>
  <si>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</si>
  <si>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</si>
  <si>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</si>
  <si>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</si>
  <si>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</si>
  <si>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</si>
  <si>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</si>
  <si>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</si>
  <si>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</si>
  <si>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</si>
  <si>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</si>
  <si>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</si>
  <si>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</si>
  <si>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</si>
  <si>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</si>
  <si>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</si>
  <si>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</si>
  <si>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</si>
  <si>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</si>
  <si>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</si>
  <si>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</si>
  <si>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</si>
  <si>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</si>
  <si>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</si>
  <si>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</si>
  <si>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</si>
  <si>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</si>
  <si>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</si>
  <si>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</si>
  <si>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</si>
  <si>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</si>
  <si>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</si>
  <si>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</si>
  <si>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</si>
  <si>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</si>
  <si>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</si>
  <si>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</si>
  <si>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</si>
  <si>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</si>
  <si>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</si>
  <si>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</si>
  <si>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</si>
  <si>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</si>
  <si>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</si>
  <si>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</si>
  <si>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</si>
  <si>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</si>
  <si>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</si>
  <si>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</si>
  <si>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</si>
  <si>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</si>
  <si>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</si>
  <si>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</si>
  <si>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</si>
  <si>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</si>
  <si>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</si>
  <si>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</si>
  <si>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</si>
  <si>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</si>
  <si>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</si>
  <si>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</si>
  <si>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</si>
  <si>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</si>
  <si>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</si>
  <si>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</si>
  <si>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</si>
  <si>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</si>
  <si>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</si>
  <si>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</si>
  <si>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</si>
  <si>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</si>
  <si>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</si>
  <si>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</si>
  <si>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</si>
  <si>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</si>
  <si>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</si>
  <si>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</si>
  <si>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</si>
  <si>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</si>
  <si>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</si>
  <si>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</si>
  <si>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</si>
  <si>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</si>
  <si>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</si>
  <si>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</si>
  <si>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</si>
  <si>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</si>
  <si>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</si>
  <si>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</si>
  <si>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</si>
  <si>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</si>
  <si>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</si>
  <si>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</si>
  <si>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</si>
  <si>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</si>
  <si>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</si>
  <si>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</si>
  <si>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</si>
  <si>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</si>
  <si>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</si>
  <si>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</si>
  <si>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</si>
  <si>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</si>
  <si>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</si>
  <si>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</si>
  <si>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</si>
  <si>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</si>
  <si>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</si>
  <si>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</si>
  <si>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</si>
  <si>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</si>
  <si>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</si>
  <si>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</si>
  <si>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</si>
  <si>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</si>
  <si>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</si>
  <si>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</si>
  <si>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</si>
  <si>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</si>
  <si>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</si>
  <si>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</si>
  <si>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</si>
  <si>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</si>
  <si>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</si>
  <si>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</si>
  <si>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</si>
  <si>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</si>
  <si>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</si>
  <si>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</si>
  <si>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</si>
  <si>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</si>
  <si>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</si>
  <si>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</si>
  <si>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</si>
  <si>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</si>
  <si>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</si>
  <si>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</si>
  <si>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</si>
  <si>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</si>
  <si>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</si>
  <si>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</si>
  <si>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</si>
  <si>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</si>
  <si>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</si>
  <si>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</si>
  <si>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</si>
  <si>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</si>
  <si>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</si>
  <si>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</si>
  <si>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</si>
  <si>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</si>
  <si>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</si>
  <si>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</si>
  <si>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</si>
  <si>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</si>
  <si>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</si>
  <si>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</si>
  <si>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</si>
  <si>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</si>
  <si>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</si>
  <si>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</si>
  <si>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</si>
  <si>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</si>
  <si>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</si>
  <si>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</si>
  <si>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</si>
  <si>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</si>
  <si>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</si>
  <si>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</si>
  <si>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</si>
  <si>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</si>
  <si>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</si>
  <si>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</si>
  <si>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</si>
  <si>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</si>
  <si>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</si>
  <si>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</si>
  <si>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</si>
  <si>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</si>
  <si>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</si>
  <si>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</si>
  <si>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</si>
  <si>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</si>
  <si>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</si>
  <si>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</si>
  <si>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</si>
  <si>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</si>
  <si>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</si>
  <si>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</si>
  <si>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</si>
  <si>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</si>
  <si>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</si>
  <si>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</si>
  <si>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</si>
  <si>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</si>
  <si>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</si>
  <si>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</si>
  <si>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</si>
  <si>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</si>
  <si>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</si>
  <si>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</si>
  <si>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</si>
  <si>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</si>
  <si>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</si>
  <si>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</si>
  <si>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</si>
  <si>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</si>
  <si>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</si>
  <si>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</si>
  <si>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</si>
  <si>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</si>
  <si>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</si>
  <si>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</si>
  <si>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</si>
  <si>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</si>
  <si>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</si>
  <si>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</si>
  <si>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</si>
  <si>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</si>
  <si>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</si>
  <si>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</si>
  <si>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</si>
  <si>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</si>
  <si>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</si>
  <si>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</si>
  <si>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</si>
  <si>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</si>
  <si>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</si>
  <si>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</si>
  <si>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</si>
  <si>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</si>
  <si>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</si>
  <si>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</si>
  <si>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</si>
  <si>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</si>
  <si>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</si>
  <si>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</si>
  <si>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</si>
  <si>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</si>
  <si>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</si>
  <si>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</si>
  <si>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</si>
  <si>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</si>
  <si>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</si>
  <si>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</si>
  <si>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</si>
  <si>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</si>
  <si>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</si>
  <si>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</si>
  <si>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</si>
  <si>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</si>
  <si>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</si>
  <si>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</si>
  <si>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</si>
  <si>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</si>
  <si>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</si>
  <si>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</si>
  <si>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</si>
  <si>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</si>
  <si>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</si>
  <si>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</si>
  <si>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</si>
  <si>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</si>
  <si>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</si>
  <si>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</si>
  <si>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</si>
  <si>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</si>
  <si>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</si>
  <si>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</si>
  <si>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</si>
  <si>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</si>
  <si>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</si>
  <si>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</si>
  <si>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</si>
  <si>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</si>
  <si>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</si>
  <si>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</si>
  <si>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</si>
  <si>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</si>
  <si>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</si>
  <si>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</si>
  <si>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</si>
  <si>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</si>
  <si>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</si>
  <si>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</si>
  <si>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</si>
  <si>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</si>
  <si>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</si>
  <si>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</si>
  <si>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</si>
  <si>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</si>
  <si>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</si>
  <si>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</si>
  <si>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</si>
  <si>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</si>
  <si>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</si>
  <si>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</si>
  <si>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</si>
  <si>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</si>
  <si>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</si>
  <si>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</si>
  <si>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</si>
  <si>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</si>
  <si>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</si>
  <si>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</si>
  <si>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</si>
  <si>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</si>
  <si>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</si>
  <si>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</si>
  <si>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</si>
  <si>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</si>
  <si>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</si>
  <si>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</si>
  <si>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</si>
  <si>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</si>
  <si>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</si>
  <si>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</si>
  <si>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</si>
  <si>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</si>
  <si>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</si>
  <si>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</si>
  <si>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</si>
  <si>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</si>
  <si>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</si>
  <si>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</si>
  <si>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</si>
  <si>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</si>
  <si>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</si>
  <si>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</si>
  <si>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</si>
  <si>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</si>
  <si>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</si>
  <si>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</si>
  <si>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</si>
  <si>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</si>
  <si>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</si>
  <si>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</si>
  <si>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長CTO箱(71.5*26.5*34.5)</t>
    <phoneticPr fontId="3" type="noConversion"/>
  </si>
  <si>
    <t>2.7 x 3.9"</t>
    <phoneticPr fontId="3" type="noConversion"/>
  </si>
  <si>
    <t>2.5 x 3"</t>
    <phoneticPr fontId="3" type="noConversion"/>
  </si>
  <si>
    <t>3 x 3"</t>
    <phoneticPr fontId="3" type="noConversion"/>
  </si>
  <si>
    <t>3 x 3.5"</t>
    <phoneticPr fontId="3" type="noConversion"/>
  </si>
  <si>
    <t>3 x 5"</t>
    <phoneticPr fontId="3" type="noConversion"/>
  </si>
  <si>
    <t>3.1 x 5.1"</t>
    <phoneticPr fontId="3" type="noConversion"/>
  </si>
  <si>
    <t>3.2 x 5.3"</t>
    <phoneticPr fontId="3" type="noConversion"/>
  </si>
  <si>
    <t>2.6 x 3.2"</t>
    <phoneticPr fontId="3" type="noConversion"/>
  </si>
  <si>
    <t>3.1 x 3.1"</t>
    <phoneticPr fontId="3" type="noConversion"/>
  </si>
  <si>
    <t>3.4 x 3.4"</t>
    <phoneticPr fontId="3" type="noConversion"/>
  </si>
  <si>
    <t>3.1 x 3.5"</t>
    <phoneticPr fontId="3" type="noConversion"/>
  </si>
  <si>
    <t>3.4 x 3.9"</t>
    <phoneticPr fontId="3" type="noConversion"/>
  </si>
  <si>
    <t>103.c</t>
    <phoneticPr fontId="3" type="noConversion"/>
  </si>
  <si>
    <t>103.c2</t>
    <phoneticPr fontId="3" type="noConversion"/>
  </si>
  <si>
    <t>103.c3</t>
    <phoneticPr fontId="3" type="noConversion"/>
  </si>
  <si>
    <t>3 x 5.5"</t>
    <phoneticPr fontId="3" type="noConversion"/>
  </si>
  <si>
    <t>3.8 x 5.5"</t>
    <phoneticPr fontId="3" type="noConversion"/>
  </si>
  <si>
    <t>3.8 x 7.5"</t>
    <phoneticPr fontId="3" type="noConversion"/>
  </si>
  <si>
    <r>
      <t>4</t>
    </r>
    <r>
      <rPr>
        <sz val="10"/>
        <rFont val="宋体"/>
        <family val="3"/>
        <charset val="134"/>
      </rPr>
      <t>.9 x 5.5"</t>
    </r>
    <phoneticPr fontId="3" type="noConversion"/>
  </si>
  <si>
    <r>
      <t>5</t>
    </r>
    <r>
      <rPr>
        <sz val="10"/>
        <rFont val="宋体"/>
        <family val="3"/>
        <charset val="134"/>
      </rPr>
      <t>.1 x 7.5"</t>
    </r>
    <phoneticPr fontId="3" type="noConversion"/>
  </si>
  <si>
    <r>
      <t>4</t>
    </r>
    <r>
      <rPr>
        <sz val="10"/>
        <rFont val="宋体"/>
        <family val="3"/>
        <charset val="134"/>
      </rPr>
      <t>.9 x 9.5"</t>
    </r>
    <phoneticPr fontId="3" type="noConversion"/>
  </si>
  <si>
    <r>
      <t>5</t>
    </r>
    <r>
      <rPr>
        <sz val="10"/>
        <rFont val="宋体"/>
        <family val="3"/>
        <charset val="134"/>
      </rPr>
      <t>.7 x 5.5"</t>
    </r>
    <phoneticPr fontId="3" type="noConversion"/>
  </si>
  <si>
    <r>
      <t>5</t>
    </r>
    <r>
      <rPr>
        <sz val="10"/>
        <rFont val="宋体"/>
        <family val="3"/>
        <charset val="134"/>
      </rPr>
      <t>.7 x 9.3"</t>
    </r>
    <phoneticPr fontId="3" type="noConversion"/>
  </si>
  <si>
    <r>
      <t>7</t>
    </r>
    <r>
      <rPr>
        <sz val="10"/>
        <rFont val="宋体"/>
        <family val="3"/>
        <charset val="134"/>
      </rPr>
      <t>.7 x 9.5"</t>
    </r>
    <phoneticPr fontId="3" type="noConversion"/>
  </si>
  <si>
    <r>
      <t>7</t>
    </r>
    <r>
      <rPr>
        <sz val="10"/>
        <rFont val="宋体"/>
        <family val="3"/>
        <charset val="134"/>
      </rPr>
      <t>.7 x 11.2"</t>
    </r>
    <phoneticPr fontId="3" type="noConversion"/>
  </si>
  <si>
    <r>
      <t>9</t>
    </r>
    <r>
      <rPr>
        <sz val="10"/>
        <rFont val="宋体"/>
        <family val="3"/>
        <charset val="134"/>
      </rPr>
      <t>.7 x 11.4"</t>
    </r>
    <phoneticPr fontId="3" type="noConversion"/>
  </si>
  <si>
    <r>
      <t>9</t>
    </r>
    <r>
      <rPr>
        <sz val="10"/>
        <rFont val="宋体"/>
        <family val="3"/>
        <charset val="134"/>
      </rPr>
      <t>.7 x 13.4"</t>
    </r>
    <phoneticPr fontId="3" type="noConversion"/>
  </si>
  <si>
    <r>
      <t>1</t>
    </r>
    <r>
      <rPr>
        <sz val="10"/>
        <rFont val="宋体"/>
        <family val="3"/>
        <charset val="134"/>
      </rPr>
      <t>1.6 x 13.4"</t>
    </r>
    <phoneticPr fontId="3" type="noConversion"/>
  </si>
  <si>
    <t>3.2 x 5.9"</t>
    <phoneticPr fontId="3" type="noConversion"/>
  </si>
  <si>
    <t>4 x 5.9"</t>
    <phoneticPr fontId="3" type="noConversion"/>
  </si>
  <si>
    <t>4 x 7.9"</t>
    <phoneticPr fontId="3" type="noConversion"/>
  </si>
  <si>
    <t>5.3 x 5.9"</t>
    <phoneticPr fontId="3" type="noConversion"/>
  </si>
  <si>
    <t>5.3 x 7.9"</t>
    <phoneticPr fontId="3" type="noConversion"/>
  </si>
  <si>
    <t>5.1 x 9.9"</t>
    <phoneticPr fontId="3" type="noConversion"/>
  </si>
  <si>
    <t>6.1 x 5.9"</t>
    <phoneticPr fontId="3" type="noConversion"/>
  </si>
  <si>
    <t>6.1 x 7.9"</t>
    <phoneticPr fontId="3" type="noConversion"/>
  </si>
  <si>
    <t>6.1 x 9.9"</t>
    <phoneticPr fontId="3" type="noConversion"/>
  </si>
  <si>
    <t>8 x 9.9"</t>
    <phoneticPr fontId="3" type="noConversion"/>
  </si>
  <si>
    <t>8 x 11.8"</t>
    <phoneticPr fontId="3" type="noConversion"/>
  </si>
  <si>
    <t>10 x 9.8"</t>
    <phoneticPr fontId="3" type="noConversion"/>
  </si>
  <si>
    <t>9.7 x 9.5"</t>
    <phoneticPr fontId="3" type="noConversion"/>
  </si>
  <si>
    <t>10 x 11.8"</t>
    <phoneticPr fontId="3" type="noConversion"/>
  </si>
  <si>
    <t>10 x 13.8"</t>
    <phoneticPr fontId="3" type="noConversion"/>
  </si>
  <si>
    <t>12 x 13.8"</t>
    <phoneticPr fontId="3" type="noConversion"/>
  </si>
  <si>
    <r>
      <t>3</t>
    </r>
    <r>
      <rPr>
        <sz val="10"/>
        <rFont val="宋体"/>
        <family val="3"/>
        <charset val="134"/>
      </rPr>
      <t xml:space="preserve"> x 6"</t>
    </r>
    <phoneticPr fontId="3" type="noConversion"/>
  </si>
  <si>
    <r>
      <t>4</t>
    </r>
    <r>
      <rPr>
        <sz val="10"/>
        <rFont val="宋体"/>
        <family val="3"/>
        <charset val="134"/>
      </rPr>
      <t xml:space="preserve"> x 6"</t>
    </r>
    <phoneticPr fontId="3" type="noConversion"/>
  </si>
  <si>
    <r>
      <t>4</t>
    </r>
    <r>
      <rPr>
        <sz val="10"/>
        <rFont val="宋体"/>
        <family val="3"/>
        <charset val="134"/>
      </rPr>
      <t xml:space="preserve"> x 8"</t>
    </r>
    <phoneticPr fontId="3" type="noConversion"/>
  </si>
  <si>
    <r>
      <t>5</t>
    </r>
    <r>
      <rPr>
        <sz val="10"/>
        <rFont val="宋体"/>
        <family val="3"/>
        <charset val="134"/>
      </rPr>
      <t xml:space="preserve"> x 6"</t>
    </r>
    <phoneticPr fontId="3" type="noConversion"/>
  </si>
  <si>
    <r>
      <t>5</t>
    </r>
    <r>
      <rPr>
        <sz val="10"/>
        <rFont val="宋体"/>
        <family val="3"/>
        <charset val="134"/>
      </rPr>
      <t xml:space="preserve"> x 8"</t>
    </r>
    <phoneticPr fontId="3" type="noConversion"/>
  </si>
  <si>
    <r>
      <t>5</t>
    </r>
    <r>
      <rPr>
        <sz val="10"/>
        <rFont val="宋体"/>
        <family val="3"/>
        <charset val="134"/>
      </rPr>
      <t xml:space="preserve"> x 10"</t>
    </r>
    <phoneticPr fontId="3" type="noConversion"/>
  </si>
  <si>
    <r>
      <t>6</t>
    </r>
    <r>
      <rPr>
        <sz val="10"/>
        <rFont val="宋体"/>
        <family val="3"/>
        <charset val="134"/>
      </rPr>
      <t xml:space="preserve"> x 6"</t>
    </r>
    <phoneticPr fontId="3" type="noConversion"/>
  </si>
  <si>
    <r>
      <t>6</t>
    </r>
    <r>
      <rPr>
        <sz val="10"/>
        <rFont val="宋体"/>
        <family val="3"/>
        <charset val="134"/>
      </rPr>
      <t xml:space="preserve"> x 8"</t>
    </r>
    <phoneticPr fontId="3" type="noConversion"/>
  </si>
  <si>
    <r>
      <t>6</t>
    </r>
    <r>
      <rPr>
        <sz val="10"/>
        <rFont val="宋体"/>
        <family val="3"/>
        <charset val="134"/>
      </rPr>
      <t xml:space="preserve"> x 10"</t>
    </r>
    <phoneticPr fontId="3" type="noConversion"/>
  </si>
  <si>
    <r>
      <t>8</t>
    </r>
    <r>
      <rPr>
        <sz val="10"/>
        <rFont val="宋体"/>
        <family val="3"/>
        <charset val="134"/>
      </rPr>
      <t xml:space="preserve"> x 10"</t>
    </r>
    <phoneticPr fontId="3" type="noConversion"/>
  </si>
  <si>
    <r>
      <t>8</t>
    </r>
    <r>
      <rPr>
        <sz val="10"/>
        <rFont val="宋体"/>
        <family val="3"/>
        <charset val="134"/>
      </rPr>
      <t xml:space="preserve"> x 12"</t>
    </r>
    <phoneticPr fontId="3" type="noConversion"/>
  </si>
  <si>
    <r>
      <t>1</t>
    </r>
    <r>
      <rPr>
        <sz val="10"/>
        <rFont val="宋体"/>
        <family val="3"/>
        <charset val="134"/>
      </rPr>
      <t>0 x 10"</t>
    </r>
    <phoneticPr fontId="3" type="noConversion"/>
  </si>
  <si>
    <r>
      <t>1</t>
    </r>
    <r>
      <rPr>
        <sz val="10"/>
        <rFont val="宋体"/>
        <family val="3"/>
        <charset val="134"/>
      </rPr>
      <t>0 x 12"</t>
    </r>
    <phoneticPr fontId="3" type="noConversion"/>
  </si>
  <si>
    <r>
      <t>1</t>
    </r>
    <r>
      <rPr>
        <sz val="10"/>
        <rFont val="宋体"/>
        <family val="3"/>
        <charset val="134"/>
      </rPr>
      <t>0 x 14"</t>
    </r>
    <phoneticPr fontId="3" type="noConversion"/>
  </si>
  <si>
    <r>
      <t>1</t>
    </r>
    <r>
      <rPr>
        <sz val="10"/>
        <rFont val="宋体"/>
        <family val="3"/>
        <charset val="134"/>
      </rPr>
      <t>2 x 14"</t>
    </r>
    <phoneticPr fontId="3" type="noConversion"/>
  </si>
  <si>
    <t>5.7 x 7.5"</t>
    <phoneticPr fontId="3" type="noConversion"/>
  </si>
  <si>
    <t>QT2</t>
    <phoneticPr fontId="101" type="noConversion"/>
  </si>
  <si>
    <t>QT1</t>
    <phoneticPr fontId="101" type="noConversion"/>
  </si>
  <si>
    <t>N3</t>
  </si>
  <si>
    <t>N2</t>
  </si>
  <si>
    <t>N1-40HQ</t>
  </si>
  <si>
    <t>E25</t>
  </si>
  <si>
    <t>E24</t>
  </si>
  <si>
    <t>E23</t>
    <phoneticPr fontId="101" type="noConversion"/>
  </si>
  <si>
    <t>E22</t>
    <phoneticPr fontId="101" type="noConversion"/>
  </si>
  <si>
    <t>E21</t>
    <phoneticPr fontId="101" type="noConversion"/>
  </si>
  <si>
    <t>E20</t>
  </si>
  <si>
    <t>E19</t>
  </si>
  <si>
    <t>E18-40'</t>
  </si>
  <si>
    <t>E17</t>
  </si>
  <si>
    <t>E15</t>
  </si>
  <si>
    <t>E14</t>
  </si>
  <si>
    <t>E13</t>
  </si>
  <si>
    <t>E12-40'</t>
  </si>
  <si>
    <t>Year-Month</t>
  </si>
  <si>
    <t>20-01</t>
    <phoneticPr fontId="101" type="noConversion"/>
  </si>
  <si>
    <t>19-06</t>
    <phoneticPr fontId="101" type="noConversion"/>
  </si>
  <si>
    <t>18-05</t>
  </si>
  <si>
    <t>17-10</t>
  </si>
  <si>
    <t>17-06</t>
  </si>
  <si>
    <t>17-01</t>
  </si>
  <si>
    <t>16-09</t>
    <phoneticPr fontId="101" type="noConversion"/>
  </si>
  <si>
    <t>16-05</t>
    <phoneticPr fontId="101" type="noConversion"/>
  </si>
  <si>
    <t>15-09</t>
    <phoneticPr fontId="101" type="noConversion"/>
  </si>
  <si>
    <t>15-04</t>
    <phoneticPr fontId="101" type="noConversion"/>
  </si>
  <si>
    <t>15-01</t>
    <phoneticPr fontId="101" type="noConversion"/>
  </si>
  <si>
    <t>14-10</t>
    <phoneticPr fontId="101" type="noConversion"/>
  </si>
  <si>
    <t>14-04</t>
  </si>
  <si>
    <t>13-11</t>
  </si>
  <si>
    <t>13-08</t>
  </si>
  <si>
    <t>13-01</t>
  </si>
  <si>
    <t>12-08</t>
  </si>
  <si>
    <t>12-05</t>
  </si>
  <si>
    <t>11-11</t>
  </si>
  <si>
    <t>USD/CNY</t>
  </si>
  <si>
    <t>CBM</t>
  </si>
  <si>
    <t>協倉</t>
  </si>
  <si>
    <t>Ocean Frieght Charge</t>
  </si>
  <si>
    <t>ISPS</t>
  </si>
  <si>
    <t>AMS</t>
  </si>
  <si>
    <t>Custom Clearance Charge</t>
  </si>
  <si>
    <t>Document Fee</t>
  </si>
  <si>
    <t>Telex Release Fee</t>
  </si>
  <si>
    <t>Pick Up Truck</t>
  </si>
  <si>
    <t>ORC(碼頭使用費)</t>
  </si>
  <si>
    <t>SEAL FEE</t>
  </si>
  <si>
    <t>查貨費</t>
  </si>
  <si>
    <t>分貨費</t>
  </si>
  <si>
    <t>逾期倉租</t>
  </si>
  <si>
    <t>美金匯率損失</t>
  </si>
  <si>
    <t>小范</t>
  </si>
  <si>
    <t>買單費</t>
  </si>
  <si>
    <t>散工</t>
  </si>
  <si>
    <t>裝車費</t>
  </si>
  <si>
    <t>CN Frieght Sub</t>
  </si>
  <si>
    <t>Sumary</t>
  </si>
  <si>
    <t>JH Logical</t>
  </si>
  <si>
    <t>DDC</t>
  </si>
  <si>
    <t>CHASSIS FEE</t>
  </si>
  <si>
    <t>PIERPASS</t>
  </si>
  <si>
    <t>CTP-Clean Truck Program</t>
    <phoneticPr fontId="101" type="noConversion"/>
  </si>
  <si>
    <t>CHASSIS SPLIT/stripping</t>
  </si>
  <si>
    <t>Port Congestion Fee</t>
    <phoneticPr fontId="101" type="noConversion"/>
  </si>
  <si>
    <t>Handling CHARGE</t>
  </si>
  <si>
    <t>MESSENGER CHARGE</t>
  </si>
  <si>
    <t>Custom Exam</t>
    <phoneticPr fontId="101" type="noConversion"/>
  </si>
  <si>
    <t>??/Trasffer Fee</t>
  </si>
  <si>
    <t>JH Logical</t>
    <phoneticPr fontId="101" type="noConversion"/>
  </si>
  <si>
    <t>Cechi Doong</t>
    <phoneticPr fontId="101" type="noConversion"/>
  </si>
  <si>
    <t>Duty</t>
  </si>
  <si>
    <t>Star Source</t>
  </si>
  <si>
    <t>ABI</t>
  </si>
  <si>
    <t>CEF</t>
  </si>
  <si>
    <t>IDA</t>
  </si>
  <si>
    <t>MSG</t>
  </si>
  <si>
    <t>Truck</t>
  </si>
  <si>
    <t>Surcharge</t>
  </si>
  <si>
    <t>Prepayment</t>
  </si>
  <si>
    <t>WareHouse In/Out</t>
    <phoneticPr fontId="101" type="noConversion"/>
  </si>
  <si>
    <t>ISF</t>
  </si>
  <si>
    <t>ISF Bond</t>
    <phoneticPr fontId="101" type="noConversion"/>
  </si>
  <si>
    <t>Single Entry Bond</t>
    <phoneticPr fontId="101" type="noConversion"/>
  </si>
  <si>
    <t>FDA Term</t>
    <phoneticPr fontId="101" type="noConversion"/>
  </si>
  <si>
    <t>Carry Handle Pre-Payment</t>
  </si>
  <si>
    <t>Exam</t>
  </si>
  <si>
    <t>Wait Fee</t>
  </si>
  <si>
    <t>Prepayment-2nd</t>
  </si>
  <si>
    <t>Truck-2nd</t>
  </si>
  <si>
    <t>Surcharge-2nd</t>
  </si>
  <si>
    <t>Goods Storage</t>
  </si>
  <si>
    <t>Demmurage</t>
  </si>
  <si>
    <t>Administration</t>
    <phoneticPr fontId="101" type="noConversion"/>
  </si>
  <si>
    <t>Total</t>
  </si>
  <si>
    <t>USD/CBM--&gt;</t>
  </si>
  <si>
    <t>E23 卡車$413.14</t>
  </si>
  <si>
    <r>
      <t>4</t>
    </r>
    <r>
      <rPr>
        <sz val="10"/>
        <rFont val="宋体"/>
        <family val="3"/>
        <charset val="134"/>
      </rPr>
      <t xml:space="preserve"> x 6"</t>
    </r>
    <phoneticPr fontId="3" type="noConversion"/>
  </si>
  <si>
    <t>5 x 7"</t>
    <phoneticPr fontId="3" type="noConversion"/>
  </si>
  <si>
    <t>6 x 9"</t>
    <phoneticPr fontId="3" type="noConversion"/>
  </si>
  <si>
    <t>7.5 x 10.5"</t>
    <phoneticPr fontId="3" type="noConversion"/>
  </si>
  <si>
    <t>9 x 12"</t>
    <phoneticPr fontId="3" type="noConversion"/>
  </si>
  <si>
    <t>10 x 13"</t>
    <phoneticPr fontId="3" type="noConversion"/>
  </si>
  <si>
    <t>12 x 15.5"</t>
    <phoneticPr fontId="3" type="noConversion"/>
  </si>
  <si>
    <t>14.5 x 19"</t>
    <phoneticPr fontId="3" type="noConversion"/>
  </si>
  <si>
    <t>19 x 24"</t>
    <phoneticPr fontId="3" type="noConversion"/>
  </si>
  <si>
    <t>24 x 24"</t>
    <phoneticPr fontId="3" type="noConversion"/>
  </si>
  <si>
    <t>Mechandise Process Fee</t>
    <phoneticPr fontId="3" type="noConversion"/>
  </si>
  <si>
    <t>Harbor Maintanance Fee</t>
    <phoneticPr fontId="3" type="noConversion"/>
  </si>
  <si>
    <t>7絲平口OPP袋8cm*12cm</t>
    <phoneticPr fontId="59" type="noConversion"/>
  </si>
  <si>
    <t>10絲白邊PE自封袋4cm*5cm</t>
    <phoneticPr fontId="59" type="noConversion"/>
  </si>
  <si>
    <t>8絲平口透明氣泡袋15cm*20cm</t>
    <phoneticPr fontId="59" type="noConversion"/>
  </si>
  <si>
    <t>W-H</t>
  </si>
  <si>
    <t>40mm-40mm</t>
  </si>
  <si>
    <t>7mm</t>
  </si>
  <si>
    <t>50mm-85mm</t>
  </si>
  <si>
    <t>10mm</t>
  </si>
  <si>
    <t>80mm-130mm</t>
  </si>
  <si>
    <t>42mm-50mm</t>
  </si>
  <si>
    <t>8mm</t>
  </si>
  <si>
    <t>50mm-58mm</t>
  </si>
  <si>
    <t>80mm-110mm</t>
  </si>
  <si>
    <t>80mm-195mm</t>
  </si>
  <si>
    <t>12mm</t>
  </si>
  <si>
    <t>100mm-135mm</t>
  </si>
  <si>
    <t>14mm</t>
  </si>
  <si>
    <t>120mm-160mm</t>
  </si>
  <si>
    <t>150mm-208mm</t>
  </si>
  <si>
    <t>13mm</t>
  </si>
  <si>
    <t>150mm-210mm</t>
  </si>
  <si>
    <t>35mm-40mm</t>
  </si>
  <si>
    <t>30mm-23mm</t>
  </si>
  <si>
    <t>5mm</t>
  </si>
  <si>
    <t>19m-13mm</t>
  </si>
  <si>
    <t>4mm</t>
  </si>
  <si>
    <t>30mm-30mm</t>
  </si>
  <si>
    <t>20mm-23mm</t>
  </si>
  <si>
    <t>25mm-27mm</t>
  </si>
  <si>
    <t>6mm</t>
  </si>
  <si>
    <t>10絲白邊PE自封袋13cm*18cm</t>
    <phoneticPr fontId="3"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</si>
  <si>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</si>
  <si>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10絲白邊PE自封袋12cm*17cm</t>
    <phoneticPr fontId="3" type="noConversion"/>
  </si>
  <si>
    <t>1.5 x 1.5"</t>
    <phoneticPr fontId="3" type="noConversion"/>
  </si>
  <si>
    <t>3 x 5"</t>
    <phoneticPr fontId="3" type="noConversion"/>
  </si>
  <si>
    <t>1.5 x 2"</t>
    <phoneticPr fontId="3" type="noConversion"/>
  </si>
  <si>
    <t>2 x 2"</t>
    <phoneticPr fontId="3" type="noConversion"/>
  </si>
  <si>
    <t>3 x 4"</t>
    <phoneticPr fontId="3" type="noConversion"/>
  </si>
  <si>
    <t>4 x 5"</t>
    <phoneticPr fontId="3" type="noConversion"/>
  </si>
  <si>
    <t>6 x 8"</t>
    <phoneticPr fontId="3" type="noConversion"/>
  </si>
  <si>
    <t>2 x 3"</t>
    <phoneticPr fontId="3" type="noConversion"/>
  </si>
  <si>
    <r>
      <t xml:space="preserve">3 x </t>
    </r>
    <r>
      <rPr>
        <sz val="10"/>
        <rFont val="宋体"/>
        <family val="3"/>
        <charset val="134"/>
      </rPr>
      <t>8</t>
    </r>
    <r>
      <rPr>
        <sz val="10"/>
        <rFont val="宋体"/>
        <charset val="134"/>
      </rPr>
      <t>"</t>
    </r>
    <phoneticPr fontId="3" type="noConversion"/>
  </si>
  <si>
    <t>107.02</t>
  </si>
  <si>
    <t>107.03</t>
  </si>
  <si>
    <t>107.04</t>
  </si>
  <si>
    <t>35x40mm</t>
    <phoneticPr fontId="3" type="noConversion"/>
  </si>
  <si>
    <t>19x18mm</t>
    <phoneticPr fontId="59" type="noConversion"/>
  </si>
  <si>
    <t>20x23mm</t>
    <phoneticPr fontId="59" type="noConversion"/>
  </si>
  <si>
    <t>25x27mm</t>
    <phoneticPr fontId="59" type="noConversion"/>
  </si>
  <si>
    <t>30x23mm</t>
    <phoneticPr fontId="59" type="noConversion"/>
  </si>
  <si>
    <t>1.2 x 1.2"</t>
    <phoneticPr fontId="59" type="noConversion"/>
  </si>
  <si>
    <t>1.6 x 1.6"</t>
    <phoneticPr fontId="59" type="noConversion"/>
  </si>
  <si>
    <t>1.6 x 2"</t>
    <phoneticPr fontId="59" type="noConversion"/>
  </si>
  <si>
    <t>2 x 2.3"</t>
    <phoneticPr fontId="59" type="noConversion"/>
  </si>
  <si>
    <t>2 x 3.3"</t>
    <phoneticPr fontId="59" type="noConversion"/>
  </si>
  <si>
    <t>3.1 x 4.3"</t>
    <phoneticPr fontId="59" type="noConversion"/>
  </si>
  <si>
    <t>3.1 x 5.1"</t>
    <phoneticPr fontId="59" type="noConversion"/>
  </si>
  <si>
    <t>3.1 x 7.7"</t>
    <phoneticPr fontId="59" type="noConversion"/>
  </si>
  <si>
    <t>4 x 5.3"</t>
    <phoneticPr fontId="59" type="noConversion"/>
  </si>
  <si>
    <t>4.7 x 6.3"</t>
    <phoneticPr fontId="59" type="noConversion"/>
  </si>
  <si>
    <t>5.9 x 8.2"</t>
    <phoneticPr fontId="59" type="noConversion"/>
  </si>
  <si>
    <t>5 x 6"</t>
    <phoneticPr fontId="3" type="noConversion"/>
  </si>
  <si>
    <t>5 x 6"</t>
    <phoneticPr fontId="59" type="noConversion"/>
  </si>
  <si>
    <t>1 x 1"</t>
    <phoneticPr fontId="3" type="noConversion"/>
  </si>
  <si>
    <t>1 x 1"</t>
    <phoneticPr fontId="59" type="noConversion"/>
  </si>
  <si>
    <t>107.16</t>
    <phoneticPr fontId="59" type="noConversion"/>
  </si>
  <si>
    <t>107.17</t>
    <phoneticPr fontId="59" type="noConversion"/>
  </si>
  <si>
    <t>107.13</t>
    <phoneticPr fontId="59" type="noConversion"/>
  </si>
  <si>
    <t>107.12</t>
    <phoneticPr fontId="59" type="noConversion"/>
  </si>
  <si>
    <t>107.15</t>
    <phoneticPr fontId="59" type="noConversion"/>
  </si>
  <si>
    <t>107.01</t>
    <phoneticPr fontId="59" type="noConversion"/>
  </si>
  <si>
    <t>1.5 x 1.5"</t>
    <phoneticPr fontId="3" type="noConversion"/>
  </si>
  <si>
    <t>1.5 x 2"</t>
    <phoneticPr fontId="3" type="noConversion"/>
  </si>
  <si>
    <t>107.05</t>
    <phoneticPr fontId="59" type="noConversion"/>
  </si>
  <si>
    <t>2 x 2"</t>
    <phoneticPr fontId="3" type="noConversion"/>
  </si>
  <si>
    <t>107.02</t>
    <phoneticPr fontId="59" type="noConversion"/>
  </si>
  <si>
    <t>2 x 3"</t>
    <phoneticPr fontId="3" type="noConversion"/>
  </si>
  <si>
    <t>3 x 4"</t>
    <phoneticPr fontId="3" type="noConversion"/>
  </si>
  <si>
    <t>3 x 5"</t>
    <phoneticPr fontId="3" type="noConversion"/>
  </si>
  <si>
    <r>
      <t xml:space="preserve">3 x </t>
    </r>
    <r>
      <rPr>
        <sz val="10"/>
        <rFont val="宋体"/>
        <family val="3"/>
        <charset val="134"/>
      </rPr>
      <t>8</t>
    </r>
    <r>
      <rPr>
        <sz val="10"/>
        <rFont val="宋体"/>
        <charset val="134"/>
      </rPr>
      <t>"</t>
    </r>
    <phoneticPr fontId="3" type="noConversion"/>
  </si>
  <si>
    <t>4 x 5"</t>
    <phoneticPr fontId="3" type="noConversion"/>
  </si>
  <si>
    <t>6 x 8"</t>
    <phoneticPr fontId="3" type="noConversion"/>
  </si>
  <si>
    <t>10絲白邊PE自封袋3cm*4cm</t>
    <phoneticPr fontId="3" type="noConversion"/>
  </si>
  <si>
    <t>1.6 x 1.9"</t>
    <phoneticPr fontId="59" type="noConversion"/>
  </si>
  <si>
    <t>2 x 3.7"</t>
    <phoneticPr fontId="59" type="noConversion"/>
  </si>
  <si>
    <r>
      <t>3.1 x 5.</t>
    </r>
    <r>
      <rPr>
        <sz val="10"/>
        <rFont val="宋体"/>
        <family val="3"/>
        <charset val="134"/>
      </rPr>
      <t>5</t>
    </r>
    <r>
      <rPr>
        <sz val="10"/>
        <rFont val="宋体"/>
        <charset val="134"/>
      </rPr>
      <t>"</t>
    </r>
    <phoneticPr fontId="59" type="noConversion"/>
  </si>
  <si>
    <r>
      <t>1.6 x 2</t>
    </r>
    <r>
      <rPr>
        <sz val="10"/>
        <rFont val="宋体"/>
        <family val="3"/>
        <charset val="134"/>
      </rPr>
      <t>.3</t>
    </r>
    <r>
      <rPr>
        <sz val="10"/>
        <rFont val="宋体"/>
        <charset val="134"/>
      </rPr>
      <t>"</t>
    </r>
    <phoneticPr fontId="59" type="noConversion"/>
  </si>
  <si>
    <r>
      <t>2 x 2.</t>
    </r>
    <r>
      <rPr>
        <sz val="10"/>
        <rFont val="宋体"/>
        <family val="3"/>
        <charset val="134"/>
      </rPr>
      <t>6</t>
    </r>
    <r>
      <rPr>
        <sz val="10"/>
        <rFont val="宋体"/>
        <charset val="134"/>
      </rPr>
      <t>"</t>
    </r>
    <phoneticPr fontId="59" type="noConversion"/>
  </si>
  <si>
    <r>
      <t>3.1 x 4.</t>
    </r>
    <r>
      <rPr>
        <sz val="10"/>
        <rFont val="宋体"/>
        <family val="3"/>
        <charset val="134"/>
      </rPr>
      <t>7</t>
    </r>
    <r>
      <rPr>
        <sz val="10"/>
        <rFont val="宋体"/>
        <charset val="134"/>
      </rPr>
      <t>"</t>
    </r>
    <phoneticPr fontId="59" type="noConversion"/>
  </si>
  <si>
    <r>
      <t>3 x 8.1</t>
    </r>
    <r>
      <rPr>
        <sz val="10"/>
        <rFont val="宋体"/>
        <charset val="134"/>
      </rPr>
      <t>"</t>
    </r>
    <phoneticPr fontId="3" type="noConversion"/>
  </si>
  <si>
    <r>
      <t>4 x 5.</t>
    </r>
    <r>
      <rPr>
        <sz val="10"/>
        <rFont val="宋体"/>
        <family val="3"/>
        <charset val="134"/>
      </rPr>
      <t>9</t>
    </r>
    <r>
      <rPr>
        <sz val="10"/>
        <rFont val="宋体"/>
        <charset val="134"/>
      </rPr>
      <t>"</t>
    </r>
    <phoneticPr fontId="59" type="noConversion"/>
  </si>
  <si>
    <t>5 x 6.8"</t>
    <phoneticPr fontId="59" type="noConversion"/>
  </si>
  <si>
    <r>
      <t>35x4</t>
    </r>
    <r>
      <rPr>
        <sz val="10"/>
        <rFont val="宋体"/>
        <family val="3"/>
        <charset val="134"/>
      </rPr>
      <t>8</t>
    </r>
    <r>
      <rPr>
        <sz val="10"/>
        <rFont val="宋体"/>
        <charset val="134"/>
      </rPr>
      <t>mm</t>
    </r>
    <phoneticPr fontId="3" type="noConversion"/>
  </si>
  <si>
    <r>
      <t>30x2</t>
    </r>
    <r>
      <rPr>
        <sz val="10"/>
        <rFont val="宋体"/>
        <family val="3"/>
        <charset val="134"/>
      </rPr>
      <t>8</t>
    </r>
    <r>
      <rPr>
        <sz val="10"/>
        <rFont val="宋体"/>
        <charset val="134"/>
      </rPr>
      <t>mm</t>
    </r>
    <phoneticPr fontId="3" type="noConversion"/>
  </si>
  <si>
    <t>19x22mm</t>
    <phoneticPr fontId="59" type="noConversion"/>
  </si>
  <si>
    <r>
      <t>20x2</t>
    </r>
    <r>
      <rPr>
        <sz val="10"/>
        <rFont val="宋体"/>
        <family val="3"/>
        <charset val="134"/>
      </rPr>
      <t>8</t>
    </r>
    <r>
      <rPr>
        <sz val="10"/>
        <rFont val="宋体"/>
        <charset val="134"/>
      </rPr>
      <t>mm</t>
    </r>
    <phoneticPr fontId="59" type="noConversion"/>
  </si>
  <si>
    <t>25x33mm</t>
    <phoneticPr fontId="59" type="noConversion"/>
  </si>
  <si>
    <r>
      <t>1.2 x 1.4</t>
    </r>
    <r>
      <rPr>
        <sz val="10"/>
        <rFont val="宋体"/>
        <charset val="134"/>
      </rPr>
      <t>"</t>
    </r>
    <phoneticPr fontId="59" type="noConversion"/>
  </si>
  <si>
    <t>6 x 8.8"</t>
    <phoneticPr fontId="59" type="noConversion"/>
  </si>
  <si>
    <t>mini 18</t>
    <phoneticPr fontId="3" type="noConversion"/>
  </si>
  <si>
    <t>mini 20</t>
    <phoneticPr fontId="3" type="noConversion"/>
  </si>
  <si>
    <t>mini 25</t>
    <phoneticPr fontId="3" type="noConversion"/>
  </si>
  <si>
    <r>
      <t>m</t>
    </r>
    <r>
      <rPr>
        <sz val="10"/>
        <rFont val="宋体"/>
        <family val="3"/>
        <charset val="134"/>
      </rPr>
      <t>ini 30</t>
    </r>
    <phoneticPr fontId="3" type="noConversion"/>
  </si>
  <si>
    <r>
      <t>m</t>
    </r>
    <r>
      <rPr>
        <sz val="10"/>
        <rFont val="宋体"/>
        <family val="3"/>
        <charset val="134"/>
      </rPr>
      <t>ini 35</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</si>
</sst>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 numFmtId="182" formatCode="_(* #,##0.00_);_(* \(#,##0.00\);_(* &quot;-&quot;??_);_(@_)"/>
  </numFmts>
  <fonts count="102">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
      <sz val="8"/>
      <name val="新細明體"/>
      <family val="1"/>
      <charset val="136"/>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
      <patternFill patternType="solid">
        <fgColor indexed="42"/>
        <bgColor indexed="64"/>
      </patternFill>
    </fill>
    <fill>
      <patternFill patternType="solid">
        <fgColor indexed="4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40">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xf numFmtId="0" fontId="6" fillId="0" borderId="0">
      <alignment vertical="center"/>
    </xf>
    <xf numFmtId="182" fontId="6"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cellStyleXfs>
  <cellXfs count="305">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8" fontId="4" fillId="0" borderId="0" xfId="0" applyNumberFormat="1" applyFont="1" applyAlignment="1">
      <alignment horizontal="center"/>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9" fontId="4" fillId="0" borderId="0" xfId="0" applyNumberFormat="1" applyFont="1" applyFill="1" applyAlignment="1">
      <alignment horizontal="center"/>
    </xf>
    <xf numFmtId="177" fontId="4" fillId="0"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xf numFmtId="0" fontId="4" fillId="27" borderId="0" xfId="0" applyFont="1" applyFill="1" applyAlignment="1">
      <alignment horizontal="center"/>
    </xf>
    <xf numFmtId="0" fontId="6" fillId="0" borderId="0" xfId="136">
      <alignment vertical="center"/>
    </xf>
    <xf numFmtId="0" fontId="6" fillId="0" borderId="0" xfId="136" applyFont="1" applyAlignment="1">
      <alignment horizontal="center"/>
    </xf>
    <xf numFmtId="0" fontId="6" fillId="30" borderId="0" xfId="136" applyFont="1" applyFill="1" applyAlignment="1">
      <alignment horizontal="center"/>
    </xf>
    <xf numFmtId="0" fontId="6" fillId="0" borderId="0" xfId="136" applyFont="1" applyFill="1" applyAlignment="1">
      <alignment horizontal="center"/>
    </xf>
    <xf numFmtId="0" fontId="6" fillId="0" borderId="0" xfId="136" applyAlignment="1">
      <alignment horizontal="center"/>
    </xf>
    <xf numFmtId="0" fontId="6" fillId="0" borderId="0" xfId="136" applyAlignment="1">
      <alignment horizontal="center" vertical="center"/>
    </xf>
    <xf numFmtId="0" fontId="6" fillId="0" borderId="0" xfId="136" applyFont="1" applyAlignment="1">
      <alignment vertical="center"/>
    </xf>
    <xf numFmtId="0" fontId="6" fillId="0" borderId="0" xfId="136" quotePrefix="1" applyFont="1" applyAlignment="1">
      <alignment horizontal="center" vertical="center"/>
    </xf>
    <xf numFmtId="16" fontId="6" fillId="0" borderId="0" xfId="136" quotePrefix="1" applyNumberFormat="1" applyFont="1" applyAlignment="1">
      <alignment horizontal="center" vertical="center"/>
    </xf>
    <xf numFmtId="0" fontId="6" fillId="30" borderId="0" xfId="136" applyFont="1" applyFill="1" applyAlignment="1">
      <alignment horizontal="center" vertical="center"/>
    </xf>
    <xf numFmtId="0" fontId="6" fillId="0" borderId="0" xfId="136" quotePrefix="1" applyFont="1" applyFill="1" applyAlignment="1">
      <alignment horizontal="center" vertical="center"/>
    </xf>
    <xf numFmtId="14" fontId="6" fillId="0" borderId="0" xfId="136" quotePrefix="1" applyNumberFormat="1" applyFont="1" applyAlignment="1">
      <alignment horizontal="center" vertical="center"/>
    </xf>
    <xf numFmtId="0" fontId="6" fillId="0" borderId="0" xfId="136" applyFont="1" applyAlignment="1">
      <alignment horizontal="center" vertical="center"/>
    </xf>
    <xf numFmtId="0" fontId="6" fillId="0" borderId="0" xfId="136" applyFont="1">
      <alignment vertical="center"/>
    </xf>
    <xf numFmtId="0" fontId="6" fillId="30" borderId="0" xfId="136" applyFill="1" applyAlignment="1">
      <alignment horizontal="center"/>
    </xf>
    <xf numFmtId="0" fontId="6" fillId="0" borderId="0" xfId="136" applyFill="1" applyAlignment="1">
      <alignment horizontal="center"/>
    </xf>
    <xf numFmtId="0" fontId="6" fillId="24" borderId="0" xfId="136" applyFill="1">
      <alignment vertical="center"/>
    </xf>
    <xf numFmtId="0" fontId="6" fillId="24" borderId="0" xfId="136" applyFill="1" applyAlignment="1">
      <alignment horizontal="center"/>
    </xf>
    <xf numFmtId="2" fontId="6" fillId="39" borderId="0" xfId="136" applyNumberFormat="1" applyFill="1" applyAlignment="1">
      <alignment horizontal="center"/>
    </xf>
    <xf numFmtId="176" fontId="6" fillId="40" borderId="0" xfId="90" applyFont="1" applyFill="1" applyAlignment="1">
      <alignment horizontal="center"/>
    </xf>
    <xf numFmtId="176" fontId="6" fillId="30" borderId="0" xfId="90" applyFont="1" applyFill="1" applyAlignment="1">
      <alignment horizontal="center"/>
    </xf>
    <xf numFmtId="2" fontId="6" fillId="0" borderId="0" xfId="136" applyNumberFormat="1" applyFill="1" applyAlignment="1">
      <alignment horizontal="center"/>
    </xf>
    <xf numFmtId="0" fontId="6" fillId="39" borderId="0" xfId="136" applyFill="1" applyAlignment="1">
      <alignment horizontal="center"/>
    </xf>
    <xf numFmtId="176" fontId="6" fillId="39" borderId="0" xfId="90" applyFont="1" applyFill="1" applyAlignment="1">
      <alignment horizontal="center"/>
    </xf>
    <xf numFmtId="182" fontId="6" fillId="40" borderId="0" xfId="137" applyFill="1" applyAlignment="1">
      <alignment horizontal="center"/>
    </xf>
    <xf numFmtId="182" fontId="6" fillId="30" borderId="0" xfId="137" applyFill="1" applyAlignment="1">
      <alignment horizontal="center"/>
    </xf>
    <xf numFmtId="182" fontId="6" fillId="0" borderId="0" xfId="137" applyFill="1" applyAlignment="1">
      <alignment horizontal="center"/>
    </xf>
    <xf numFmtId="182" fontId="6" fillId="39" borderId="0" xfId="137" applyFill="1" applyAlignment="1">
      <alignment horizontal="center"/>
    </xf>
    <xf numFmtId="176" fontId="6" fillId="40" borderId="0" xfId="136" applyNumberFormat="1" applyFill="1" applyAlignment="1">
      <alignment horizontal="center"/>
    </xf>
    <xf numFmtId="176" fontId="6" fillId="30" borderId="0" xfId="136" applyNumberFormat="1" applyFill="1" applyAlignment="1">
      <alignment horizontal="center"/>
    </xf>
    <xf numFmtId="176" fontId="6" fillId="0" borderId="0" xfId="136" applyNumberFormat="1" applyFill="1" applyAlignment="1">
      <alignment horizontal="center"/>
    </xf>
    <xf numFmtId="0" fontId="6" fillId="24" borderId="0" xfId="136" applyFont="1" applyFill="1">
      <alignment vertical="center"/>
    </xf>
    <xf numFmtId="182" fontId="6" fillId="24" borderId="0" xfId="137" applyFill="1" applyAlignment="1">
      <alignment horizontal="center"/>
    </xf>
    <xf numFmtId="2" fontId="6" fillId="0" borderId="0" xfId="136" applyNumberFormat="1" applyAlignment="1">
      <alignment horizontal="center"/>
    </xf>
    <xf numFmtId="2" fontId="6" fillId="30" borderId="0" xfId="136" applyNumberFormat="1" applyFill="1" applyAlignment="1">
      <alignment horizontal="center"/>
    </xf>
    <xf numFmtId="2" fontId="6" fillId="40" borderId="0" xfId="136" applyNumberFormat="1" applyFill="1" applyAlignment="1">
      <alignment horizontal="center"/>
    </xf>
    <xf numFmtId="0" fontId="6" fillId="0" borderId="0" xfId="136" applyFill="1">
      <alignment vertical="center"/>
    </xf>
    <xf numFmtId="0" fontId="6" fillId="40" borderId="0" xfId="136" applyFill="1" applyAlignment="1">
      <alignment horizontal="center"/>
    </xf>
    <xf numFmtId="0" fontId="6" fillId="28" borderId="0" xfId="136" applyFill="1" applyAlignment="1">
      <alignment horizontal="center"/>
    </xf>
    <xf numFmtId="0" fontId="6" fillId="27" borderId="0" xfId="136" applyFill="1" applyAlignment="1">
      <alignment horizontal="center"/>
    </xf>
    <xf numFmtId="182" fontId="6" fillId="0" borderId="0" xfId="137">
      <alignment vertical="center"/>
    </xf>
    <xf numFmtId="182" fontId="6" fillId="30" borderId="0" xfId="137" applyFill="1">
      <alignment vertical="center"/>
    </xf>
    <xf numFmtId="182" fontId="6" fillId="0" borderId="0" xfId="136" applyNumberFormat="1" applyFill="1">
      <alignment vertical="center"/>
    </xf>
    <xf numFmtId="182" fontId="6" fillId="0" borderId="0" xfId="136" applyNumberFormat="1">
      <alignment vertical="center"/>
    </xf>
    <xf numFmtId="182" fontId="6" fillId="30" borderId="0" xfId="136" applyNumberFormat="1" applyFill="1">
      <alignment vertical="center"/>
    </xf>
    <xf numFmtId="176" fontId="6" fillId="0" borderId="0" xfId="136" applyNumberFormat="1">
      <alignment vertical="center"/>
    </xf>
    <xf numFmtId="0" fontId="6" fillId="24" borderId="0" xfId="136" applyFont="1" applyFill="1" applyAlignment="1">
      <alignment horizontal="right" vertical="center"/>
    </xf>
    <xf numFmtId="176" fontId="6" fillId="0" borderId="0" xfId="136" applyNumberFormat="1" applyFill="1">
      <alignment vertical="center"/>
    </xf>
    <xf numFmtId="176" fontId="6" fillId="30" borderId="0" xfId="136" applyNumberFormat="1" applyFill="1">
      <alignment vertical="center"/>
    </xf>
    <xf numFmtId="0" fontId="6" fillId="0" borderId="0" xfId="136" applyFont="1" applyFill="1">
      <alignment vertical="center"/>
    </xf>
    <xf numFmtId="0" fontId="6" fillId="0" borderId="0" xfId="136" applyFont="1" applyFill="1" applyAlignment="1">
      <alignment horizontal="center" vertical="center"/>
    </xf>
    <xf numFmtId="0" fontId="6" fillId="30" borderId="0" xfId="136" applyFill="1">
      <alignment vertical="center"/>
    </xf>
    <xf numFmtId="0" fontId="6" fillId="34" borderId="0" xfId="136" applyFont="1" applyFill="1" applyAlignment="1">
      <alignment horizontal="center"/>
    </xf>
    <xf numFmtId="182" fontId="6" fillId="34" borderId="0" xfId="137" applyFill="1" applyAlignment="1">
      <alignment horizontal="center"/>
    </xf>
    <xf numFmtId="1" fontId="81" fillId="0" borderId="0" xfId="0" applyNumberFormat="1" applyFont="1" applyAlignment="1">
      <alignment horizontal="center"/>
    </xf>
    <xf numFmtId="49" fontId="4" fillId="34" borderId="0" xfId="0" quotePrefix="1" applyNumberFormat="1" applyFont="1" applyFill="1" applyAlignment="1">
      <alignment horizontal="center"/>
    </xf>
    <xf numFmtId="0" fontId="4" fillId="0" borderId="0" xfId="138" applyFont="1" applyAlignment="1">
      <alignment horizontal="center"/>
    </xf>
    <xf numFmtId="2" fontId="4" fillId="0" borderId="0" xfId="138" applyNumberFormat="1" applyFont="1" applyFill="1" applyAlignment="1">
      <alignment horizontal="center"/>
    </xf>
    <xf numFmtId="0" fontId="4" fillId="0" borderId="0" xfId="138" applyFont="1" applyFill="1" applyAlignment="1">
      <alignment horizontal="right"/>
    </xf>
    <xf numFmtId="0" fontId="4" fillId="0" borderId="0" xfId="138" applyFont="1"/>
    <xf numFmtId="49" fontId="81" fillId="30" borderId="0" xfId="0" applyNumberFormat="1" applyFont="1" applyFill="1" applyAlignment="1">
      <alignment horizontal="center"/>
    </xf>
    <xf numFmtId="179" fontId="4" fillId="34" borderId="0" xfId="0" applyNumberFormat="1" applyFont="1" applyFill="1"/>
    <xf numFmtId="1" fontId="4" fillId="34" borderId="0" xfId="0" applyNumberFormat="1" applyFont="1" applyFill="1" applyAlignment="1">
      <alignment horizontal="center"/>
    </xf>
    <xf numFmtId="1" fontId="81" fillId="34" borderId="0" xfId="0" applyNumberFormat="1" applyFont="1" applyFill="1" applyAlignment="1">
      <alignment horizontal="center"/>
    </xf>
    <xf numFmtId="10" fontId="4" fillId="0" borderId="0" xfId="139" applyNumberFormat="1" applyFont="1" applyFill="1" applyAlignment="1"/>
    <xf numFmtId="49" fontId="81" fillId="0" borderId="0" xfId="0" applyNumberFormat="1" applyFont="1" applyAlignment="1">
      <alignment horizontal="center"/>
    </xf>
  </cellXfs>
  <cellStyles count="140">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PW-2012-TAX-work-0724-1" xfId="136"/>
    <cellStyle name="一般_RO-all-order-20091216-1" xfId="61"/>
    <cellStyle name="一般_Sheet1" xfId="138"/>
    <cellStyle name="千分位 2" xfId="62"/>
    <cellStyle name="千分位 2 2" xfId="111"/>
    <cellStyle name="千分位 2 3" xfId="90"/>
    <cellStyle name="千分位_PW-2012-TAX-work-0724-1" xfId="137"/>
    <cellStyle name="千位分隔_H1-work-iv-pk-cn-0818-9" xfId="63"/>
    <cellStyle name="计算" xfId="64"/>
    <cellStyle name="计算 2" xfId="112"/>
    <cellStyle name="汇总" xfId="65"/>
    <cellStyle name="汇总 2" xfId="113"/>
    <cellStyle name="百分比" xfId="139" builtinId="5"/>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46" activePane="bottomLeft" state="frozen"/>
      <selection pane="bottomLeft" activeCell="B60" sqref="B60"/>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2"/>
  <sheetViews>
    <sheetView zoomScale="90" zoomScaleNormal="90" workbookViewId="0">
      <pane ySplit="5" topLeftCell="A30" activePane="bottomLeft" state="frozen"/>
      <selection pane="bottomLeft" activeCell="D35" sqref="D35:D36"/>
    </sheetView>
  </sheetViews>
  <sheetFormatPr defaultRowHeight="16.5"/>
  <cols>
    <col min="1" max="1" width="13" style="239" bestFit="1" customWidth="1"/>
    <col min="2" max="2" width="22.125" style="239" bestFit="1" customWidth="1"/>
    <col min="3" max="6" width="9.75" style="239" bestFit="1" customWidth="1"/>
    <col min="7" max="7" width="9.875" style="239" bestFit="1" customWidth="1"/>
    <col min="8" max="8" width="1.125" style="290" customWidth="1"/>
    <col min="9" max="12" width="9.75" style="239" bestFit="1" customWidth="1"/>
    <col min="13" max="13" width="6.25" style="275" customWidth="1"/>
    <col min="14" max="15" width="9.25" style="239" bestFit="1" customWidth="1"/>
    <col min="16" max="16" width="9.5" style="239" bestFit="1" customWidth="1"/>
    <col min="17" max="17" width="9.875" style="239" bestFit="1" customWidth="1"/>
    <col min="18" max="18" width="9.25" style="239" bestFit="1" customWidth="1"/>
    <col min="19" max="22" width="9.5" style="239" bestFit="1" customWidth="1"/>
    <col min="23" max="23" width="9.75" style="239" bestFit="1" customWidth="1"/>
    <col min="24" max="256" width="9" style="239"/>
    <col min="257" max="257" width="13" style="239" bestFit="1" customWidth="1"/>
    <col min="258" max="258" width="22.125" style="239" bestFit="1" customWidth="1"/>
    <col min="259" max="262" width="9.75" style="239" bestFit="1" customWidth="1"/>
    <col min="263" max="263" width="9.875" style="239" bestFit="1" customWidth="1"/>
    <col min="264" max="264" width="1.125" style="239" customWidth="1"/>
    <col min="265" max="268" width="9.75" style="239" bestFit="1" customWidth="1"/>
    <col min="269" max="269" width="6.25" style="239" customWidth="1"/>
    <col min="270" max="271" width="9.25" style="239" bestFit="1" customWidth="1"/>
    <col min="272" max="272" width="9.5" style="239" bestFit="1" customWidth="1"/>
    <col min="273" max="273" width="9.875" style="239" bestFit="1" customWidth="1"/>
    <col min="274" max="274" width="9.25" style="239" bestFit="1" customWidth="1"/>
    <col min="275" max="278" width="9.5" style="239" bestFit="1" customWidth="1"/>
    <col min="279" max="279" width="9.75" style="239" bestFit="1" customWidth="1"/>
    <col min="280" max="512" width="9" style="239"/>
    <col min="513" max="513" width="13" style="239" bestFit="1" customWidth="1"/>
    <col min="514" max="514" width="22.125" style="239" bestFit="1" customWidth="1"/>
    <col min="515" max="518" width="9.75" style="239" bestFit="1" customWidth="1"/>
    <col min="519" max="519" width="9.875" style="239" bestFit="1" customWidth="1"/>
    <col min="520" max="520" width="1.125" style="239" customWidth="1"/>
    <col min="521" max="524" width="9.75" style="239" bestFit="1" customWidth="1"/>
    <col min="525" max="525" width="6.25" style="239" customWidth="1"/>
    <col min="526" max="527" width="9.25" style="239" bestFit="1" customWidth="1"/>
    <col min="528" max="528" width="9.5" style="239" bestFit="1" customWidth="1"/>
    <col min="529" max="529" width="9.875" style="239" bestFit="1" customWidth="1"/>
    <col min="530" max="530" width="9.25" style="239" bestFit="1" customWidth="1"/>
    <col min="531" max="534" width="9.5" style="239" bestFit="1" customWidth="1"/>
    <col min="535" max="535" width="9.75" style="239" bestFit="1" customWidth="1"/>
    <col min="536" max="768" width="9" style="239"/>
    <col min="769" max="769" width="13" style="239" bestFit="1" customWidth="1"/>
    <col min="770" max="770" width="22.125" style="239" bestFit="1" customWidth="1"/>
    <col min="771" max="774" width="9.75" style="239" bestFit="1" customWidth="1"/>
    <col min="775" max="775" width="9.875" style="239" bestFit="1" customWidth="1"/>
    <col min="776" max="776" width="1.125" style="239" customWidth="1"/>
    <col min="777" max="780" width="9.75" style="239" bestFit="1" customWidth="1"/>
    <col min="781" max="781" width="6.25" style="239" customWidth="1"/>
    <col min="782" max="783" width="9.25" style="239" bestFit="1" customWidth="1"/>
    <col min="784" max="784" width="9.5" style="239" bestFit="1" customWidth="1"/>
    <col min="785" max="785" width="9.875" style="239" bestFit="1" customWidth="1"/>
    <col min="786" max="786" width="9.25" style="239" bestFit="1" customWidth="1"/>
    <col min="787" max="790" width="9.5" style="239" bestFit="1" customWidth="1"/>
    <col min="791" max="791" width="9.75" style="239" bestFit="1" customWidth="1"/>
    <col min="792" max="1024" width="9" style="239"/>
    <col min="1025" max="1025" width="13" style="239" bestFit="1" customWidth="1"/>
    <col min="1026" max="1026" width="22.125" style="239" bestFit="1" customWidth="1"/>
    <col min="1027" max="1030" width="9.75" style="239" bestFit="1" customWidth="1"/>
    <col min="1031" max="1031" width="9.875" style="239" bestFit="1" customWidth="1"/>
    <col min="1032" max="1032" width="1.125" style="239" customWidth="1"/>
    <col min="1033" max="1036" width="9.75" style="239" bestFit="1" customWidth="1"/>
    <col min="1037" max="1037" width="6.25" style="239" customWidth="1"/>
    <col min="1038" max="1039" width="9.25" style="239" bestFit="1" customWidth="1"/>
    <col min="1040" max="1040" width="9.5" style="239" bestFit="1" customWidth="1"/>
    <col min="1041" max="1041" width="9.875" style="239" bestFit="1" customWidth="1"/>
    <col min="1042" max="1042" width="9.25" style="239" bestFit="1" customWidth="1"/>
    <col min="1043" max="1046" width="9.5" style="239" bestFit="1" customWidth="1"/>
    <col min="1047" max="1047" width="9.75" style="239" bestFit="1" customWidth="1"/>
    <col min="1048" max="1280" width="9" style="239"/>
    <col min="1281" max="1281" width="13" style="239" bestFit="1" customWidth="1"/>
    <col min="1282" max="1282" width="22.125" style="239" bestFit="1" customWidth="1"/>
    <col min="1283" max="1286" width="9.75" style="239" bestFit="1" customWidth="1"/>
    <col min="1287" max="1287" width="9.875" style="239" bestFit="1" customWidth="1"/>
    <col min="1288" max="1288" width="1.125" style="239" customWidth="1"/>
    <col min="1289" max="1292" width="9.75" style="239" bestFit="1" customWidth="1"/>
    <col min="1293" max="1293" width="6.25" style="239" customWidth="1"/>
    <col min="1294" max="1295" width="9.25" style="239" bestFit="1" customWidth="1"/>
    <col min="1296" max="1296" width="9.5" style="239" bestFit="1" customWidth="1"/>
    <col min="1297" max="1297" width="9.875" style="239" bestFit="1" customWidth="1"/>
    <col min="1298" max="1298" width="9.25" style="239" bestFit="1" customWidth="1"/>
    <col min="1299" max="1302" width="9.5" style="239" bestFit="1" customWidth="1"/>
    <col min="1303" max="1303" width="9.75" style="239" bestFit="1" customWidth="1"/>
    <col min="1304" max="1536" width="9" style="239"/>
    <col min="1537" max="1537" width="13" style="239" bestFit="1" customWidth="1"/>
    <col min="1538" max="1538" width="22.125" style="239" bestFit="1" customWidth="1"/>
    <col min="1539" max="1542" width="9.75" style="239" bestFit="1" customWidth="1"/>
    <col min="1543" max="1543" width="9.875" style="239" bestFit="1" customWidth="1"/>
    <col min="1544" max="1544" width="1.125" style="239" customWidth="1"/>
    <col min="1545" max="1548" width="9.75" style="239" bestFit="1" customWidth="1"/>
    <col min="1549" max="1549" width="6.25" style="239" customWidth="1"/>
    <col min="1550" max="1551" width="9.25" style="239" bestFit="1" customWidth="1"/>
    <col min="1552" max="1552" width="9.5" style="239" bestFit="1" customWidth="1"/>
    <col min="1553" max="1553" width="9.875" style="239" bestFit="1" customWidth="1"/>
    <col min="1554" max="1554" width="9.25" style="239" bestFit="1" customWidth="1"/>
    <col min="1555" max="1558" width="9.5" style="239" bestFit="1" customWidth="1"/>
    <col min="1559" max="1559" width="9.75" style="239" bestFit="1" customWidth="1"/>
    <col min="1560" max="1792" width="9" style="239"/>
    <col min="1793" max="1793" width="13" style="239" bestFit="1" customWidth="1"/>
    <col min="1794" max="1794" width="22.125" style="239" bestFit="1" customWidth="1"/>
    <col min="1795" max="1798" width="9.75" style="239" bestFit="1" customWidth="1"/>
    <col min="1799" max="1799" width="9.875" style="239" bestFit="1" customWidth="1"/>
    <col min="1800" max="1800" width="1.125" style="239" customWidth="1"/>
    <col min="1801" max="1804" width="9.75" style="239" bestFit="1" customWidth="1"/>
    <col min="1805" max="1805" width="6.25" style="239" customWidth="1"/>
    <col min="1806" max="1807" width="9.25" style="239" bestFit="1" customWidth="1"/>
    <col min="1808" max="1808" width="9.5" style="239" bestFit="1" customWidth="1"/>
    <col min="1809" max="1809" width="9.875" style="239" bestFit="1" customWidth="1"/>
    <col min="1810" max="1810" width="9.25" style="239" bestFit="1" customWidth="1"/>
    <col min="1811" max="1814" width="9.5" style="239" bestFit="1" customWidth="1"/>
    <col min="1815" max="1815" width="9.75" style="239" bestFit="1" customWidth="1"/>
    <col min="1816" max="2048" width="9" style="239"/>
    <col min="2049" max="2049" width="13" style="239" bestFit="1" customWidth="1"/>
    <col min="2050" max="2050" width="22.125" style="239" bestFit="1" customWidth="1"/>
    <col min="2051" max="2054" width="9.75" style="239" bestFit="1" customWidth="1"/>
    <col min="2055" max="2055" width="9.875" style="239" bestFit="1" customWidth="1"/>
    <col min="2056" max="2056" width="1.125" style="239" customWidth="1"/>
    <col min="2057" max="2060" width="9.75" style="239" bestFit="1" customWidth="1"/>
    <col min="2061" max="2061" width="6.25" style="239" customWidth="1"/>
    <col min="2062" max="2063" width="9.25" style="239" bestFit="1" customWidth="1"/>
    <col min="2064" max="2064" width="9.5" style="239" bestFit="1" customWidth="1"/>
    <col min="2065" max="2065" width="9.875" style="239" bestFit="1" customWidth="1"/>
    <col min="2066" max="2066" width="9.25" style="239" bestFit="1" customWidth="1"/>
    <col min="2067" max="2070" width="9.5" style="239" bestFit="1" customWidth="1"/>
    <col min="2071" max="2071" width="9.75" style="239" bestFit="1" customWidth="1"/>
    <col min="2072" max="2304" width="9" style="239"/>
    <col min="2305" max="2305" width="13" style="239" bestFit="1" customWidth="1"/>
    <col min="2306" max="2306" width="22.125" style="239" bestFit="1" customWidth="1"/>
    <col min="2307" max="2310" width="9.75" style="239" bestFit="1" customWidth="1"/>
    <col min="2311" max="2311" width="9.875" style="239" bestFit="1" customWidth="1"/>
    <col min="2312" max="2312" width="1.125" style="239" customWidth="1"/>
    <col min="2313" max="2316" width="9.75" style="239" bestFit="1" customWidth="1"/>
    <col min="2317" max="2317" width="6.25" style="239" customWidth="1"/>
    <col min="2318" max="2319" width="9.25" style="239" bestFit="1" customWidth="1"/>
    <col min="2320" max="2320" width="9.5" style="239" bestFit="1" customWidth="1"/>
    <col min="2321" max="2321" width="9.875" style="239" bestFit="1" customWidth="1"/>
    <col min="2322" max="2322" width="9.25" style="239" bestFit="1" customWidth="1"/>
    <col min="2323" max="2326" width="9.5" style="239" bestFit="1" customWidth="1"/>
    <col min="2327" max="2327" width="9.75" style="239" bestFit="1" customWidth="1"/>
    <col min="2328" max="2560" width="9" style="239"/>
    <col min="2561" max="2561" width="13" style="239" bestFit="1" customWidth="1"/>
    <col min="2562" max="2562" width="22.125" style="239" bestFit="1" customWidth="1"/>
    <col min="2563" max="2566" width="9.75" style="239" bestFit="1" customWidth="1"/>
    <col min="2567" max="2567" width="9.875" style="239" bestFit="1" customWidth="1"/>
    <col min="2568" max="2568" width="1.125" style="239" customWidth="1"/>
    <col min="2569" max="2572" width="9.75" style="239" bestFit="1" customWidth="1"/>
    <col min="2573" max="2573" width="6.25" style="239" customWidth="1"/>
    <col min="2574" max="2575" width="9.25" style="239" bestFit="1" customWidth="1"/>
    <col min="2576" max="2576" width="9.5" style="239" bestFit="1" customWidth="1"/>
    <col min="2577" max="2577" width="9.875" style="239" bestFit="1" customWidth="1"/>
    <col min="2578" max="2578" width="9.25" style="239" bestFit="1" customWidth="1"/>
    <col min="2579" max="2582" width="9.5" style="239" bestFit="1" customWidth="1"/>
    <col min="2583" max="2583" width="9.75" style="239" bestFit="1" customWidth="1"/>
    <col min="2584" max="2816" width="9" style="239"/>
    <col min="2817" max="2817" width="13" style="239" bestFit="1" customWidth="1"/>
    <col min="2818" max="2818" width="22.125" style="239" bestFit="1" customWidth="1"/>
    <col min="2819" max="2822" width="9.75" style="239" bestFit="1" customWidth="1"/>
    <col min="2823" max="2823" width="9.875" style="239" bestFit="1" customWidth="1"/>
    <col min="2824" max="2824" width="1.125" style="239" customWidth="1"/>
    <col min="2825" max="2828" width="9.75" style="239" bestFit="1" customWidth="1"/>
    <col min="2829" max="2829" width="6.25" style="239" customWidth="1"/>
    <col min="2830" max="2831" width="9.25" style="239" bestFit="1" customWidth="1"/>
    <col min="2832" max="2832" width="9.5" style="239" bestFit="1" customWidth="1"/>
    <col min="2833" max="2833" width="9.875" style="239" bestFit="1" customWidth="1"/>
    <col min="2834" max="2834" width="9.25" style="239" bestFit="1" customWidth="1"/>
    <col min="2835" max="2838" width="9.5" style="239" bestFit="1" customWidth="1"/>
    <col min="2839" max="2839" width="9.75" style="239" bestFit="1" customWidth="1"/>
    <col min="2840" max="3072" width="9" style="239"/>
    <col min="3073" max="3073" width="13" style="239" bestFit="1" customWidth="1"/>
    <col min="3074" max="3074" width="22.125" style="239" bestFit="1" customWidth="1"/>
    <col min="3075" max="3078" width="9.75" style="239" bestFit="1" customWidth="1"/>
    <col min="3079" max="3079" width="9.875" style="239" bestFit="1" customWidth="1"/>
    <col min="3080" max="3080" width="1.125" style="239" customWidth="1"/>
    <col min="3081" max="3084" width="9.75" style="239" bestFit="1" customWidth="1"/>
    <col min="3085" max="3085" width="6.25" style="239" customWidth="1"/>
    <col min="3086" max="3087" width="9.25" style="239" bestFit="1" customWidth="1"/>
    <col min="3088" max="3088" width="9.5" style="239" bestFit="1" customWidth="1"/>
    <col min="3089" max="3089" width="9.875" style="239" bestFit="1" customWidth="1"/>
    <col min="3090" max="3090" width="9.25" style="239" bestFit="1" customWidth="1"/>
    <col min="3091" max="3094" width="9.5" style="239" bestFit="1" customWidth="1"/>
    <col min="3095" max="3095" width="9.75" style="239" bestFit="1" customWidth="1"/>
    <col min="3096" max="3328" width="9" style="239"/>
    <col min="3329" max="3329" width="13" style="239" bestFit="1" customWidth="1"/>
    <col min="3330" max="3330" width="22.125" style="239" bestFit="1" customWidth="1"/>
    <col min="3331" max="3334" width="9.75" style="239" bestFit="1" customWidth="1"/>
    <col min="3335" max="3335" width="9.875" style="239" bestFit="1" customWidth="1"/>
    <col min="3336" max="3336" width="1.125" style="239" customWidth="1"/>
    <col min="3337" max="3340" width="9.75" style="239" bestFit="1" customWidth="1"/>
    <col min="3341" max="3341" width="6.25" style="239" customWidth="1"/>
    <col min="3342" max="3343" width="9.25" style="239" bestFit="1" customWidth="1"/>
    <col min="3344" max="3344" width="9.5" style="239" bestFit="1" customWidth="1"/>
    <col min="3345" max="3345" width="9.875" style="239" bestFit="1" customWidth="1"/>
    <col min="3346" max="3346" width="9.25" style="239" bestFit="1" customWidth="1"/>
    <col min="3347" max="3350" width="9.5" style="239" bestFit="1" customWidth="1"/>
    <col min="3351" max="3351" width="9.75" style="239" bestFit="1" customWidth="1"/>
    <col min="3352" max="3584" width="9" style="239"/>
    <col min="3585" max="3585" width="13" style="239" bestFit="1" customWidth="1"/>
    <col min="3586" max="3586" width="22.125" style="239" bestFit="1" customWidth="1"/>
    <col min="3587" max="3590" width="9.75" style="239" bestFit="1" customWidth="1"/>
    <col min="3591" max="3591" width="9.875" style="239" bestFit="1" customWidth="1"/>
    <col min="3592" max="3592" width="1.125" style="239" customWidth="1"/>
    <col min="3593" max="3596" width="9.75" style="239" bestFit="1" customWidth="1"/>
    <col min="3597" max="3597" width="6.25" style="239" customWidth="1"/>
    <col min="3598" max="3599" width="9.25" style="239" bestFit="1" customWidth="1"/>
    <col min="3600" max="3600" width="9.5" style="239" bestFit="1" customWidth="1"/>
    <col min="3601" max="3601" width="9.875" style="239" bestFit="1" customWidth="1"/>
    <col min="3602" max="3602" width="9.25" style="239" bestFit="1" customWidth="1"/>
    <col min="3603" max="3606" width="9.5" style="239" bestFit="1" customWidth="1"/>
    <col min="3607" max="3607" width="9.75" style="239" bestFit="1" customWidth="1"/>
    <col min="3608" max="3840" width="9" style="239"/>
    <col min="3841" max="3841" width="13" style="239" bestFit="1" customWidth="1"/>
    <col min="3842" max="3842" width="22.125" style="239" bestFit="1" customWidth="1"/>
    <col min="3843" max="3846" width="9.75" style="239" bestFit="1" customWidth="1"/>
    <col min="3847" max="3847" width="9.875" style="239" bestFit="1" customWidth="1"/>
    <col min="3848" max="3848" width="1.125" style="239" customWidth="1"/>
    <col min="3849" max="3852" width="9.75" style="239" bestFit="1" customWidth="1"/>
    <col min="3853" max="3853" width="6.25" style="239" customWidth="1"/>
    <col min="3854" max="3855" width="9.25" style="239" bestFit="1" customWidth="1"/>
    <col min="3856" max="3856" width="9.5" style="239" bestFit="1" customWidth="1"/>
    <col min="3857" max="3857" width="9.875" style="239" bestFit="1" customWidth="1"/>
    <col min="3858" max="3858" width="9.25" style="239" bestFit="1" customWidth="1"/>
    <col min="3859" max="3862" width="9.5" style="239" bestFit="1" customWidth="1"/>
    <col min="3863" max="3863" width="9.75" style="239" bestFit="1" customWidth="1"/>
    <col min="3864" max="4096" width="9" style="239"/>
    <col min="4097" max="4097" width="13" style="239" bestFit="1" customWidth="1"/>
    <col min="4098" max="4098" width="22.125" style="239" bestFit="1" customWidth="1"/>
    <col min="4099" max="4102" width="9.75" style="239" bestFit="1" customWidth="1"/>
    <col min="4103" max="4103" width="9.875" style="239" bestFit="1" customWidth="1"/>
    <col min="4104" max="4104" width="1.125" style="239" customWidth="1"/>
    <col min="4105" max="4108" width="9.75" style="239" bestFit="1" customWidth="1"/>
    <col min="4109" max="4109" width="6.25" style="239" customWidth="1"/>
    <col min="4110" max="4111" width="9.25" style="239" bestFit="1" customWidth="1"/>
    <col min="4112" max="4112" width="9.5" style="239" bestFit="1" customWidth="1"/>
    <col min="4113" max="4113" width="9.875" style="239" bestFit="1" customWidth="1"/>
    <col min="4114" max="4114" width="9.25" style="239" bestFit="1" customWidth="1"/>
    <col min="4115" max="4118" width="9.5" style="239" bestFit="1" customWidth="1"/>
    <col min="4119" max="4119" width="9.75" style="239" bestFit="1" customWidth="1"/>
    <col min="4120" max="4352" width="9" style="239"/>
    <col min="4353" max="4353" width="13" style="239" bestFit="1" customWidth="1"/>
    <col min="4354" max="4354" width="22.125" style="239" bestFit="1" customWidth="1"/>
    <col min="4355" max="4358" width="9.75" style="239" bestFit="1" customWidth="1"/>
    <col min="4359" max="4359" width="9.875" style="239" bestFit="1" customWidth="1"/>
    <col min="4360" max="4360" width="1.125" style="239" customWidth="1"/>
    <col min="4361" max="4364" width="9.75" style="239" bestFit="1" customWidth="1"/>
    <col min="4365" max="4365" width="6.25" style="239" customWidth="1"/>
    <col min="4366" max="4367" width="9.25" style="239" bestFit="1" customWidth="1"/>
    <col min="4368" max="4368" width="9.5" style="239" bestFit="1" customWidth="1"/>
    <col min="4369" max="4369" width="9.875" style="239" bestFit="1" customWidth="1"/>
    <col min="4370" max="4370" width="9.25" style="239" bestFit="1" customWidth="1"/>
    <col min="4371" max="4374" width="9.5" style="239" bestFit="1" customWidth="1"/>
    <col min="4375" max="4375" width="9.75" style="239" bestFit="1" customWidth="1"/>
    <col min="4376" max="4608" width="9" style="239"/>
    <col min="4609" max="4609" width="13" style="239" bestFit="1" customWidth="1"/>
    <col min="4610" max="4610" width="22.125" style="239" bestFit="1" customWidth="1"/>
    <col min="4611" max="4614" width="9.75" style="239" bestFit="1" customWidth="1"/>
    <col min="4615" max="4615" width="9.875" style="239" bestFit="1" customWidth="1"/>
    <col min="4616" max="4616" width="1.125" style="239" customWidth="1"/>
    <col min="4617" max="4620" width="9.75" style="239" bestFit="1" customWidth="1"/>
    <col min="4621" max="4621" width="6.25" style="239" customWidth="1"/>
    <col min="4622" max="4623" width="9.25" style="239" bestFit="1" customWidth="1"/>
    <col min="4624" max="4624" width="9.5" style="239" bestFit="1" customWidth="1"/>
    <col min="4625" max="4625" width="9.875" style="239" bestFit="1" customWidth="1"/>
    <col min="4626" max="4626" width="9.25" style="239" bestFit="1" customWidth="1"/>
    <col min="4627" max="4630" width="9.5" style="239" bestFit="1" customWidth="1"/>
    <col min="4631" max="4631" width="9.75" style="239" bestFit="1" customWidth="1"/>
    <col min="4632" max="4864" width="9" style="239"/>
    <col min="4865" max="4865" width="13" style="239" bestFit="1" customWidth="1"/>
    <col min="4866" max="4866" width="22.125" style="239" bestFit="1" customWidth="1"/>
    <col min="4867" max="4870" width="9.75" style="239" bestFit="1" customWidth="1"/>
    <col min="4871" max="4871" width="9.875" style="239" bestFit="1" customWidth="1"/>
    <col min="4872" max="4872" width="1.125" style="239" customWidth="1"/>
    <col min="4873" max="4876" width="9.75" style="239" bestFit="1" customWidth="1"/>
    <col min="4877" max="4877" width="6.25" style="239" customWidth="1"/>
    <col min="4878" max="4879" width="9.25" style="239" bestFit="1" customWidth="1"/>
    <col min="4880" max="4880" width="9.5" style="239" bestFit="1" customWidth="1"/>
    <col min="4881" max="4881" width="9.875" style="239" bestFit="1" customWidth="1"/>
    <col min="4882" max="4882" width="9.25" style="239" bestFit="1" customWidth="1"/>
    <col min="4883" max="4886" width="9.5" style="239" bestFit="1" customWidth="1"/>
    <col min="4887" max="4887" width="9.75" style="239" bestFit="1" customWidth="1"/>
    <col min="4888" max="5120" width="9" style="239"/>
    <col min="5121" max="5121" width="13" style="239" bestFit="1" customWidth="1"/>
    <col min="5122" max="5122" width="22.125" style="239" bestFit="1" customWidth="1"/>
    <col min="5123" max="5126" width="9.75" style="239" bestFit="1" customWidth="1"/>
    <col min="5127" max="5127" width="9.875" style="239" bestFit="1" customWidth="1"/>
    <col min="5128" max="5128" width="1.125" style="239" customWidth="1"/>
    <col min="5129" max="5132" width="9.75" style="239" bestFit="1" customWidth="1"/>
    <col min="5133" max="5133" width="6.25" style="239" customWidth="1"/>
    <col min="5134" max="5135" width="9.25" style="239" bestFit="1" customWidth="1"/>
    <col min="5136" max="5136" width="9.5" style="239" bestFit="1" customWidth="1"/>
    <col min="5137" max="5137" width="9.875" style="239" bestFit="1" customWidth="1"/>
    <col min="5138" max="5138" width="9.25" style="239" bestFit="1" customWidth="1"/>
    <col min="5139" max="5142" width="9.5" style="239" bestFit="1" customWidth="1"/>
    <col min="5143" max="5143" width="9.75" style="239" bestFit="1" customWidth="1"/>
    <col min="5144" max="5376" width="9" style="239"/>
    <col min="5377" max="5377" width="13" style="239" bestFit="1" customWidth="1"/>
    <col min="5378" max="5378" width="22.125" style="239" bestFit="1" customWidth="1"/>
    <col min="5379" max="5382" width="9.75" style="239" bestFit="1" customWidth="1"/>
    <col min="5383" max="5383" width="9.875" style="239" bestFit="1" customWidth="1"/>
    <col min="5384" max="5384" width="1.125" style="239" customWidth="1"/>
    <col min="5385" max="5388" width="9.75" style="239" bestFit="1" customWidth="1"/>
    <col min="5389" max="5389" width="6.25" style="239" customWidth="1"/>
    <col min="5390" max="5391" width="9.25" style="239" bestFit="1" customWidth="1"/>
    <col min="5392" max="5392" width="9.5" style="239" bestFit="1" customWidth="1"/>
    <col min="5393" max="5393" width="9.875" style="239" bestFit="1" customWidth="1"/>
    <col min="5394" max="5394" width="9.25" style="239" bestFit="1" customWidth="1"/>
    <col min="5395" max="5398" width="9.5" style="239" bestFit="1" customWidth="1"/>
    <col min="5399" max="5399" width="9.75" style="239" bestFit="1" customWidth="1"/>
    <col min="5400" max="5632" width="9" style="239"/>
    <col min="5633" max="5633" width="13" style="239" bestFit="1" customWidth="1"/>
    <col min="5634" max="5634" width="22.125" style="239" bestFit="1" customWidth="1"/>
    <col min="5635" max="5638" width="9.75" style="239" bestFit="1" customWidth="1"/>
    <col min="5639" max="5639" width="9.875" style="239" bestFit="1" customWidth="1"/>
    <col min="5640" max="5640" width="1.125" style="239" customWidth="1"/>
    <col min="5641" max="5644" width="9.75" style="239" bestFit="1" customWidth="1"/>
    <col min="5645" max="5645" width="6.25" style="239" customWidth="1"/>
    <col min="5646" max="5647" width="9.25" style="239" bestFit="1" customWidth="1"/>
    <col min="5648" max="5648" width="9.5" style="239" bestFit="1" customWidth="1"/>
    <col min="5649" max="5649" width="9.875" style="239" bestFit="1" customWidth="1"/>
    <col min="5650" max="5650" width="9.25" style="239" bestFit="1" customWidth="1"/>
    <col min="5651" max="5654" width="9.5" style="239" bestFit="1" customWidth="1"/>
    <col min="5655" max="5655" width="9.75" style="239" bestFit="1" customWidth="1"/>
    <col min="5656" max="5888" width="9" style="239"/>
    <col min="5889" max="5889" width="13" style="239" bestFit="1" customWidth="1"/>
    <col min="5890" max="5890" width="22.125" style="239" bestFit="1" customWidth="1"/>
    <col min="5891" max="5894" width="9.75" style="239" bestFit="1" customWidth="1"/>
    <col min="5895" max="5895" width="9.875" style="239" bestFit="1" customWidth="1"/>
    <col min="5896" max="5896" width="1.125" style="239" customWidth="1"/>
    <col min="5897" max="5900" width="9.75" style="239" bestFit="1" customWidth="1"/>
    <col min="5901" max="5901" width="6.25" style="239" customWidth="1"/>
    <col min="5902" max="5903" width="9.25" style="239" bestFit="1" customWidth="1"/>
    <col min="5904" max="5904" width="9.5" style="239" bestFit="1" customWidth="1"/>
    <col min="5905" max="5905" width="9.875" style="239" bestFit="1" customWidth="1"/>
    <col min="5906" max="5906" width="9.25" style="239" bestFit="1" customWidth="1"/>
    <col min="5907" max="5910" width="9.5" style="239" bestFit="1" customWidth="1"/>
    <col min="5911" max="5911" width="9.75" style="239" bestFit="1" customWidth="1"/>
    <col min="5912" max="6144" width="9" style="239"/>
    <col min="6145" max="6145" width="13" style="239" bestFit="1" customWidth="1"/>
    <col min="6146" max="6146" width="22.125" style="239" bestFit="1" customWidth="1"/>
    <col min="6147" max="6150" width="9.75" style="239" bestFit="1" customWidth="1"/>
    <col min="6151" max="6151" width="9.875" style="239" bestFit="1" customWidth="1"/>
    <col min="6152" max="6152" width="1.125" style="239" customWidth="1"/>
    <col min="6153" max="6156" width="9.75" style="239" bestFit="1" customWidth="1"/>
    <col min="6157" max="6157" width="6.25" style="239" customWidth="1"/>
    <col min="6158" max="6159" width="9.25" style="239" bestFit="1" customWidth="1"/>
    <col min="6160" max="6160" width="9.5" style="239" bestFit="1" customWidth="1"/>
    <col min="6161" max="6161" width="9.875" style="239" bestFit="1" customWidth="1"/>
    <col min="6162" max="6162" width="9.25" style="239" bestFit="1" customWidth="1"/>
    <col min="6163" max="6166" width="9.5" style="239" bestFit="1" customWidth="1"/>
    <col min="6167" max="6167" width="9.75" style="239" bestFit="1" customWidth="1"/>
    <col min="6168" max="6400" width="9" style="239"/>
    <col min="6401" max="6401" width="13" style="239" bestFit="1" customWidth="1"/>
    <col min="6402" max="6402" width="22.125" style="239" bestFit="1" customWidth="1"/>
    <col min="6403" max="6406" width="9.75" style="239" bestFit="1" customWidth="1"/>
    <col min="6407" max="6407" width="9.875" style="239" bestFit="1" customWidth="1"/>
    <col min="6408" max="6408" width="1.125" style="239" customWidth="1"/>
    <col min="6409" max="6412" width="9.75" style="239" bestFit="1" customWidth="1"/>
    <col min="6413" max="6413" width="6.25" style="239" customWidth="1"/>
    <col min="6414" max="6415" width="9.25" style="239" bestFit="1" customWidth="1"/>
    <col min="6416" max="6416" width="9.5" style="239" bestFit="1" customWidth="1"/>
    <col min="6417" max="6417" width="9.875" style="239" bestFit="1" customWidth="1"/>
    <col min="6418" max="6418" width="9.25" style="239" bestFit="1" customWidth="1"/>
    <col min="6419" max="6422" width="9.5" style="239" bestFit="1" customWidth="1"/>
    <col min="6423" max="6423" width="9.75" style="239" bestFit="1" customWidth="1"/>
    <col min="6424" max="6656" width="9" style="239"/>
    <col min="6657" max="6657" width="13" style="239" bestFit="1" customWidth="1"/>
    <col min="6658" max="6658" width="22.125" style="239" bestFit="1" customWidth="1"/>
    <col min="6659" max="6662" width="9.75" style="239" bestFit="1" customWidth="1"/>
    <col min="6663" max="6663" width="9.875" style="239" bestFit="1" customWidth="1"/>
    <col min="6664" max="6664" width="1.125" style="239" customWidth="1"/>
    <col min="6665" max="6668" width="9.75" style="239" bestFit="1" customWidth="1"/>
    <col min="6669" max="6669" width="6.25" style="239" customWidth="1"/>
    <col min="6670" max="6671" width="9.25" style="239" bestFit="1" customWidth="1"/>
    <col min="6672" max="6672" width="9.5" style="239" bestFit="1" customWidth="1"/>
    <col min="6673" max="6673" width="9.875" style="239" bestFit="1" customWidth="1"/>
    <col min="6674" max="6674" width="9.25" style="239" bestFit="1" customWidth="1"/>
    <col min="6675" max="6678" width="9.5" style="239" bestFit="1" customWidth="1"/>
    <col min="6679" max="6679" width="9.75" style="239" bestFit="1" customWidth="1"/>
    <col min="6680" max="6912" width="9" style="239"/>
    <col min="6913" max="6913" width="13" style="239" bestFit="1" customWidth="1"/>
    <col min="6914" max="6914" width="22.125" style="239" bestFit="1" customWidth="1"/>
    <col min="6915" max="6918" width="9.75" style="239" bestFit="1" customWidth="1"/>
    <col min="6919" max="6919" width="9.875" style="239" bestFit="1" customWidth="1"/>
    <col min="6920" max="6920" width="1.125" style="239" customWidth="1"/>
    <col min="6921" max="6924" width="9.75" style="239" bestFit="1" customWidth="1"/>
    <col min="6925" max="6925" width="6.25" style="239" customWidth="1"/>
    <col min="6926" max="6927" width="9.25" style="239" bestFit="1" customWidth="1"/>
    <col min="6928" max="6928" width="9.5" style="239" bestFit="1" customWidth="1"/>
    <col min="6929" max="6929" width="9.875" style="239" bestFit="1" customWidth="1"/>
    <col min="6930" max="6930" width="9.25" style="239" bestFit="1" customWidth="1"/>
    <col min="6931" max="6934" width="9.5" style="239" bestFit="1" customWidth="1"/>
    <col min="6935" max="6935" width="9.75" style="239" bestFit="1" customWidth="1"/>
    <col min="6936" max="7168" width="9" style="239"/>
    <col min="7169" max="7169" width="13" style="239" bestFit="1" customWidth="1"/>
    <col min="7170" max="7170" width="22.125" style="239" bestFit="1" customWidth="1"/>
    <col min="7171" max="7174" width="9.75" style="239" bestFit="1" customWidth="1"/>
    <col min="7175" max="7175" width="9.875" style="239" bestFit="1" customWidth="1"/>
    <col min="7176" max="7176" width="1.125" style="239" customWidth="1"/>
    <col min="7177" max="7180" width="9.75" style="239" bestFit="1" customWidth="1"/>
    <col min="7181" max="7181" width="6.25" style="239" customWidth="1"/>
    <col min="7182" max="7183" width="9.25" style="239" bestFit="1" customWidth="1"/>
    <col min="7184" max="7184" width="9.5" style="239" bestFit="1" customWidth="1"/>
    <col min="7185" max="7185" width="9.875" style="239" bestFit="1" customWidth="1"/>
    <col min="7186" max="7186" width="9.25" style="239" bestFit="1" customWidth="1"/>
    <col min="7187" max="7190" width="9.5" style="239" bestFit="1" customWidth="1"/>
    <col min="7191" max="7191" width="9.75" style="239" bestFit="1" customWidth="1"/>
    <col min="7192" max="7424" width="9" style="239"/>
    <col min="7425" max="7425" width="13" style="239" bestFit="1" customWidth="1"/>
    <col min="7426" max="7426" width="22.125" style="239" bestFit="1" customWidth="1"/>
    <col min="7427" max="7430" width="9.75" style="239" bestFit="1" customWidth="1"/>
    <col min="7431" max="7431" width="9.875" style="239" bestFit="1" customWidth="1"/>
    <col min="7432" max="7432" width="1.125" style="239" customWidth="1"/>
    <col min="7433" max="7436" width="9.75" style="239" bestFit="1" customWidth="1"/>
    <col min="7437" max="7437" width="6.25" style="239" customWidth="1"/>
    <col min="7438" max="7439" width="9.25" style="239" bestFit="1" customWidth="1"/>
    <col min="7440" max="7440" width="9.5" style="239" bestFit="1" customWidth="1"/>
    <col min="7441" max="7441" width="9.875" style="239" bestFit="1" customWidth="1"/>
    <col min="7442" max="7442" width="9.25" style="239" bestFit="1" customWidth="1"/>
    <col min="7443" max="7446" width="9.5" style="239" bestFit="1" customWidth="1"/>
    <col min="7447" max="7447" width="9.75" style="239" bestFit="1" customWidth="1"/>
    <col min="7448" max="7680" width="9" style="239"/>
    <col min="7681" max="7681" width="13" style="239" bestFit="1" customWidth="1"/>
    <col min="7682" max="7682" width="22.125" style="239" bestFit="1" customWidth="1"/>
    <col min="7683" max="7686" width="9.75" style="239" bestFit="1" customWidth="1"/>
    <col min="7687" max="7687" width="9.875" style="239" bestFit="1" customWidth="1"/>
    <col min="7688" max="7688" width="1.125" style="239" customWidth="1"/>
    <col min="7689" max="7692" width="9.75" style="239" bestFit="1" customWidth="1"/>
    <col min="7693" max="7693" width="6.25" style="239" customWidth="1"/>
    <col min="7694" max="7695" width="9.25" style="239" bestFit="1" customWidth="1"/>
    <col min="7696" max="7696" width="9.5" style="239" bestFit="1" customWidth="1"/>
    <col min="7697" max="7697" width="9.875" style="239" bestFit="1" customWidth="1"/>
    <col min="7698" max="7698" width="9.25" style="239" bestFit="1" customWidth="1"/>
    <col min="7699" max="7702" width="9.5" style="239" bestFit="1" customWidth="1"/>
    <col min="7703" max="7703" width="9.75" style="239" bestFit="1" customWidth="1"/>
    <col min="7704" max="7936" width="9" style="239"/>
    <col min="7937" max="7937" width="13" style="239" bestFit="1" customWidth="1"/>
    <col min="7938" max="7938" width="22.125" style="239" bestFit="1" customWidth="1"/>
    <col min="7939" max="7942" width="9.75" style="239" bestFit="1" customWidth="1"/>
    <col min="7943" max="7943" width="9.875" style="239" bestFit="1" customWidth="1"/>
    <col min="7944" max="7944" width="1.125" style="239" customWidth="1"/>
    <col min="7945" max="7948" width="9.75" style="239" bestFit="1" customWidth="1"/>
    <col min="7949" max="7949" width="6.25" style="239" customWidth="1"/>
    <col min="7950" max="7951" width="9.25" style="239" bestFit="1" customWidth="1"/>
    <col min="7952" max="7952" width="9.5" style="239" bestFit="1" customWidth="1"/>
    <col min="7953" max="7953" width="9.875" style="239" bestFit="1" customWidth="1"/>
    <col min="7954" max="7954" width="9.25" style="239" bestFit="1" customWidth="1"/>
    <col min="7955" max="7958" width="9.5" style="239" bestFit="1" customWidth="1"/>
    <col min="7959" max="7959" width="9.75" style="239" bestFit="1" customWidth="1"/>
    <col min="7960" max="8192" width="9" style="239"/>
    <col min="8193" max="8193" width="13" style="239" bestFit="1" customWidth="1"/>
    <col min="8194" max="8194" width="22.125" style="239" bestFit="1" customWidth="1"/>
    <col min="8195" max="8198" width="9.75" style="239" bestFit="1" customWidth="1"/>
    <col min="8199" max="8199" width="9.875" style="239" bestFit="1" customWidth="1"/>
    <col min="8200" max="8200" width="1.125" style="239" customWidth="1"/>
    <col min="8201" max="8204" width="9.75" style="239" bestFit="1" customWidth="1"/>
    <col min="8205" max="8205" width="6.25" style="239" customWidth="1"/>
    <col min="8206" max="8207" width="9.25" style="239" bestFit="1" customWidth="1"/>
    <col min="8208" max="8208" width="9.5" style="239" bestFit="1" customWidth="1"/>
    <col min="8209" max="8209" width="9.875" style="239" bestFit="1" customWidth="1"/>
    <col min="8210" max="8210" width="9.25" style="239" bestFit="1" customWidth="1"/>
    <col min="8211" max="8214" width="9.5" style="239" bestFit="1" customWidth="1"/>
    <col min="8215" max="8215" width="9.75" style="239" bestFit="1" customWidth="1"/>
    <col min="8216" max="8448" width="9" style="239"/>
    <col min="8449" max="8449" width="13" style="239" bestFit="1" customWidth="1"/>
    <col min="8450" max="8450" width="22.125" style="239" bestFit="1" customWidth="1"/>
    <col min="8451" max="8454" width="9.75" style="239" bestFit="1" customWidth="1"/>
    <col min="8455" max="8455" width="9.875" style="239" bestFit="1" customWidth="1"/>
    <col min="8456" max="8456" width="1.125" style="239" customWidth="1"/>
    <col min="8457" max="8460" width="9.75" style="239" bestFit="1" customWidth="1"/>
    <col min="8461" max="8461" width="6.25" style="239" customWidth="1"/>
    <col min="8462" max="8463" width="9.25" style="239" bestFit="1" customWidth="1"/>
    <col min="8464" max="8464" width="9.5" style="239" bestFit="1" customWidth="1"/>
    <col min="8465" max="8465" width="9.875" style="239" bestFit="1" customWidth="1"/>
    <col min="8466" max="8466" width="9.25" style="239" bestFit="1" customWidth="1"/>
    <col min="8467" max="8470" width="9.5" style="239" bestFit="1" customWidth="1"/>
    <col min="8471" max="8471" width="9.75" style="239" bestFit="1" customWidth="1"/>
    <col min="8472" max="8704" width="9" style="239"/>
    <col min="8705" max="8705" width="13" style="239" bestFit="1" customWidth="1"/>
    <col min="8706" max="8706" width="22.125" style="239" bestFit="1" customWidth="1"/>
    <col min="8707" max="8710" width="9.75" style="239" bestFit="1" customWidth="1"/>
    <col min="8711" max="8711" width="9.875" style="239" bestFit="1" customWidth="1"/>
    <col min="8712" max="8712" width="1.125" style="239" customWidth="1"/>
    <col min="8713" max="8716" width="9.75" style="239" bestFit="1" customWidth="1"/>
    <col min="8717" max="8717" width="6.25" style="239" customWidth="1"/>
    <col min="8718" max="8719" width="9.25" style="239" bestFit="1" customWidth="1"/>
    <col min="8720" max="8720" width="9.5" style="239" bestFit="1" customWidth="1"/>
    <col min="8721" max="8721" width="9.875" style="239" bestFit="1" customWidth="1"/>
    <col min="8722" max="8722" width="9.25" style="239" bestFit="1" customWidth="1"/>
    <col min="8723" max="8726" width="9.5" style="239" bestFit="1" customWidth="1"/>
    <col min="8727" max="8727" width="9.75" style="239" bestFit="1" customWidth="1"/>
    <col min="8728" max="8960" width="9" style="239"/>
    <col min="8961" max="8961" width="13" style="239" bestFit="1" customWidth="1"/>
    <col min="8962" max="8962" width="22.125" style="239" bestFit="1" customWidth="1"/>
    <col min="8963" max="8966" width="9.75" style="239" bestFit="1" customWidth="1"/>
    <col min="8967" max="8967" width="9.875" style="239" bestFit="1" customWidth="1"/>
    <col min="8968" max="8968" width="1.125" style="239" customWidth="1"/>
    <col min="8969" max="8972" width="9.75" style="239" bestFit="1" customWidth="1"/>
    <col min="8973" max="8973" width="6.25" style="239" customWidth="1"/>
    <col min="8974" max="8975" width="9.25" style="239" bestFit="1" customWidth="1"/>
    <col min="8976" max="8976" width="9.5" style="239" bestFit="1" customWidth="1"/>
    <col min="8977" max="8977" width="9.875" style="239" bestFit="1" customWidth="1"/>
    <col min="8978" max="8978" width="9.25" style="239" bestFit="1" customWidth="1"/>
    <col min="8979" max="8982" width="9.5" style="239" bestFit="1" customWidth="1"/>
    <col min="8983" max="8983" width="9.75" style="239" bestFit="1" customWidth="1"/>
    <col min="8984" max="9216" width="9" style="239"/>
    <col min="9217" max="9217" width="13" style="239" bestFit="1" customWidth="1"/>
    <col min="9218" max="9218" width="22.125" style="239" bestFit="1" customWidth="1"/>
    <col min="9219" max="9222" width="9.75" style="239" bestFit="1" customWidth="1"/>
    <col min="9223" max="9223" width="9.875" style="239" bestFit="1" customWidth="1"/>
    <col min="9224" max="9224" width="1.125" style="239" customWidth="1"/>
    <col min="9225" max="9228" width="9.75" style="239" bestFit="1" customWidth="1"/>
    <col min="9229" max="9229" width="6.25" style="239" customWidth="1"/>
    <col min="9230" max="9231" width="9.25" style="239" bestFit="1" customWidth="1"/>
    <col min="9232" max="9232" width="9.5" style="239" bestFit="1" customWidth="1"/>
    <col min="9233" max="9233" width="9.875" style="239" bestFit="1" customWidth="1"/>
    <col min="9234" max="9234" width="9.25" style="239" bestFit="1" customWidth="1"/>
    <col min="9235" max="9238" width="9.5" style="239" bestFit="1" customWidth="1"/>
    <col min="9239" max="9239" width="9.75" style="239" bestFit="1" customWidth="1"/>
    <col min="9240" max="9472" width="9" style="239"/>
    <col min="9473" max="9473" width="13" style="239" bestFit="1" customWidth="1"/>
    <col min="9474" max="9474" width="22.125" style="239" bestFit="1" customWidth="1"/>
    <col min="9475" max="9478" width="9.75" style="239" bestFit="1" customWidth="1"/>
    <col min="9479" max="9479" width="9.875" style="239" bestFit="1" customWidth="1"/>
    <col min="9480" max="9480" width="1.125" style="239" customWidth="1"/>
    <col min="9481" max="9484" width="9.75" style="239" bestFit="1" customWidth="1"/>
    <col min="9485" max="9485" width="6.25" style="239" customWidth="1"/>
    <col min="9486" max="9487" width="9.25" style="239" bestFit="1" customWidth="1"/>
    <col min="9488" max="9488" width="9.5" style="239" bestFit="1" customWidth="1"/>
    <col min="9489" max="9489" width="9.875" style="239" bestFit="1" customWidth="1"/>
    <col min="9490" max="9490" width="9.25" style="239" bestFit="1" customWidth="1"/>
    <col min="9491" max="9494" width="9.5" style="239" bestFit="1" customWidth="1"/>
    <col min="9495" max="9495" width="9.75" style="239" bestFit="1" customWidth="1"/>
    <col min="9496" max="9728" width="9" style="239"/>
    <col min="9729" max="9729" width="13" style="239" bestFit="1" customWidth="1"/>
    <col min="9730" max="9730" width="22.125" style="239" bestFit="1" customWidth="1"/>
    <col min="9731" max="9734" width="9.75" style="239" bestFit="1" customWidth="1"/>
    <col min="9735" max="9735" width="9.875" style="239" bestFit="1" customWidth="1"/>
    <col min="9736" max="9736" width="1.125" style="239" customWidth="1"/>
    <col min="9737" max="9740" width="9.75" style="239" bestFit="1" customWidth="1"/>
    <col min="9741" max="9741" width="6.25" style="239" customWidth="1"/>
    <col min="9742" max="9743" width="9.25" style="239" bestFit="1" customWidth="1"/>
    <col min="9744" max="9744" width="9.5" style="239" bestFit="1" customWidth="1"/>
    <col min="9745" max="9745" width="9.875" style="239" bestFit="1" customWidth="1"/>
    <col min="9746" max="9746" width="9.25" style="239" bestFit="1" customWidth="1"/>
    <col min="9747" max="9750" width="9.5" style="239" bestFit="1" customWidth="1"/>
    <col min="9751" max="9751" width="9.75" style="239" bestFit="1" customWidth="1"/>
    <col min="9752" max="9984" width="9" style="239"/>
    <col min="9985" max="9985" width="13" style="239" bestFit="1" customWidth="1"/>
    <col min="9986" max="9986" width="22.125" style="239" bestFit="1" customWidth="1"/>
    <col min="9987" max="9990" width="9.75" style="239" bestFit="1" customWidth="1"/>
    <col min="9991" max="9991" width="9.875" style="239" bestFit="1" customWidth="1"/>
    <col min="9992" max="9992" width="1.125" style="239" customWidth="1"/>
    <col min="9993" max="9996" width="9.75" style="239" bestFit="1" customWidth="1"/>
    <col min="9997" max="9997" width="6.25" style="239" customWidth="1"/>
    <col min="9998" max="9999" width="9.25" style="239" bestFit="1" customWidth="1"/>
    <col min="10000" max="10000" width="9.5" style="239" bestFit="1" customWidth="1"/>
    <col min="10001" max="10001" width="9.875" style="239" bestFit="1" customWidth="1"/>
    <col min="10002" max="10002" width="9.25" style="239" bestFit="1" customWidth="1"/>
    <col min="10003" max="10006" width="9.5" style="239" bestFit="1" customWidth="1"/>
    <col min="10007" max="10007" width="9.75" style="239" bestFit="1" customWidth="1"/>
    <col min="10008" max="10240" width="9" style="239"/>
    <col min="10241" max="10241" width="13" style="239" bestFit="1" customWidth="1"/>
    <col min="10242" max="10242" width="22.125" style="239" bestFit="1" customWidth="1"/>
    <col min="10243" max="10246" width="9.75" style="239" bestFit="1" customWidth="1"/>
    <col min="10247" max="10247" width="9.875" style="239" bestFit="1" customWidth="1"/>
    <col min="10248" max="10248" width="1.125" style="239" customWidth="1"/>
    <col min="10249" max="10252" width="9.75" style="239" bestFit="1" customWidth="1"/>
    <col min="10253" max="10253" width="6.25" style="239" customWidth="1"/>
    <col min="10254" max="10255" width="9.25" style="239" bestFit="1" customWidth="1"/>
    <col min="10256" max="10256" width="9.5" style="239" bestFit="1" customWidth="1"/>
    <col min="10257" max="10257" width="9.875" style="239" bestFit="1" customWidth="1"/>
    <col min="10258" max="10258" width="9.25" style="239" bestFit="1" customWidth="1"/>
    <col min="10259" max="10262" width="9.5" style="239" bestFit="1" customWidth="1"/>
    <col min="10263" max="10263" width="9.75" style="239" bestFit="1" customWidth="1"/>
    <col min="10264" max="10496" width="9" style="239"/>
    <col min="10497" max="10497" width="13" style="239" bestFit="1" customWidth="1"/>
    <col min="10498" max="10498" width="22.125" style="239" bestFit="1" customWidth="1"/>
    <col min="10499" max="10502" width="9.75" style="239" bestFit="1" customWidth="1"/>
    <col min="10503" max="10503" width="9.875" style="239" bestFit="1" customWidth="1"/>
    <col min="10504" max="10504" width="1.125" style="239" customWidth="1"/>
    <col min="10505" max="10508" width="9.75" style="239" bestFit="1" customWidth="1"/>
    <col min="10509" max="10509" width="6.25" style="239" customWidth="1"/>
    <col min="10510" max="10511" width="9.25" style="239" bestFit="1" customWidth="1"/>
    <col min="10512" max="10512" width="9.5" style="239" bestFit="1" customWidth="1"/>
    <col min="10513" max="10513" width="9.875" style="239" bestFit="1" customWidth="1"/>
    <col min="10514" max="10514" width="9.25" style="239" bestFit="1" customWidth="1"/>
    <col min="10515" max="10518" width="9.5" style="239" bestFit="1" customWidth="1"/>
    <col min="10519" max="10519" width="9.75" style="239" bestFit="1" customWidth="1"/>
    <col min="10520" max="10752" width="9" style="239"/>
    <col min="10753" max="10753" width="13" style="239" bestFit="1" customWidth="1"/>
    <col min="10754" max="10754" width="22.125" style="239" bestFit="1" customWidth="1"/>
    <col min="10755" max="10758" width="9.75" style="239" bestFit="1" customWidth="1"/>
    <col min="10759" max="10759" width="9.875" style="239" bestFit="1" customWidth="1"/>
    <col min="10760" max="10760" width="1.125" style="239" customWidth="1"/>
    <col min="10761" max="10764" width="9.75" style="239" bestFit="1" customWidth="1"/>
    <col min="10765" max="10765" width="6.25" style="239" customWidth="1"/>
    <col min="10766" max="10767" width="9.25" style="239" bestFit="1" customWidth="1"/>
    <col min="10768" max="10768" width="9.5" style="239" bestFit="1" customWidth="1"/>
    <col min="10769" max="10769" width="9.875" style="239" bestFit="1" customWidth="1"/>
    <col min="10770" max="10770" width="9.25" style="239" bestFit="1" customWidth="1"/>
    <col min="10771" max="10774" width="9.5" style="239" bestFit="1" customWidth="1"/>
    <col min="10775" max="10775" width="9.75" style="239" bestFit="1" customWidth="1"/>
    <col min="10776" max="11008" width="9" style="239"/>
    <col min="11009" max="11009" width="13" style="239" bestFit="1" customWidth="1"/>
    <col min="11010" max="11010" width="22.125" style="239" bestFit="1" customWidth="1"/>
    <col min="11011" max="11014" width="9.75" style="239" bestFit="1" customWidth="1"/>
    <col min="11015" max="11015" width="9.875" style="239" bestFit="1" customWidth="1"/>
    <col min="11016" max="11016" width="1.125" style="239" customWidth="1"/>
    <col min="11017" max="11020" width="9.75" style="239" bestFit="1" customWidth="1"/>
    <col min="11021" max="11021" width="6.25" style="239" customWidth="1"/>
    <col min="11022" max="11023" width="9.25" style="239" bestFit="1" customWidth="1"/>
    <col min="11024" max="11024" width="9.5" style="239" bestFit="1" customWidth="1"/>
    <col min="11025" max="11025" width="9.875" style="239" bestFit="1" customWidth="1"/>
    <col min="11026" max="11026" width="9.25" style="239" bestFit="1" customWidth="1"/>
    <col min="11027" max="11030" width="9.5" style="239" bestFit="1" customWidth="1"/>
    <col min="11031" max="11031" width="9.75" style="239" bestFit="1" customWidth="1"/>
    <col min="11032" max="11264" width="9" style="239"/>
    <col min="11265" max="11265" width="13" style="239" bestFit="1" customWidth="1"/>
    <col min="11266" max="11266" width="22.125" style="239" bestFit="1" customWidth="1"/>
    <col min="11267" max="11270" width="9.75" style="239" bestFit="1" customWidth="1"/>
    <col min="11271" max="11271" width="9.875" style="239" bestFit="1" customWidth="1"/>
    <col min="11272" max="11272" width="1.125" style="239" customWidth="1"/>
    <col min="11273" max="11276" width="9.75" style="239" bestFit="1" customWidth="1"/>
    <col min="11277" max="11277" width="6.25" style="239" customWidth="1"/>
    <col min="11278" max="11279" width="9.25" style="239" bestFit="1" customWidth="1"/>
    <col min="11280" max="11280" width="9.5" style="239" bestFit="1" customWidth="1"/>
    <col min="11281" max="11281" width="9.875" style="239" bestFit="1" customWidth="1"/>
    <col min="11282" max="11282" width="9.25" style="239" bestFit="1" customWidth="1"/>
    <col min="11283" max="11286" width="9.5" style="239" bestFit="1" customWidth="1"/>
    <col min="11287" max="11287" width="9.75" style="239" bestFit="1" customWidth="1"/>
    <col min="11288" max="11520" width="9" style="239"/>
    <col min="11521" max="11521" width="13" style="239" bestFit="1" customWidth="1"/>
    <col min="11522" max="11522" width="22.125" style="239" bestFit="1" customWidth="1"/>
    <col min="11523" max="11526" width="9.75" style="239" bestFit="1" customWidth="1"/>
    <col min="11527" max="11527" width="9.875" style="239" bestFit="1" customWidth="1"/>
    <col min="11528" max="11528" width="1.125" style="239" customWidth="1"/>
    <col min="11529" max="11532" width="9.75" style="239" bestFit="1" customWidth="1"/>
    <col min="11533" max="11533" width="6.25" style="239" customWidth="1"/>
    <col min="11534" max="11535" width="9.25" style="239" bestFit="1" customWidth="1"/>
    <col min="11536" max="11536" width="9.5" style="239" bestFit="1" customWidth="1"/>
    <col min="11537" max="11537" width="9.875" style="239" bestFit="1" customWidth="1"/>
    <col min="11538" max="11538" width="9.25" style="239" bestFit="1" customWidth="1"/>
    <col min="11539" max="11542" width="9.5" style="239" bestFit="1" customWidth="1"/>
    <col min="11543" max="11543" width="9.75" style="239" bestFit="1" customWidth="1"/>
    <col min="11544" max="11776" width="9" style="239"/>
    <col min="11777" max="11777" width="13" style="239" bestFit="1" customWidth="1"/>
    <col min="11778" max="11778" width="22.125" style="239" bestFit="1" customWidth="1"/>
    <col min="11779" max="11782" width="9.75" style="239" bestFit="1" customWidth="1"/>
    <col min="11783" max="11783" width="9.875" style="239" bestFit="1" customWidth="1"/>
    <col min="11784" max="11784" width="1.125" style="239" customWidth="1"/>
    <col min="11785" max="11788" width="9.75" style="239" bestFit="1" customWidth="1"/>
    <col min="11789" max="11789" width="6.25" style="239" customWidth="1"/>
    <col min="11790" max="11791" width="9.25" style="239" bestFit="1" customWidth="1"/>
    <col min="11792" max="11792" width="9.5" style="239" bestFit="1" customWidth="1"/>
    <col min="11793" max="11793" width="9.875" style="239" bestFit="1" customWidth="1"/>
    <col min="11794" max="11794" width="9.25" style="239" bestFit="1" customWidth="1"/>
    <col min="11795" max="11798" width="9.5" style="239" bestFit="1" customWidth="1"/>
    <col min="11799" max="11799" width="9.75" style="239" bestFit="1" customWidth="1"/>
    <col min="11800" max="12032" width="9" style="239"/>
    <col min="12033" max="12033" width="13" style="239" bestFit="1" customWidth="1"/>
    <col min="12034" max="12034" width="22.125" style="239" bestFit="1" customWidth="1"/>
    <col min="12035" max="12038" width="9.75" style="239" bestFit="1" customWidth="1"/>
    <col min="12039" max="12039" width="9.875" style="239" bestFit="1" customWidth="1"/>
    <col min="12040" max="12040" width="1.125" style="239" customWidth="1"/>
    <col min="12041" max="12044" width="9.75" style="239" bestFit="1" customWidth="1"/>
    <col min="12045" max="12045" width="6.25" style="239" customWidth="1"/>
    <col min="12046" max="12047" width="9.25" style="239" bestFit="1" customWidth="1"/>
    <col min="12048" max="12048" width="9.5" style="239" bestFit="1" customWidth="1"/>
    <col min="12049" max="12049" width="9.875" style="239" bestFit="1" customWidth="1"/>
    <col min="12050" max="12050" width="9.25" style="239" bestFit="1" customWidth="1"/>
    <col min="12051" max="12054" width="9.5" style="239" bestFit="1" customWidth="1"/>
    <col min="12055" max="12055" width="9.75" style="239" bestFit="1" customWidth="1"/>
    <col min="12056" max="12288" width="9" style="239"/>
    <col min="12289" max="12289" width="13" style="239" bestFit="1" customWidth="1"/>
    <col min="12290" max="12290" width="22.125" style="239" bestFit="1" customWidth="1"/>
    <col min="12291" max="12294" width="9.75" style="239" bestFit="1" customWidth="1"/>
    <col min="12295" max="12295" width="9.875" style="239" bestFit="1" customWidth="1"/>
    <col min="12296" max="12296" width="1.125" style="239" customWidth="1"/>
    <col min="12297" max="12300" width="9.75" style="239" bestFit="1" customWidth="1"/>
    <col min="12301" max="12301" width="6.25" style="239" customWidth="1"/>
    <col min="12302" max="12303" width="9.25" style="239" bestFit="1" customWidth="1"/>
    <col min="12304" max="12304" width="9.5" style="239" bestFit="1" customWidth="1"/>
    <col min="12305" max="12305" width="9.875" style="239" bestFit="1" customWidth="1"/>
    <col min="12306" max="12306" width="9.25" style="239" bestFit="1" customWidth="1"/>
    <col min="12307" max="12310" width="9.5" style="239" bestFit="1" customWidth="1"/>
    <col min="12311" max="12311" width="9.75" style="239" bestFit="1" customWidth="1"/>
    <col min="12312" max="12544" width="9" style="239"/>
    <col min="12545" max="12545" width="13" style="239" bestFit="1" customWidth="1"/>
    <col min="12546" max="12546" width="22.125" style="239" bestFit="1" customWidth="1"/>
    <col min="12547" max="12550" width="9.75" style="239" bestFit="1" customWidth="1"/>
    <col min="12551" max="12551" width="9.875" style="239" bestFit="1" customWidth="1"/>
    <col min="12552" max="12552" width="1.125" style="239" customWidth="1"/>
    <col min="12553" max="12556" width="9.75" style="239" bestFit="1" customWidth="1"/>
    <col min="12557" max="12557" width="6.25" style="239" customWidth="1"/>
    <col min="12558" max="12559" width="9.25" style="239" bestFit="1" customWidth="1"/>
    <col min="12560" max="12560" width="9.5" style="239" bestFit="1" customWidth="1"/>
    <col min="12561" max="12561" width="9.875" style="239" bestFit="1" customWidth="1"/>
    <col min="12562" max="12562" width="9.25" style="239" bestFit="1" customWidth="1"/>
    <col min="12563" max="12566" width="9.5" style="239" bestFit="1" customWidth="1"/>
    <col min="12567" max="12567" width="9.75" style="239" bestFit="1" customWidth="1"/>
    <col min="12568" max="12800" width="9" style="239"/>
    <col min="12801" max="12801" width="13" style="239" bestFit="1" customWidth="1"/>
    <col min="12802" max="12802" width="22.125" style="239" bestFit="1" customWidth="1"/>
    <col min="12803" max="12806" width="9.75" style="239" bestFit="1" customWidth="1"/>
    <col min="12807" max="12807" width="9.875" style="239" bestFit="1" customWidth="1"/>
    <col min="12808" max="12808" width="1.125" style="239" customWidth="1"/>
    <col min="12809" max="12812" width="9.75" style="239" bestFit="1" customWidth="1"/>
    <col min="12813" max="12813" width="6.25" style="239" customWidth="1"/>
    <col min="12814" max="12815" width="9.25" style="239" bestFit="1" customWidth="1"/>
    <col min="12816" max="12816" width="9.5" style="239" bestFit="1" customWidth="1"/>
    <col min="12817" max="12817" width="9.875" style="239" bestFit="1" customWidth="1"/>
    <col min="12818" max="12818" width="9.25" style="239" bestFit="1" customWidth="1"/>
    <col min="12819" max="12822" width="9.5" style="239" bestFit="1" customWidth="1"/>
    <col min="12823" max="12823" width="9.75" style="239" bestFit="1" customWidth="1"/>
    <col min="12824" max="13056" width="9" style="239"/>
    <col min="13057" max="13057" width="13" style="239" bestFit="1" customWidth="1"/>
    <col min="13058" max="13058" width="22.125" style="239" bestFit="1" customWidth="1"/>
    <col min="13059" max="13062" width="9.75" style="239" bestFit="1" customWidth="1"/>
    <col min="13063" max="13063" width="9.875" style="239" bestFit="1" customWidth="1"/>
    <col min="13064" max="13064" width="1.125" style="239" customWidth="1"/>
    <col min="13065" max="13068" width="9.75" style="239" bestFit="1" customWidth="1"/>
    <col min="13069" max="13069" width="6.25" style="239" customWidth="1"/>
    <col min="13070" max="13071" width="9.25" style="239" bestFit="1" customWidth="1"/>
    <col min="13072" max="13072" width="9.5" style="239" bestFit="1" customWidth="1"/>
    <col min="13073" max="13073" width="9.875" style="239" bestFit="1" customWidth="1"/>
    <col min="13074" max="13074" width="9.25" style="239" bestFit="1" customWidth="1"/>
    <col min="13075" max="13078" width="9.5" style="239" bestFit="1" customWidth="1"/>
    <col min="13079" max="13079" width="9.75" style="239" bestFit="1" customWidth="1"/>
    <col min="13080" max="13312" width="9" style="239"/>
    <col min="13313" max="13313" width="13" style="239" bestFit="1" customWidth="1"/>
    <col min="13314" max="13314" width="22.125" style="239" bestFit="1" customWidth="1"/>
    <col min="13315" max="13318" width="9.75" style="239" bestFit="1" customWidth="1"/>
    <col min="13319" max="13319" width="9.875" style="239" bestFit="1" customWidth="1"/>
    <col min="13320" max="13320" width="1.125" style="239" customWidth="1"/>
    <col min="13321" max="13324" width="9.75" style="239" bestFit="1" customWidth="1"/>
    <col min="13325" max="13325" width="6.25" style="239" customWidth="1"/>
    <col min="13326" max="13327" width="9.25" style="239" bestFit="1" customWidth="1"/>
    <col min="13328" max="13328" width="9.5" style="239" bestFit="1" customWidth="1"/>
    <col min="13329" max="13329" width="9.875" style="239" bestFit="1" customWidth="1"/>
    <col min="13330" max="13330" width="9.25" style="239" bestFit="1" customWidth="1"/>
    <col min="13331" max="13334" width="9.5" style="239" bestFit="1" customWidth="1"/>
    <col min="13335" max="13335" width="9.75" style="239" bestFit="1" customWidth="1"/>
    <col min="13336" max="13568" width="9" style="239"/>
    <col min="13569" max="13569" width="13" style="239" bestFit="1" customWidth="1"/>
    <col min="13570" max="13570" width="22.125" style="239" bestFit="1" customWidth="1"/>
    <col min="13571" max="13574" width="9.75" style="239" bestFit="1" customWidth="1"/>
    <col min="13575" max="13575" width="9.875" style="239" bestFit="1" customWidth="1"/>
    <col min="13576" max="13576" width="1.125" style="239" customWidth="1"/>
    <col min="13577" max="13580" width="9.75" style="239" bestFit="1" customWidth="1"/>
    <col min="13581" max="13581" width="6.25" style="239" customWidth="1"/>
    <col min="13582" max="13583" width="9.25" style="239" bestFit="1" customWidth="1"/>
    <col min="13584" max="13584" width="9.5" style="239" bestFit="1" customWidth="1"/>
    <col min="13585" max="13585" width="9.875" style="239" bestFit="1" customWidth="1"/>
    <col min="13586" max="13586" width="9.25" style="239" bestFit="1" customWidth="1"/>
    <col min="13587" max="13590" width="9.5" style="239" bestFit="1" customWidth="1"/>
    <col min="13591" max="13591" width="9.75" style="239" bestFit="1" customWidth="1"/>
    <col min="13592" max="13824" width="9" style="239"/>
    <col min="13825" max="13825" width="13" style="239" bestFit="1" customWidth="1"/>
    <col min="13826" max="13826" width="22.125" style="239" bestFit="1" customWidth="1"/>
    <col min="13827" max="13830" width="9.75" style="239" bestFit="1" customWidth="1"/>
    <col min="13831" max="13831" width="9.875" style="239" bestFit="1" customWidth="1"/>
    <col min="13832" max="13832" width="1.125" style="239" customWidth="1"/>
    <col min="13833" max="13836" width="9.75" style="239" bestFit="1" customWidth="1"/>
    <col min="13837" max="13837" width="6.25" style="239" customWidth="1"/>
    <col min="13838" max="13839" width="9.25" style="239" bestFit="1" customWidth="1"/>
    <col min="13840" max="13840" width="9.5" style="239" bestFit="1" customWidth="1"/>
    <col min="13841" max="13841" width="9.875" style="239" bestFit="1" customWidth="1"/>
    <col min="13842" max="13842" width="9.25" style="239" bestFit="1" customWidth="1"/>
    <col min="13843" max="13846" width="9.5" style="239" bestFit="1" customWidth="1"/>
    <col min="13847" max="13847" width="9.75" style="239" bestFit="1" customWidth="1"/>
    <col min="13848" max="14080" width="9" style="239"/>
    <col min="14081" max="14081" width="13" style="239" bestFit="1" customWidth="1"/>
    <col min="14082" max="14082" width="22.125" style="239" bestFit="1" customWidth="1"/>
    <col min="14083" max="14086" width="9.75" style="239" bestFit="1" customWidth="1"/>
    <col min="14087" max="14087" width="9.875" style="239" bestFit="1" customWidth="1"/>
    <col min="14088" max="14088" width="1.125" style="239" customWidth="1"/>
    <col min="14089" max="14092" width="9.75" style="239" bestFit="1" customWidth="1"/>
    <col min="14093" max="14093" width="6.25" style="239" customWidth="1"/>
    <col min="14094" max="14095" width="9.25" style="239" bestFit="1" customWidth="1"/>
    <col min="14096" max="14096" width="9.5" style="239" bestFit="1" customWidth="1"/>
    <col min="14097" max="14097" width="9.875" style="239" bestFit="1" customWidth="1"/>
    <col min="14098" max="14098" width="9.25" style="239" bestFit="1" customWidth="1"/>
    <col min="14099" max="14102" width="9.5" style="239" bestFit="1" customWidth="1"/>
    <col min="14103" max="14103" width="9.75" style="239" bestFit="1" customWidth="1"/>
    <col min="14104" max="14336" width="9" style="239"/>
    <col min="14337" max="14337" width="13" style="239" bestFit="1" customWidth="1"/>
    <col min="14338" max="14338" width="22.125" style="239" bestFit="1" customWidth="1"/>
    <col min="14339" max="14342" width="9.75" style="239" bestFit="1" customWidth="1"/>
    <col min="14343" max="14343" width="9.875" style="239" bestFit="1" customWidth="1"/>
    <col min="14344" max="14344" width="1.125" style="239" customWidth="1"/>
    <col min="14345" max="14348" width="9.75" style="239" bestFit="1" customWidth="1"/>
    <col min="14349" max="14349" width="6.25" style="239" customWidth="1"/>
    <col min="14350" max="14351" width="9.25" style="239" bestFit="1" customWidth="1"/>
    <col min="14352" max="14352" width="9.5" style="239" bestFit="1" customWidth="1"/>
    <col min="14353" max="14353" width="9.875" style="239" bestFit="1" customWidth="1"/>
    <col min="14354" max="14354" width="9.25" style="239" bestFit="1" customWidth="1"/>
    <col min="14355" max="14358" width="9.5" style="239" bestFit="1" customWidth="1"/>
    <col min="14359" max="14359" width="9.75" style="239" bestFit="1" customWidth="1"/>
    <col min="14360" max="14592" width="9" style="239"/>
    <col min="14593" max="14593" width="13" style="239" bestFit="1" customWidth="1"/>
    <col min="14594" max="14594" width="22.125" style="239" bestFit="1" customWidth="1"/>
    <col min="14595" max="14598" width="9.75" style="239" bestFit="1" customWidth="1"/>
    <col min="14599" max="14599" width="9.875" style="239" bestFit="1" customWidth="1"/>
    <col min="14600" max="14600" width="1.125" style="239" customWidth="1"/>
    <col min="14601" max="14604" width="9.75" style="239" bestFit="1" customWidth="1"/>
    <col min="14605" max="14605" width="6.25" style="239" customWidth="1"/>
    <col min="14606" max="14607" width="9.25" style="239" bestFit="1" customWidth="1"/>
    <col min="14608" max="14608" width="9.5" style="239" bestFit="1" customWidth="1"/>
    <col min="14609" max="14609" width="9.875" style="239" bestFit="1" customWidth="1"/>
    <col min="14610" max="14610" width="9.25" style="239" bestFit="1" customWidth="1"/>
    <col min="14611" max="14614" width="9.5" style="239" bestFit="1" customWidth="1"/>
    <col min="14615" max="14615" width="9.75" style="239" bestFit="1" customWidth="1"/>
    <col min="14616" max="14848" width="9" style="239"/>
    <col min="14849" max="14849" width="13" style="239" bestFit="1" customWidth="1"/>
    <col min="14850" max="14850" width="22.125" style="239" bestFit="1" customWidth="1"/>
    <col min="14851" max="14854" width="9.75" style="239" bestFit="1" customWidth="1"/>
    <col min="14855" max="14855" width="9.875" style="239" bestFit="1" customWidth="1"/>
    <col min="14856" max="14856" width="1.125" style="239" customWidth="1"/>
    <col min="14857" max="14860" width="9.75" style="239" bestFit="1" customWidth="1"/>
    <col min="14861" max="14861" width="6.25" style="239" customWidth="1"/>
    <col min="14862" max="14863" width="9.25" style="239" bestFit="1" customWidth="1"/>
    <col min="14864" max="14864" width="9.5" style="239" bestFit="1" customWidth="1"/>
    <col min="14865" max="14865" width="9.875" style="239" bestFit="1" customWidth="1"/>
    <col min="14866" max="14866" width="9.25" style="239" bestFit="1" customWidth="1"/>
    <col min="14867" max="14870" width="9.5" style="239" bestFit="1" customWidth="1"/>
    <col min="14871" max="14871" width="9.75" style="239" bestFit="1" customWidth="1"/>
    <col min="14872" max="15104" width="9" style="239"/>
    <col min="15105" max="15105" width="13" style="239" bestFit="1" customWidth="1"/>
    <col min="15106" max="15106" width="22.125" style="239" bestFit="1" customWidth="1"/>
    <col min="15107" max="15110" width="9.75" style="239" bestFit="1" customWidth="1"/>
    <col min="15111" max="15111" width="9.875" style="239" bestFit="1" customWidth="1"/>
    <col min="15112" max="15112" width="1.125" style="239" customWidth="1"/>
    <col min="15113" max="15116" width="9.75" style="239" bestFit="1" customWidth="1"/>
    <col min="15117" max="15117" width="6.25" style="239" customWidth="1"/>
    <col min="15118" max="15119" width="9.25" style="239" bestFit="1" customWidth="1"/>
    <col min="15120" max="15120" width="9.5" style="239" bestFit="1" customWidth="1"/>
    <col min="15121" max="15121" width="9.875" style="239" bestFit="1" customWidth="1"/>
    <col min="15122" max="15122" width="9.25" style="239" bestFit="1" customWidth="1"/>
    <col min="15123" max="15126" width="9.5" style="239" bestFit="1" customWidth="1"/>
    <col min="15127" max="15127" width="9.75" style="239" bestFit="1" customWidth="1"/>
    <col min="15128" max="15360" width="9" style="239"/>
    <col min="15361" max="15361" width="13" style="239" bestFit="1" customWidth="1"/>
    <col min="15362" max="15362" width="22.125" style="239" bestFit="1" customWidth="1"/>
    <col min="15363" max="15366" width="9.75" style="239" bestFit="1" customWidth="1"/>
    <col min="15367" max="15367" width="9.875" style="239" bestFit="1" customWidth="1"/>
    <col min="15368" max="15368" width="1.125" style="239" customWidth="1"/>
    <col min="15369" max="15372" width="9.75" style="239" bestFit="1" customWidth="1"/>
    <col min="15373" max="15373" width="6.25" style="239" customWidth="1"/>
    <col min="15374" max="15375" width="9.25" style="239" bestFit="1" customWidth="1"/>
    <col min="15376" max="15376" width="9.5" style="239" bestFit="1" customWidth="1"/>
    <col min="15377" max="15377" width="9.875" style="239" bestFit="1" customWidth="1"/>
    <col min="15378" max="15378" width="9.25" style="239" bestFit="1" customWidth="1"/>
    <col min="15379" max="15382" width="9.5" style="239" bestFit="1" customWidth="1"/>
    <col min="15383" max="15383" width="9.75" style="239" bestFit="1" customWidth="1"/>
    <col min="15384" max="15616" width="9" style="239"/>
    <col min="15617" max="15617" width="13" style="239" bestFit="1" customWidth="1"/>
    <col min="15618" max="15618" width="22.125" style="239" bestFit="1" customWidth="1"/>
    <col min="15619" max="15622" width="9.75" style="239" bestFit="1" customWidth="1"/>
    <col min="15623" max="15623" width="9.875" style="239" bestFit="1" customWidth="1"/>
    <col min="15624" max="15624" width="1.125" style="239" customWidth="1"/>
    <col min="15625" max="15628" width="9.75" style="239" bestFit="1" customWidth="1"/>
    <col min="15629" max="15629" width="6.25" style="239" customWidth="1"/>
    <col min="15630" max="15631" width="9.25" style="239" bestFit="1" customWidth="1"/>
    <col min="15632" max="15632" width="9.5" style="239" bestFit="1" customWidth="1"/>
    <col min="15633" max="15633" width="9.875" style="239" bestFit="1" customWidth="1"/>
    <col min="15634" max="15634" width="9.25" style="239" bestFit="1" customWidth="1"/>
    <col min="15635" max="15638" width="9.5" style="239" bestFit="1" customWidth="1"/>
    <col min="15639" max="15639" width="9.75" style="239" bestFit="1" customWidth="1"/>
    <col min="15640" max="15872" width="9" style="239"/>
    <col min="15873" max="15873" width="13" style="239" bestFit="1" customWidth="1"/>
    <col min="15874" max="15874" width="22.125" style="239" bestFit="1" customWidth="1"/>
    <col min="15875" max="15878" width="9.75" style="239" bestFit="1" customWidth="1"/>
    <col min="15879" max="15879" width="9.875" style="239" bestFit="1" customWidth="1"/>
    <col min="15880" max="15880" width="1.125" style="239" customWidth="1"/>
    <col min="15881" max="15884" width="9.75" style="239" bestFit="1" customWidth="1"/>
    <col min="15885" max="15885" width="6.25" style="239" customWidth="1"/>
    <col min="15886" max="15887" width="9.25" style="239" bestFit="1" customWidth="1"/>
    <col min="15888" max="15888" width="9.5" style="239" bestFit="1" customWidth="1"/>
    <col min="15889" max="15889" width="9.875" style="239" bestFit="1" customWidth="1"/>
    <col min="15890" max="15890" width="9.25" style="239" bestFit="1" customWidth="1"/>
    <col min="15891" max="15894" width="9.5" style="239" bestFit="1" customWidth="1"/>
    <col min="15895" max="15895" width="9.75" style="239" bestFit="1" customWidth="1"/>
    <col min="15896" max="16128" width="9" style="239"/>
    <col min="16129" max="16129" width="13" style="239" bestFit="1" customWidth="1"/>
    <col min="16130" max="16130" width="22.125" style="239" bestFit="1" customWidth="1"/>
    <col min="16131" max="16134" width="9.75" style="239" bestFit="1" customWidth="1"/>
    <col min="16135" max="16135" width="9.875" style="239" bestFit="1" customWidth="1"/>
    <col min="16136" max="16136" width="1.125" style="239" customWidth="1"/>
    <col min="16137" max="16140" width="9.75" style="239" bestFit="1" customWidth="1"/>
    <col min="16141" max="16141" width="6.25" style="239" customWidth="1"/>
    <col min="16142" max="16143" width="9.25" style="239" bestFit="1" customWidth="1"/>
    <col min="16144" max="16144" width="9.5" style="239" bestFit="1" customWidth="1"/>
    <col min="16145" max="16145" width="9.875" style="239" bestFit="1" customWidth="1"/>
    <col min="16146" max="16146" width="9.25" style="239" bestFit="1" customWidth="1"/>
    <col min="16147" max="16150" width="9.5" style="239" bestFit="1" customWidth="1"/>
    <col min="16151" max="16151" width="9.75" style="239" bestFit="1" customWidth="1"/>
    <col min="16152" max="16384" width="9" style="239"/>
  </cols>
  <sheetData>
    <row r="1" spans="1:23">
      <c r="C1" s="240" t="s">
        <v>6247</v>
      </c>
      <c r="D1" s="242" t="s">
        <v>6248</v>
      </c>
      <c r="E1" s="291" t="s">
        <v>6249</v>
      </c>
      <c r="F1" s="291" t="s">
        <v>6250</v>
      </c>
      <c r="G1" s="240" t="s">
        <v>6251</v>
      </c>
      <c r="H1" s="241"/>
      <c r="I1" s="291" t="s">
        <v>6252</v>
      </c>
      <c r="J1" s="240" t="s">
        <v>6253</v>
      </c>
      <c r="K1" s="240" t="s">
        <v>6254</v>
      </c>
      <c r="L1" s="240" t="s">
        <v>6255</v>
      </c>
      <c r="M1" s="242"/>
      <c r="N1" s="240" t="s">
        <v>6256</v>
      </c>
      <c r="O1" s="240" t="s">
        <v>6257</v>
      </c>
      <c r="P1" s="240" t="s">
        <v>6258</v>
      </c>
      <c r="Q1" s="240" t="s">
        <v>6259</v>
      </c>
      <c r="R1" s="240" t="s">
        <v>6260</v>
      </c>
      <c r="S1" s="240" t="s">
        <v>217</v>
      </c>
      <c r="T1" s="243" t="s">
        <v>6261</v>
      </c>
      <c r="U1" s="243" t="s">
        <v>6262</v>
      </c>
      <c r="V1" s="243" t="s">
        <v>6263</v>
      </c>
      <c r="W1" s="240" t="s">
        <v>6264</v>
      </c>
    </row>
    <row r="2" spans="1:23" s="244" customFormat="1">
      <c r="B2" s="245" t="s">
        <v>6265</v>
      </c>
      <c r="C2" s="246" t="s">
        <v>6266</v>
      </c>
      <c r="D2" s="246" t="s">
        <v>6267</v>
      </c>
      <c r="E2" s="246" t="s">
        <v>6268</v>
      </c>
      <c r="F2" s="246" t="s">
        <v>6269</v>
      </c>
      <c r="G2" s="247" t="s">
        <v>6270</v>
      </c>
      <c r="H2" s="248"/>
      <c r="I2" s="246" t="s">
        <v>6271</v>
      </c>
      <c r="J2" s="246" t="s">
        <v>6272</v>
      </c>
      <c r="K2" s="246" t="s">
        <v>6273</v>
      </c>
      <c r="L2" s="246" t="s">
        <v>6274</v>
      </c>
      <c r="M2" s="249"/>
      <c r="N2" s="246" t="s">
        <v>6275</v>
      </c>
      <c r="O2" s="246" t="s">
        <v>6276</v>
      </c>
      <c r="P2" s="250" t="s">
        <v>6277</v>
      </c>
      <c r="Q2" s="251" t="s">
        <v>6278</v>
      </c>
      <c r="R2" s="251" t="s">
        <v>6279</v>
      </c>
      <c r="S2" s="251" t="s">
        <v>6280</v>
      </c>
      <c r="T2" s="251" t="s">
        <v>6281</v>
      </c>
      <c r="U2" s="247" t="s">
        <v>6282</v>
      </c>
      <c r="V2" s="247" t="s">
        <v>6283</v>
      </c>
      <c r="W2" s="246" t="s">
        <v>6284</v>
      </c>
    </row>
    <row r="3" spans="1:23">
      <c r="B3" s="252" t="s">
        <v>6285</v>
      </c>
      <c r="C3" s="243">
        <v>7</v>
      </c>
      <c r="D3" s="243">
        <v>6.9</v>
      </c>
      <c r="E3" s="243">
        <v>6.2866</v>
      </c>
      <c r="F3" s="243">
        <v>6.5353000000000003</v>
      </c>
      <c r="G3" s="243">
        <v>6.9</v>
      </c>
      <c r="H3" s="253"/>
      <c r="I3" s="243">
        <v>6.92</v>
      </c>
      <c r="J3" s="243">
        <v>6.62</v>
      </c>
      <c r="K3" s="243">
        <v>6.47</v>
      </c>
      <c r="L3" s="243">
        <v>6.3841000000000001</v>
      </c>
      <c r="M3" s="254"/>
      <c r="N3" s="243">
        <v>6.1917600000000004</v>
      </c>
      <c r="O3" s="243">
        <v>6.17</v>
      </c>
      <c r="P3" s="243">
        <v>6.13</v>
      </c>
      <c r="Q3" s="243">
        <f>(6.1*25000+6.18*15000)/40000</f>
        <v>6.13</v>
      </c>
      <c r="R3" s="243">
        <v>6.08</v>
      </c>
      <c r="S3" s="243">
        <v>6.2</v>
      </c>
      <c r="T3" s="243">
        <v>6.2</v>
      </c>
      <c r="U3" s="243">
        <v>6.36</v>
      </c>
      <c r="V3" s="243">
        <v>6.36</v>
      </c>
      <c r="W3" s="243">
        <v>6.35</v>
      </c>
    </row>
    <row r="4" spans="1:23">
      <c r="B4" s="239" t="s">
        <v>6286</v>
      </c>
      <c r="C4" s="243">
        <v>11.679</v>
      </c>
      <c r="D4" s="243">
        <v>14.278</v>
      </c>
      <c r="E4" s="243">
        <v>21.25</v>
      </c>
      <c r="F4" s="243">
        <v>34.68</v>
      </c>
      <c r="G4" s="243">
        <v>60</v>
      </c>
      <c r="H4" s="253"/>
      <c r="I4" s="243">
        <v>19.07</v>
      </c>
      <c r="J4" s="243">
        <v>26.32</v>
      </c>
      <c r="K4" s="243">
        <v>13.97</v>
      </c>
      <c r="L4" s="243">
        <v>22.9</v>
      </c>
      <c r="M4" s="254"/>
      <c r="N4" s="243">
        <v>16.079999999999998</v>
      </c>
      <c r="O4" s="243">
        <v>22.38</v>
      </c>
      <c r="P4" s="243">
        <v>18.268000000000001</v>
      </c>
      <c r="Q4" s="243">
        <v>56</v>
      </c>
      <c r="R4" s="243">
        <v>12.013</v>
      </c>
      <c r="S4" s="243">
        <v>23.420999999999999</v>
      </c>
      <c r="T4" s="243">
        <v>26.792999999999999</v>
      </c>
      <c r="U4" s="243">
        <v>20.003</v>
      </c>
      <c r="V4" s="243">
        <v>20</v>
      </c>
      <c r="W4" s="243">
        <v>40</v>
      </c>
    </row>
    <row r="5" spans="1:23" s="255" customFormat="1" ht="6.75" customHeight="1">
      <c r="C5" s="256"/>
      <c r="D5" s="256"/>
      <c r="E5" s="256"/>
      <c r="F5" s="256"/>
      <c r="G5" s="256"/>
      <c r="H5" s="253"/>
      <c r="I5" s="256"/>
      <c r="J5" s="256"/>
      <c r="K5" s="256"/>
      <c r="L5" s="256"/>
      <c r="M5" s="256"/>
      <c r="N5" s="256"/>
      <c r="O5" s="256"/>
      <c r="P5" s="256"/>
      <c r="Q5" s="256"/>
      <c r="R5" s="256"/>
      <c r="S5" s="256"/>
      <c r="T5" s="256"/>
      <c r="U5" s="256"/>
      <c r="V5" s="256"/>
      <c r="W5" s="256"/>
    </row>
    <row r="6" spans="1:23">
      <c r="A6" s="239" t="s">
        <v>6287</v>
      </c>
      <c r="B6" s="239" t="s">
        <v>6288</v>
      </c>
      <c r="C6" s="257">
        <f>10*C4</f>
        <v>116.79</v>
      </c>
      <c r="D6" s="257">
        <f>10*D4</f>
        <v>142.78</v>
      </c>
      <c r="E6" s="257">
        <f>15*E4</f>
        <v>318.75</v>
      </c>
      <c r="F6" s="257">
        <f>25*(F4-3.68)</f>
        <v>775</v>
      </c>
      <c r="G6" s="258">
        <v>1180</v>
      </c>
      <c r="H6" s="259"/>
      <c r="I6" s="257">
        <f>25*I4</f>
        <v>476.75</v>
      </c>
      <c r="J6" s="257">
        <f>25*J4</f>
        <v>658</v>
      </c>
      <c r="K6" s="257">
        <f>25*K4</f>
        <v>349.25</v>
      </c>
      <c r="L6" s="257">
        <f>25*L4</f>
        <v>572.5</v>
      </c>
      <c r="M6" s="260"/>
      <c r="N6" s="257">
        <f>25*N4</f>
        <v>401.99999999999994</v>
      </c>
      <c r="O6" s="257">
        <f>25*O4</f>
        <v>559.5</v>
      </c>
      <c r="P6" s="257">
        <f>30*P4</f>
        <v>548.04</v>
      </c>
      <c r="Q6" s="258">
        <f>1900</f>
        <v>1900</v>
      </c>
      <c r="R6" s="257">
        <f>19*R4</f>
        <v>228.24699999999999</v>
      </c>
      <c r="S6" s="261">
        <f>20*S4</f>
        <v>468.41999999999996</v>
      </c>
      <c r="T6" s="257">
        <f>19*T4</f>
        <v>509.06700000000001</v>
      </c>
      <c r="U6" s="257">
        <f>19*U4</f>
        <v>380.05700000000002</v>
      </c>
      <c r="V6" s="262">
        <f>15*V4</f>
        <v>300</v>
      </c>
      <c r="W6" s="258">
        <v>1550</v>
      </c>
    </row>
    <row r="7" spans="1:23">
      <c r="A7" s="239" t="s">
        <v>6287</v>
      </c>
      <c r="B7" s="252" t="s">
        <v>6289</v>
      </c>
      <c r="C7" s="243"/>
      <c r="D7" s="243"/>
      <c r="E7" s="243"/>
      <c r="F7" s="243"/>
      <c r="G7" s="263">
        <v>10</v>
      </c>
      <c r="H7" s="264"/>
      <c r="I7" s="243"/>
      <c r="J7" s="243"/>
      <c r="K7" s="243"/>
      <c r="L7" s="243"/>
      <c r="M7" s="254"/>
      <c r="N7" s="243"/>
      <c r="O7" s="243"/>
      <c r="P7" s="243"/>
      <c r="Q7" s="263">
        <v>10</v>
      </c>
      <c r="R7" s="243"/>
      <c r="S7" s="243"/>
      <c r="T7" s="243"/>
      <c r="U7" s="243"/>
      <c r="V7" s="243"/>
      <c r="W7" s="265"/>
    </row>
    <row r="8" spans="1:23">
      <c r="A8" s="239" t="s">
        <v>6287</v>
      </c>
      <c r="B8" s="239" t="s">
        <v>6290</v>
      </c>
      <c r="C8" s="263">
        <v>25</v>
      </c>
      <c r="D8" s="263">
        <v>25</v>
      </c>
      <c r="E8" s="263">
        <v>25</v>
      </c>
      <c r="F8" s="263">
        <v>25</v>
      </c>
      <c r="G8" s="263">
        <v>25</v>
      </c>
      <c r="H8" s="264"/>
      <c r="I8" s="263">
        <v>25</v>
      </c>
      <c r="J8" s="263">
        <v>25</v>
      </c>
      <c r="K8" s="263">
        <v>25</v>
      </c>
      <c r="L8" s="263">
        <v>25</v>
      </c>
      <c r="M8" s="265"/>
      <c r="N8" s="263">
        <v>25</v>
      </c>
      <c r="O8" s="263">
        <v>25</v>
      </c>
      <c r="P8" s="263">
        <v>25</v>
      </c>
      <c r="Q8" s="263">
        <v>25</v>
      </c>
      <c r="R8" s="263">
        <v>25</v>
      </c>
      <c r="S8" s="263">
        <v>25</v>
      </c>
      <c r="T8" s="263">
        <v>25</v>
      </c>
      <c r="U8" s="263">
        <v>25</v>
      </c>
      <c r="V8" s="263">
        <v>25</v>
      </c>
      <c r="W8" s="263">
        <v>25</v>
      </c>
    </row>
    <row r="9" spans="1:23">
      <c r="A9" s="239" t="s">
        <v>6287</v>
      </c>
      <c r="B9" s="239" t="s">
        <v>6291</v>
      </c>
      <c r="C9" s="263">
        <f>350/C$3</f>
        <v>50</v>
      </c>
      <c r="D9" s="263">
        <f>350/D$3</f>
        <v>50.724637681159415</v>
      </c>
      <c r="E9" s="263">
        <f>350/E$3</f>
        <v>55.673973212865462</v>
      </c>
      <c r="F9" s="263">
        <f>350/F$3</f>
        <v>53.555307330956495</v>
      </c>
      <c r="G9" s="265"/>
      <c r="H9" s="264"/>
      <c r="I9" s="263">
        <f>350/I$3</f>
        <v>50.578034682080926</v>
      </c>
      <c r="J9" s="263">
        <f>350/J$3</f>
        <v>52.870090634441084</v>
      </c>
      <c r="K9" s="263">
        <f>350/K$3</f>
        <v>54.095826893353944</v>
      </c>
      <c r="L9" s="263">
        <f>350/L$3</f>
        <v>54.823702636236902</v>
      </c>
      <c r="M9" s="265"/>
      <c r="N9" s="263">
        <f>350/N$3</f>
        <v>56.526738762484328</v>
      </c>
      <c r="O9" s="263">
        <f>350/O$3</f>
        <v>56.726094003241492</v>
      </c>
      <c r="P9" s="263">
        <f>350/P$3</f>
        <v>57.096247960848288</v>
      </c>
      <c r="Q9" s="265"/>
      <c r="R9" s="263">
        <f>350/R$3</f>
        <v>57.565789473684212</v>
      </c>
      <c r="S9" s="263">
        <f>350*2/S$3</f>
        <v>112.90322580645162</v>
      </c>
      <c r="T9" s="263">
        <f>350*2/6.1</f>
        <v>114.75409836065575</v>
      </c>
      <c r="U9" s="263">
        <f>350*2/6.1</f>
        <v>114.75409836065575</v>
      </c>
      <c r="V9" s="263">
        <f>350*2/6.1</f>
        <v>114.75409836065575</v>
      </c>
      <c r="W9" s="265"/>
    </row>
    <row r="10" spans="1:23">
      <c r="A10" s="239" t="s">
        <v>6287</v>
      </c>
      <c r="B10" s="239" t="s">
        <v>6292</v>
      </c>
      <c r="C10" s="263">
        <f>300/C$3</f>
        <v>42.857142857142854</v>
      </c>
      <c r="D10" s="263">
        <f>300/D$3</f>
        <v>43.478260869565219</v>
      </c>
      <c r="E10" s="263">
        <f>300/E$3</f>
        <v>47.720548468170392</v>
      </c>
      <c r="F10" s="263">
        <f>300/F$3</f>
        <v>45.904549140819853</v>
      </c>
      <c r="G10" s="263">
        <f>450/G$3</f>
        <v>65.217391304347828</v>
      </c>
      <c r="H10" s="264"/>
      <c r="I10" s="263">
        <f>300/I$3</f>
        <v>43.352601156069362</v>
      </c>
      <c r="J10" s="263">
        <f>300/J$3</f>
        <v>45.317220543806648</v>
      </c>
      <c r="K10" s="263">
        <f>300/K$3</f>
        <v>46.367851622874809</v>
      </c>
      <c r="L10" s="263">
        <f>300/L$3</f>
        <v>46.991745116774489</v>
      </c>
      <c r="M10" s="265"/>
      <c r="N10" s="263">
        <f>300/N$3</f>
        <v>48.451490367843711</v>
      </c>
      <c r="O10" s="263">
        <f>300/O$3</f>
        <v>48.622366288492707</v>
      </c>
      <c r="P10" s="263">
        <f>300/P$3</f>
        <v>48.939641109298535</v>
      </c>
      <c r="Q10" s="263">
        <f>450/Q$3</f>
        <v>73.409461663947795</v>
      </c>
      <c r="R10" s="263">
        <f t="shared" ref="R10:W10" si="0">450/R$3</f>
        <v>74.013157894736835</v>
      </c>
      <c r="S10" s="263">
        <f t="shared" si="0"/>
        <v>72.58064516129032</v>
      </c>
      <c r="T10" s="263">
        <f t="shared" si="0"/>
        <v>72.58064516129032</v>
      </c>
      <c r="U10" s="263">
        <f t="shared" si="0"/>
        <v>70.754716981132077</v>
      </c>
      <c r="V10" s="263">
        <f t="shared" si="0"/>
        <v>70.754716981132077</v>
      </c>
      <c r="W10" s="263">
        <f t="shared" si="0"/>
        <v>70.866141732283467</v>
      </c>
    </row>
    <row r="11" spans="1:23">
      <c r="A11" s="239" t="s">
        <v>6287</v>
      </c>
      <c r="B11" s="239" t="s">
        <v>6293</v>
      </c>
      <c r="C11" s="263">
        <f>150/C3</f>
        <v>21.428571428571427</v>
      </c>
      <c r="D11" s="263">
        <f>150/D3</f>
        <v>21.739130434782609</v>
      </c>
      <c r="E11" s="263">
        <f>150/E3</f>
        <v>23.860274234085196</v>
      </c>
      <c r="F11" s="263">
        <f>150/F3</f>
        <v>22.952274570409926</v>
      </c>
      <c r="G11" s="263">
        <f>150/G3</f>
        <v>21.739130434782609</v>
      </c>
      <c r="H11" s="264"/>
      <c r="I11" s="263">
        <f>150/I3</f>
        <v>21.676300578034681</v>
      </c>
      <c r="J11" s="263">
        <f>150/J3</f>
        <v>22.658610271903324</v>
      </c>
      <c r="K11" s="263">
        <f>150/K3</f>
        <v>23.183925811437405</v>
      </c>
      <c r="L11" s="263">
        <f>150/L3</f>
        <v>23.495872558387244</v>
      </c>
      <c r="M11" s="265"/>
      <c r="N11" s="263">
        <f>150/N3</f>
        <v>24.225745183921855</v>
      </c>
      <c r="O11" s="263">
        <f>130/O3</f>
        <v>21.069692058346838</v>
      </c>
      <c r="P11" s="263">
        <f>130/P3</f>
        <v>21.207177814029365</v>
      </c>
      <c r="Q11" s="263">
        <f>130/Q3</f>
        <v>21.207177814029365</v>
      </c>
      <c r="R11" s="263">
        <f>300/R$3</f>
        <v>49.342105263157897</v>
      </c>
      <c r="S11" s="263">
        <f>300/S$3</f>
        <v>48.387096774193544</v>
      </c>
      <c r="T11" s="263">
        <f>300/T3</f>
        <v>48.387096774193544</v>
      </c>
      <c r="U11" s="263">
        <f>130/U3</f>
        <v>20.440251572327043</v>
      </c>
      <c r="V11" s="263">
        <f>300/V$3</f>
        <v>47.169811320754718</v>
      </c>
      <c r="W11" s="263">
        <f>300/W$3</f>
        <v>47.244094488188978</v>
      </c>
    </row>
    <row r="12" spans="1:23">
      <c r="A12" s="239" t="s">
        <v>6287</v>
      </c>
      <c r="B12" s="239" t="s">
        <v>6294</v>
      </c>
      <c r="C12" s="263">
        <f>(850+130)/C$3</f>
        <v>140</v>
      </c>
      <c r="D12" s="263">
        <f>(850+130)/D$3</f>
        <v>142.02898550724638</v>
      </c>
      <c r="E12" s="263">
        <f>(950+130)/E$3</f>
        <v>171.79397448541343</v>
      </c>
      <c r="F12" s="263">
        <f>(950+1100+130)/F$3</f>
        <v>333.57305708995762</v>
      </c>
      <c r="G12" s="263">
        <f>(1300)/G$3</f>
        <v>188.40579710144925</v>
      </c>
      <c r="H12" s="264"/>
      <c r="I12" s="263">
        <f>(950+185)/I$3</f>
        <v>164.01734104046244</v>
      </c>
      <c r="J12" s="263">
        <f>(950+130)/J$3</f>
        <v>163.14199395770393</v>
      </c>
      <c r="K12" s="263">
        <f>(850+80)/K$3</f>
        <v>143.74034003091191</v>
      </c>
      <c r="L12" s="263">
        <f>(950+80)/L$3</f>
        <v>161.33832490092573</v>
      </c>
      <c r="M12" s="265"/>
      <c r="N12" s="263">
        <f>(1300+80)/N$3</f>
        <v>222.87685569208108</v>
      </c>
      <c r="O12" s="263">
        <f>(1000+80)/O$3</f>
        <v>175.04051863857376</v>
      </c>
      <c r="P12" s="263">
        <f>(1000+200+80)/P$3</f>
        <v>208.80913539967375</v>
      </c>
      <c r="Q12" s="263">
        <f>(1300)/Q$3</f>
        <v>212.07177814029365</v>
      </c>
      <c r="R12" s="263">
        <f>800/R$3</f>
        <v>131.57894736842104</v>
      </c>
      <c r="S12" s="263">
        <f>1050/S$3</f>
        <v>169.35483870967741</v>
      </c>
      <c r="T12" s="263">
        <f>1050/T3</f>
        <v>169.35483870967741</v>
      </c>
      <c r="U12" s="263">
        <f>1050/U3</f>
        <v>165.09433962264151</v>
      </c>
      <c r="V12" s="263">
        <f>1050/V3</f>
        <v>165.09433962264151</v>
      </c>
      <c r="W12" s="263">
        <f>(1350)/W$3</f>
        <v>212.5984251968504</v>
      </c>
    </row>
    <row r="13" spans="1:23">
      <c r="A13" s="239" t="s">
        <v>6287</v>
      </c>
      <c r="B13" s="252" t="s">
        <v>6295</v>
      </c>
      <c r="C13" s="265"/>
      <c r="D13" s="265"/>
      <c r="E13" s="265"/>
      <c r="F13" s="265"/>
      <c r="G13" s="263">
        <f>1800/G$3</f>
        <v>260.86956521739131</v>
      </c>
      <c r="H13" s="264"/>
      <c r="I13" s="265"/>
      <c r="J13" s="265"/>
      <c r="K13" s="265"/>
      <c r="L13" s="265"/>
      <c r="M13" s="265"/>
      <c r="N13" s="265"/>
      <c r="O13" s="265"/>
      <c r="P13" s="265"/>
      <c r="Q13" s="263">
        <f>1800/Q$3</f>
        <v>293.63784665579118</v>
      </c>
      <c r="R13" s="265"/>
      <c r="S13" s="265"/>
      <c r="T13" s="265"/>
      <c r="U13" s="265"/>
      <c r="V13" s="265"/>
      <c r="W13" s="263">
        <f>1850/W$3</f>
        <v>291.33858267716539</v>
      </c>
    </row>
    <row r="14" spans="1:23">
      <c r="A14" s="239" t="s">
        <v>6287</v>
      </c>
      <c r="B14" s="252" t="s">
        <v>6296</v>
      </c>
      <c r="C14" s="243"/>
      <c r="D14" s="243"/>
      <c r="E14" s="243"/>
      <c r="F14" s="243"/>
      <c r="G14" s="263">
        <f>60/G$3</f>
        <v>8.695652173913043</v>
      </c>
      <c r="H14" s="264"/>
      <c r="I14" s="243"/>
      <c r="J14" s="243"/>
      <c r="K14" s="243"/>
      <c r="L14" s="243"/>
      <c r="M14" s="254"/>
      <c r="N14" s="243"/>
      <c r="O14" s="243"/>
      <c r="P14" s="243"/>
      <c r="Q14" s="263">
        <f>60/Q$3</f>
        <v>9.7879282218597066</v>
      </c>
      <c r="R14" s="243"/>
      <c r="S14" s="243"/>
      <c r="T14" s="243"/>
      <c r="U14" s="243"/>
      <c r="V14" s="243"/>
      <c r="W14" s="263">
        <f>35/W$3</f>
        <v>5.5118110236220472</v>
      </c>
    </row>
    <row r="15" spans="1:23">
      <c r="A15" s="239" t="s">
        <v>6287</v>
      </c>
      <c r="B15" s="239" t="s">
        <v>6297</v>
      </c>
      <c r="C15" s="265"/>
      <c r="D15" s="265"/>
      <c r="E15" s="265"/>
      <c r="F15" s="265"/>
      <c r="G15" s="265"/>
      <c r="H15" s="264"/>
      <c r="I15" s="265"/>
      <c r="J15" s="265"/>
      <c r="K15" s="265"/>
      <c r="L15" s="265"/>
      <c r="M15" s="265"/>
      <c r="N15" s="265"/>
      <c r="O15" s="265"/>
      <c r="P15" s="265"/>
      <c r="Q15" s="265"/>
      <c r="R15" s="265"/>
      <c r="S15" s="263">
        <f>100/S$3</f>
        <v>16.129032258064516</v>
      </c>
      <c r="T15" s="263">
        <f>100/T3</f>
        <v>16.129032258064516</v>
      </c>
      <c r="U15" s="263">
        <f>100/U3</f>
        <v>15.723270440251572</v>
      </c>
      <c r="V15" s="265"/>
      <c r="W15" s="265"/>
    </row>
    <row r="16" spans="1:23">
      <c r="A16" s="239" t="s">
        <v>6287</v>
      </c>
      <c r="B16" s="239" t="s">
        <v>6298</v>
      </c>
      <c r="C16" s="265"/>
      <c r="D16" s="265"/>
      <c r="E16" s="265"/>
      <c r="F16" s="265"/>
      <c r="G16" s="265"/>
      <c r="H16" s="264"/>
      <c r="I16" s="265"/>
      <c r="J16" s="265"/>
      <c r="K16" s="265"/>
      <c r="L16" s="265"/>
      <c r="M16" s="265"/>
      <c r="N16" s="265"/>
      <c r="O16" s="265">
        <f>15*O4/O3</f>
        <v>54.408427876823339</v>
      </c>
      <c r="P16" s="265"/>
      <c r="Q16" s="265"/>
      <c r="R16" s="265"/>
      <c r="S16" s="266">
        <f>15*S4/S$3</f>
        <v>56.663709677419355</v>
      </c>
      <c r="T16" s="266">
        <f>15*T4/T3</f>
        <v>64.821774193548379</v>
      </c>
      <c r="U16" s="266">
        <f>15*U4/U3</f>
        <v>47.176886792452834</v>
      </c>
      <c r="V16" s="265"/>
      <c r="W16" s="265"/>
    </row>
    <row r="17" spans="1:26">
      <c r="A17" s="239" t="s">
        <v>6287</v>
      </c>
      <c r="B17" s="239" t="s">
        <v>6299</v>
      </c>
      <c r="C17" s="265"/>
      <c r="D17" s="265"/>
      <c r="E17" s="265"/>
      <c r="F17" s="265"/>
      <c r="G17" s="265"/>
      <c r="H17" s="264"/>
      <c r="I17" s="265"/>
      <c r="J17" s="265"/>
      <c r="K17" s="265"/>
      <c r="L17" s="265"/>
      <c r="M17" s="265"/>
      <c r="N17" s="265"/>
      <c r="O17" s="265"/>
      <c r="P17" s="265"/>
      <c r="Q17" s="265"/>
      <c r="R17" s="265"/>
      <c r="S17" s="265"/>
      <c r="T17" s="266">
        <f>3*4*T4/T3</f>
        <v>51.857419354838704</v>
      </c>
      <c r="U17" s="266">
        <f>3*7*U4/U3</f>
        <v>66.047641509433959</v>
      </c>
      <c r="V17" s="265"/>
      <c r="W17" s="265"/>
    </row>
    <row r="18" spans="1:26">
      <c r="A18" s="239" t="s">
        <v>6287</v>
      </c>
      <c r="B18" s="252" t="s">
        <v>6300</v>
      </c>
      <c r="C18" s="267">
        <f>(C6+C8)*(7.1-C3)/C3</f>
        <v>2.0255714285714217</v>
      </c>
      <c r="D18" s="267">
        <f>(D6+D8)*(7-D3)/D3</f>
        <v>2.431594202898542</v>
      </c>
      <c r="E18" s="267">
        <f>(E6+E8)*(6.6-E3)/E3</f>
        <v>17.136647790538589</v>
      </c>
      <c r="F18" s="267">
        <f>(F6+F8)*(6.8-F3)/F3</f>
        <v>32.402491086866647</v>
      </c>
      <c r="G18" s="267">
        <f>(12.7)*(6.25-G3)+45+12.7</f>
        <v>49.444999999999993</v>
      </c>
      <c r="H18" s="268"/>
      <c r="I18" s="267">
        <f>(I6+I8)*(7-I3)/I3</f>
        <v>5.8005780346820863</v>
      </c>
      <c r="J18" s="267">
        <f>(J6+J8)*(6.8-J3)/J3</f>
        <v>18.570996978851934</v>
      </c>
      <c r="K18" s="267">
        <f>(K6+K8)*(6.6-K3)/K3</f>
        <v>7.5197063369397164</v>
      </c>
      <c r="L18" s="267">
        <f>(L6+L8)*(6.5-L3)/L3</f>
        <v>10.847300324243031</v>
      </c>
      <c r="M18" s="269"/>
      <c r="N18" s="267">
        <f>(N6+N8)*(6.25-N3)/N3</f>
        <v>4.0163830639430209</v>
      </c>
      <c r="O18" s="267">
        <f>(O6+O8)*(6.25-O3)/O3</f>
        <v>7.57860615883307</v>
      </c>
      <c r="P18" s="267">
        <f>(P6+P8)*(6.25-P3)/P3</f>
        <v>11.21774877650898</v>
      </c>
      <c r="Q18" s="267">
        <f>(12.7)*(6.25-Q3)+45+12.7</f>
        <v>59.224000000000004</v>
      </c>
      <c r="R18" s="267">
        <f>(R6+R8)*(6.35-R3)/R3</f>
        <v>11.246166118421034</v>
      </c>
      <c r="S18" s="267">
        <f>(S6+S8)*(6.35-S3)/S3</f>
        <v>11.937580645161248</v>
      </c>
      <c r="T18" s="267">
        <f>(T6+T8)*(6.35-T3)/T3</f>
        <v>12.920975806451567</v>
      </c>
      <c r="U18" s="267">
        <f>(U6+U8)*(6.45-U3)/U3</f>
        <v>5.7319386792452747</v>
      </c>
      <c r="V18" s="267">
        <f>(V6+V8)*(6.45-V3)/V3</f>
        <v>4.5990566037735778</v>
      </c>
      <c r="W18" s="267">
        <f>(W6+W8)*(6.46-W3)/W3</f>
        <v>27.283464566929215</v>
      </c>
    </row>
    <row r="19" spans="1:26">
      <c r="A19" s="239" t="s">
        <v>6301</v>
      </c>
      <c r="B19" s="239" t="s">
        <v>6302</v>
      </c>
      <c r="C19" s="263">
        <f>1800/C3</f>
        <v>257.14285714285717</v>
      </c>
      <c r="D19" s="263">
        <f>1800/D3</f>
        <v>260.86956521739131</v>
      </c>
      <c r="E19" s="263">
        <f>2000/E3</f>
        <v>318.13698978780263</v>
      </c>
      <c r="F19" s="263">
        <f>2000/F3</f>
        <v>306.03032760546569</v>
      </c>
      <c r="G19" s="263">
        <f>2000/G3</f>
        <v>289.85507246376812</v>
      </c>
      <c r="H19" s="264"/>
      <c r="I19" s="263">
        <f>2000/I3</f>
        <v>289.01734104046244</v>
      </c>
      <c r="J19" s="263">
        <f>2000/J3</f>
        <v>302.11480362537765</v>
      </c>
      <c r="K19" s="263">
        <f>2000/K3</f>
        <v>309.1190108191654</v>
      </c>
      <c r="L19" s="263">
        <f>2000/L3</f>
        <v>313.2783007784966</v>
      </c>
      <c r="M19" s="265"/>
      <c r="N19" s="263">
        <f>2000/N3</f>
        <v>323.00993578562475</v>
      </c>
      <c r="O19" s="263">
        <f>2000/O3</f>
        <v>324.14910858995137</v>
      </c>
      <c r="P19" s="263">
        <f>2000/P3</f>
        <v>326.26427406199019</v>
      </c>
      <c r="Q19" s="263">
        <f>2000/Q3</f>
        <v>326.26427406199019</v>
      </c>
      <c r="R19" s="263">
        <f>1800/R3</f>
        <v>296.05263157894734</v>
      </c>
      <c r="S19" s="263">
        <f>2300/S3</f>
        <v>370.96774193548384</v>
      </c>
      <c r="T19" s="263">
        <f>2300/T3</f>
        <v>370.96774193548384</v>
      </c>
      <c r="U19" s="263">
        <f>2300/U3</f>
        <v>361.63522012578613</v>
      </c>
      <c r="V19" s="263">
        <f>2300/V3</f>
        <v>361.63522012578613</v>
      </c>
      <c r="W19" s="263">
        <f>1500/W3</f>
        <v>236.22047244094489</v>
      </c>
    </row>
    <row r="20" spans="1:26">
      <c r="A20" s="252" t="s">
        <v>6303</v>
      </c>
      <c r="B20" s="252" t="s">
        <v>6304</v>
      </c>
      <c r="C20" s="265"/>
      <c r="D20" s="265"/>
      <c r="E20" s="265"/>
      <c r="F20" s="265"/>
      <c r="G20" s="263"/>
      <c r="H20" s="264"/>
      <c r="I20" s="265"/>
      <c r="J20" s="265"/>
      <c r="K20" s="265"/>
      <c r="L20" s="265"/>
      <c r="M20" s="265"/>
      <c r="N20" s="265"/>
      <c r="O20" s="265"/>
      <c r="P20" s="265"/>
      <c r="Q20" s="263">
        <f>500/Q3</f>
        <v>81.566068515497548</v>
      </c>
      <c r="R20" s="265"/>
      <c r="S20" s="265"/>
      <c r="T20" s="265"/>
      <c r="U20" s="263">
        <f>300/U3</f>
        <v>47.169811320754718</v>
      </c>
      <c r="V20" s="263">
        <f>300/V3</f>
        <v>47.169811320754718</v>
      </c>
      <c r="W20" s="263">
        <f>350/W3</f>
        <v>55.118110236220474</v>
      </c>
    </row>
    <row r="21" spans="1:26" s="255" customFormat="1">
      <c r="A21" s="270" t="s">
        <v>6305</v>
      </c>
      <c r="B21" s="255" t="s">
        <v>6306</v>
      </c>
      <c r="C21" s="271">
        <f>SUM(C6:C20)</f>
        <v>655.24414285714283</v>
      </c>
      <c r="D21" s="271">
        <f>SUM(D6:D20)</f>
        <v>689.05217391304348</v>
      </c>
      <c r="E21" s="271">
        <f>SUM(E6:E20)</f>
        <v>978.07240797887562</v>
      </c>
      <c r="F21" s="271">
        <f>SUM(F6:F20)</f>
        <v>1594.4180068244759</v>
      </c>
      <c r="G21" s="271">
        <f>SUM(G6:G20)</f>
        <v>2099.2276086956517</v>
      </c>
      <c r="H21" s="264"/>
      <c r="I21" s="271">
        <f>SUM(I6:I20)</f>
        <v>1076.192196531792</v>
      </c>
      <c r="J21" s="271">
        <f>SUM(J6:J20)</f>
        <v>1287.6737160120845</v>
      </c>
      <c r="K21" s="271">
        <f>SUM(K6:K20)</f>
        <v>958.27666151468327</v>
      </c>
      <c r="L21" s="271">
        <f>SUM(L6:L20)</f>
        <v>1208.2752463150641</v>
      </c>
      <c r="M21" s="265"/>
      <c r="N21" s="271">
        <f t="shared" ref="N21:V21" si="1">SUM(N6:N20)</f>
        <v>1106.1071488558987</v>
      </c>
      <c r="O21" s="271">
        <f t="shared" si="1"/>
        <v>1272.0948136142626</v>
      </c>
      <c r="P21" s="271">
        <f t="shared" si="1"/>
        <v>1246.5742251223492</v>
      </c>
      <c r="Q21" s="271">
        <f t="shared" si="1"/>
        <v>3012.1685350734097</v>
      </c>
      <c r="R21" s="271">
        <f t="shared" si="1"/>
        <v>873.04579769736824</v>
      </c>
      <c r="S21" s="271">
        <f t="shared" si="1"/>
        <v>1352.3438709677419</v>
      </c>
      <c r="T21" s="271">
        <f t="shared" si="1"/>
        <v>1455.8406225542042</v>
      </c>
      <c r="U21" s="271">
        <f t="shared" si="1"/>
        <v>1319.585175404681</v>
      </c>
      <c r="V21" s="271">
        <f t="shared" si="1"/>
        <v>1136.1770543354983</v>
      </c>
      <c r="W21" s="271">
        <f>SUM(W6:W20)</f>
        <v>2521.1811023622049</v>
      </c>
    </row>
    <row r="22" spans="1:26">
      <c r="A22" s="239" t="s">
        <v>6307</v>
      </c>
      <c r="B22" s="239" t="s">
        <v>6308</v>
      </c>
      <c r="C22" s="260">
        <f>C4*(28)</f>
        <v>327.012</v>
      </c>
      <c r="D22" s="260">
        <f>D4*(28)</f>
        <v>399.78399999999999</v>
      </c>
      <c r="E22" s="260">
        <f>E4*(28)</f>
        <v>595</v>
      </c>
      <c r="F22" s="257">
        <f>F4*(28)</f>
        <v>971.04</v>
      </c>
      <c r="G22" s="272"/>
      <c r="H22" s="273"/>
      <c r="I22" s="257">
        <f>I4*28+2</f>
        <v>535.96</v>
      </c>
      <c r="J22" s="257">
        <f>J4*28</f>
        <v>736.96</v>
      </c>
      <c r="K22" s="257">
        <f>K4*28+2</f>
        <v>393.16</v>
      </c>
      <c r="L22" s="257">
        <f>L4*28</f>
        <v>641.19999999999993</v>
      </c>
      <c r="M22" s="260"/>
      <c r="N22" s="257">
        <f>N4*28</f>
        <v>450.23999999999995</v>
      </c>
      <c r="O22" s="257">
        <f>O4*28.1-0.03</f>
        <v>628.84800000000007</v>
      </c>
      <c r="P22" s="257">
        <f>P4*28.1</f>
        <v>513.33080000000007</v>
      </c>
      <c r="Q22" s="272"/>
      <c r="R22" s="257">
        <f>R4*28.1</f>
        <v>337.56530000000004</v>
      </c>
      <c r="S22" s="257">
        <f>S4*28.1</f>
        <v>658.13009999999997</v>
      </c>
      <c r="T22" s="257">
        <f>T4*28.1</f>
        <v>752.88329999999996</v>
      </c>
      <c r="U22" s="257">
        <f>U4*28.1</f>
        <v>562.08429999999998</v>
      </c>
      <c r="V22" s="257">
        <f>V4*28.1</f>
        <v>562</v>
      </c>
      <c r="W22" s="272"/>
      <c r="X22" s="243"/>
      <c r="Y22" s="243"/>
      <c r="Z22" s="243"/>
    </row>
    <row r="23" spans="1:26">
      <c r="A23" s="239" t="s">
        <v>6307</v>
      </c>
      <c r="B23" s="252" t="s">
        <v>6309</v>
      </c>
      <c r="C23" s="260">
        <f>C4*(3+2)</f>
        <v>58.395000000000003</v>
      </c>
      <c r="D23" s="260">
        <f>D4*(3+2)</f>
        <v>71.39</v>
      </c>
      <c r="E23" s="260">
        <f>E4*(3+2)</f>
        <v>106.25</v>
      </c>
      <c r="F23" s="257">
        <f>F4*(3+2)</f>
        <v>173.4</v>
      </c>
      <c r="G23" s="260"/>
      <c r="H23" s="273"/>
      <c r="I23" s="257">
        <f>I4*2+2</f>
        <v>40.14</v>
      </c>
      <c r="J23" s="257">
        <f>J4*3</f>
        <v>78.960000000000008</v>
      </c>
      <c r="K23" s="257">
        <f>K4*2+2</f>
        <v>29.94</v>
      </c>
      <c r="L23" s="257">
        <f>L4*3</f>
        <v>68.699999999999989</v>
      </c>
      <c r="M23" s="260"/>
      <c r="N23" s="257">
        <f>N4*3</f>
        <v>48.239999999999995</v>
      </c>
      <c r="O23" s="257">
        <f>O4*3</f>
        <v>67.14</v>
      </c>
      <c r="P23" s="257">
        <f>P4*2+0.03</f>
        <v>36.566000000000003</v>
      </c>
      <c r="Q23" s="260"/>
      <c r="R23" s="257">
        <f>R4*2+0.03</f>
        <v>24.056000000000001</v>
      </c>
      <c r="S23" s="272"/>
      <c r="T23" s="272"/>
      <c r="U23" s="272"/>
      <c r="V23" s="272"/>
      <c r="W23" s="260"/>
      <c r="X23" s="243"/>
      <c r="Y23" s="243"/>
      <c r="Z23" s="243"/>
    </row>
    <row r="24" spans="1:26">
      <c r="A24" s="239" t="s">
        <v>6307</v>
      </c>
      <c r="B24" s="239" t="s">
        <v>6310</v>
      </c>
      <c r="C24" s="260">
        <f>C4*5</f>
        <v>58.395000000000003</v>
      </c>
      <c r="D24" s="260">
        <f>D4*5</f>
        <v>71.39</v>
      </c>
      <c r="E24" s="260">
        <f>E4*5</f>
        <v>106.25</v>
      </c>
      <c r="F24" s="257">
        <f>F4*5</f>
        <v>173.4</v>
      </c>
      <c r="G24" s="274">
        <v>140</v>
      </c>
      <c r="H24" s="273"/>
      <c r="I24" s="257">
        <f>I4*4+2</f>
        <v>78.28</v>
      </c>
      <c r="J24" s="257">
        <f>J4*4</f>
        <v>105.28</v>
      </c>
      <c r="K24" s="257">
        <f>K4*4+2</f>
        <v>57.88</v>
      </c>
      <c r="L24" s="257">
        <f>L4*5</f>
        <v>114.5</v>
      </c>
      <c r="M24" s="260"/>
      <c r="N24" s="257">
        <f>N4*5</f>
        <v>80.399999999999991</v>
      </c>
      <c r="O24" s="257">
        <f>O4*5</f>
        <v>111.89999999999999</v>
      </c>
      <c r="P24" s="257">
        <f>P4*5</f>
        <v>91.34</v>
      </c>
      <c r="Q24" s="274">
        <v>140</v>
      </c>
      <c r="R24" s="257">
        <f>R4*5</f>
        <v>60.064999999999998</v>
      </c>
      <c r="S24" s="257">
        <f>S4*5</f>
        <v>117.10499999999999</v>
      </c>
      <c r="T24" s="257">
        <f>T4*5</f>
        <v>133.965</v>
      </c>
      <c r="U24" s="257">
        <f>U4*5</f>
        <v>100.015</v>
      </c>
      <c r="V24" s="257">
        <f>V4*5</f>
        <v>100</v>
      </c>
      <c r="W24" s="274">
        <v>120</v>
      </c>
    </row>
    <row r="25" spans="1:26">
      <c r="A25" s="239" t="s">
        <v>6307</v>
      </c>
      <c r="B25" s="252" t="s">
        <v>6311</v>
      </c>
      <c r="C25" s="260">
        <f>C4*3</f>
        <v>35.036999999999999</v>
      </c>
      <c r="D25" s="260"/>
      <c r="E25" s="260"/>
      <c r="F25" s="257"/>
      <c r="G25" s="260"/>
      <c r="H25" s="273"/>
      <c r="I25" s="257">
        <f>I4*2+2</f>
        <v>40.14</v>
      </c>
      <c r="J25" s="257">
        <f>J4*2</f>
        <v>52.64</v>
      </c>
      <c r="K25" s="257">
        <f>K4*2+2</f>
        <v>29.94</v>
      </c>
      <c r="L25" s="257">
        <f>L4*3</f>
        <v>68.699999999999989</v>
      </c>
      <c r="M25" s="260"/>
      <c r="N25" s="257">
        <f>N4*3</f>
        <v>48.239999999999995</v>
      </c>
      <c r="O25" s="257">
        <f>O4*3</f>
        <v>67.14</v>
      </c>
      <c r="P25" s="257">
        <f>P4*3</f>
        <v>54.804000000000002</v>
      </c>
      <c r="Q25" s="260"/>
      <c r="R25" s="257">
        <f>R4*3</f>
        <v>36.039000000000001</v>
      </c>
      <c r="S25" s="257">
        <f>S4*3</f>
        <v>70.263000000000005</v>
      </c>
      <c r="T25" s="257">
        <f>T4*3</f>
        <v>80.378999999999991</v>
      </c>
      <c r="U25" s="257">
        <f>U4*3</f>
        <v>60.009</v>
      </c>
      <c r="V25" s="257">
        <f>V4*3</f>
        <v>60</v>
      </c>
      <c r="W25" s="274">
        <v>70</v>
      </c>
    </row>
    <row r="26" spans="1:26" s="275" customFormat="1">
      <c r="A26" s="239" t="s">
        <v>6307</v>
      </c>
      <c r="B26" s="252" t="s">
        <v>6312</v>
      </c>
      <c r="C26" s="260">
        <f>C4*3</f>
        <v>35.036999999999999</v>
      </c>
      <c r="D26" s="260">
        <f>D4*3</f>
        <v>42.834000000000003</v>
      </c>
      <c r="E26" s="260">
        <f>E4*3</f>
        <v>63.75</v>
      </c>
      <c r="F26" s="257">
        <f>F4*3</f>
        <v>104.03999999999999</v>
      </c>
      <c r="G26" s="254"/>
      <c r="H26" s="253"/>
      <c r="I26" s="257">
        <f>I4*2+2</f>
        <v>40.14</v>
      </c>
      <c r="J26" s="257">
        <f>J4*3</f>
        <v>78.960000000000008</v>
      </c>
      <c r="K26" s="257">
        <f>K4*2+2</f>
        <v>29.94</v>
      </c>
      <c r="L26" s="257">
        <f>L4*3</f>
        <v>68.699999999999989</v>
      </c>
      <c r="M26" s="260"/>
      <c r="N26" s="257">
        <v>35</v>
      </c>
      <c r="O26" s="254"/>
      <c r="P26" s="254"/>
      <c r="Q26" s="254"/>
      <c r="R26" s="254"/>
      <c r="S26" s="254"/>
      <c r="T26" s="254"/>
      <c r="U26" s="254"/>
      <c r="V26" s="254"/>
      <c r="W26" s="254"/>
    </row>
    <row r="27" spans="1:26" s="275" customFormat="1">
      <c r="A27" s="239" t="s">
        <v>6307</v>
      </c>
      <c r="B27" s="252" t="s">
        <v>6313</v>
      </c>
      <c r="C27" s="260">
        <f>C4*3</f>
        <v>35.036999999999999</v>
      </c>
      <c r="D27" s="260"/>
      <c r="E27" s="260"/>
      <c r="F27" s="257"/>
      <c r="G27" s="254"/>
      <c r="H27" s="253"/>
      <c r="I27" s="257"/>
      <c r="J27" s="257"/>
      <c r="K27" s="257"/>
      <c r="L27" s="257"/>
      <c r="M27" s="260"/>
      <c r="N27" s="257"/>
      <c r="O27" s="254"/>
      <c r="P27" s="254"/>
      <c r="Q27" s="254"/>
      <c r="R27" s="254"/>
      <c r="S27" s="254"/>
      <c r="T27" s="254"/>
      <c r="U27" s="254"/>
      <c r="V27" s="254"/>
      <c r="W27" s="254"/>
    </row>
    <row r="28" spans="1:26">
      <c r="A28" s="239" t="s">
        <v>6307</v>
      </c>
      <c r="B28" s="275" t="s">
        <v>6314</v>
      </c>
      <c r="C28" s="254">
        <v>80</v>
      </c>
      <c r="D28" s="254">
        <v>70</v>
      </c>
      <c r="E28" s="254">
        <v>70</v>
      </c>
      <c r="F28" s="276">
        <v>70</v>
      </c>
      <c r="G28" s="276">
        <v>65</v>
      </c>
      <c r="H28" s="253"/>
      <c r="I28" s="276">
        <v>65</v>
      </c>
      <c r="J28" s="276">
        <v>70</v>
      </c>
      <c r="K28" s="276">
        <v>65</v>
      </c>
      <c r="L28" s="276">
        <v>65</v>
      </c>
      <c r="M28" s="254"/>
      <c r="N28" s="276">
        <v>65</v>
      </c>
      <c r="O28" s="276">
        <v>65</v>
      </c>
      <c r="P28" s="276">
        <v>65</v>
      </c>
      <c r="Q28" s="276">
        <v>65</v>
      </c>
      <c r="R28" s="276">
        <v>65</v>
      </c>
      <c r="S28" s="276">
        <v>65</v>
      </c>
      <c r="T28" s="276">
        <v>65</v>
      </c>
      <c r="U28" s="276">
        <v>65</v>
      </c>
      <c r="V28" s="276">
        <v>65</v>
      </c>
      <c r="W28" s="276">
        <v>65</v>
      </c>
    </row>
    <row r="29" spans="1:26" s="275" customFormat="1">
      <c r="A29" s="239" t="s">
        <v>6307</v>
      </c>
      <c r="B29" s="252" t="s">
        <v>6315</v>
      </c>
      <c r="C29" s="254"/>
      <c r="D29" s="254">
        <v>25</v>
      </c>
      <c r="E29" s="254">
        <v>25</v>
      </c>
      <c r="F29" s="276">
        <v>25</v>
      </c>
      <c r="G29" s="254"/>
      <c r="H29" s="253"/>
      <c r="I29" s="276">
        <v>25</v>
      </c>
      <c r="J29" s="276">
        <v>25</v>
      </c>
      <c r="K29" s="276">
        <v>25</v>
      </c>
      <c r="L29" s="254"/>
      <c r="M29" s="254"/>
      <c r="N29" s="254"/>
      <c r="O29" s="254"/>
      <c r="P29" s="254"/>
      <c r="Q29" s="254"/>
      <c r="R29" s="254"/>
      <c r="S29" s="254"/>
      <c r="T29" s="254"/>
      <c r="U29" s="254"/>
      <c r="V29" s="254"/>
      <c r="W29" s="254"/>
    </row>
    <row r="30" spans="1:26" s="275" customFormat="1">
      <c r="A30" s="239" t="s">
        <v>6307</v>
      </c>
      <c r="B30" s="275" t="s">
        <v>6316</v>
      </c>
      <c r="C30" s="254"/>
      <c r="D30" s="254"/>
      <c r="E30" s="254"/>
      <c r="F30" s="254"/>
      <c r="G30" s="254"/>
      <c r="H30" s="253"/>
      <c r="I30" s="254"/>
      <c r="J30" s="254"/>
      <c r="K30" s="254"/>
      <c r="L30" s="254"/>
      <c r="M30" s="254"/>
      <c r="N30" s="254">
        <v>112</v>
      </c>
      <c r="O30" s="254"/>
      <c r="P30" s="254"/>
      <c r="Q30" s="254"/>
      <c r="R30" s="254"/>
      <c r="S30" s="254"/>
      <c r="T30" s="254"/>
      <c r="U30" s="254"/>
      <c r="V30" s="254"/>
      <c r="W30" s="254"/>
    </row>
    <row r="31" spans="1:26" s="275" customFormat="1">
      <c r="A31" s="239" t="s">
        <v>6307</v>
      </c>
      <c r="B31" s="275" t="s">
        <v>6317</v>
      </c>
      <c r="C31" s="254"/>
      <c r="D31" s="254"/>
      <c r="E31" s="254">
        <v>65</v>
      </c>
      <c r="F31" s="254">
        <v>65</v>
      </c>
      <c r="G31" s="254"/>
      <c r="H31" s="253"/>
      <c r="I31" s="254"/>
      <c r="J31" s="254">
        <v>65</v>
      </c>
      <c r="K31" s="254"/>
      <c r="L31" s="277">
        <f>L4*2</f>
        <v>45.8</v>
      </c>
      <c r="M31" s="254"/>
      <c r="N31" s="254"/>
      <c r="O31" s="254"/>
      <c r="P31" s="254"/>
      <c r="Q31" s="254"/>
      <c r="R31" s="254"/>
      <c r="S31" s="254"/>
      <c r="T31" s="254"/>
      <c r="U31" s="254"/>
      <c r="V31" s="254"/>
      <c r="W31" s="254"/>
    </row>
    <row r="32" spans="1:26">
      <c r="A32" s="239" t="s">
        <v>6318</v>
      </c>
      <c r="B32" s="275" t="s">
        <v>6306</v>
      </c>
      <c r="C32" s="265">
        <f>SUM(C22:C31)</f>
        <v>628.91300000000001</v>
      </c>
      <c r="D32" s="265">
        <f>SUM(D22:D31)</f>
        <v>680.39799999999991</v>
      </c>
      <c r="E32" s="265">
        <f>SUM(E22:E31)</f>
        <v>1031.25</v>
      </c>
      <c r="F32" s="265">
        <f>SUM(F22:F31)</f>
        <v>1581.88</v>
      </c>
      <c r="G32" s="265">
        <f>SUM(G22:G29)</f>
        <v>205</v>
      </c>
      <c r="H32" s="264"/>
      <c r="I32" s="265">
        <f>SUM(I22:I31)</f>
        <v>824.66</v>
      </c>
      <c r="J32" s="265">
        <f>SUM(J22:J31)</f>
        <v>1212.8</v>
      </c>
      <c r="K32" s="265">
        <f>SUM(K22:K31)</f>
        <v>630.86</v>
      </c>
      <c r="L32" s="265">
        <f>SUM(L22:L31)</f>
        <v>1072.5999999999999</v>
      </c>
      <c r="M32" s="265"/>
      <c r="N32" s="265">
        <f t="shared" ref="N32:W32" si="2">SUM(N22:N31)</f>
        <v>839.12</v>
      </c>
      <c r="O32" s="265">
        <f t="shared" si="2"/>
        <v>940.02800000000002</v>
      </c>
      <c r="P32" s="265">
        <f t="shared" si="2"/>
        <v>761.0408000000001</v>
      </c>
      <c r="Q32" s="265">
        <f t="shared" si="2"/>
        <v>205</v>
      </c>
      <c r="R32" s="265">
        <f t="shared" si="2"/>
        <v>522.72530000000006</v>
      </c>
      <c r="S32" s="265">
        <f t="shared" si="2"/>
        <v>910.49810000000002</v>
      </c>
      <c r="T32" s="265">
        <f t="shared" si="2"/>
        <v>1032.2273</v>
      </c>
      <c r="U32" s="265">
        <f t="shared" si="2"/>
        <v>787.10829999999999</v>
      </c>
      <c r="V32" s="265">
        <f t="shared" si="2"/>
        <v>787</v>
      </c>
      <c r="W32" s="265">
        <f t="shared" si="2"/>
        <v>255</v>
      </c>
    </row>
    <row r="33" spans="1:23" s="255" customFormat="1" ht="6.75" customHeight="1">
      <c r="C33" s="256"/>
      <c r="D33" s="256"/>
      <c r="E33" s="256"/>
      <c r="F33" s="256"/>
      <c r="G33" s="256"/>
      <c r="H33" s="253"/>
      <c r="I33" s="256"/>
      <c r="J33" s="256"/>
      <c r="K33" s="256"/>
      <c r="L33" s="256"/>
      <c r="M33" s="256"/>
      <c r="N33" s="256"/>
      <c r="O33" s="256"/>
      <c r="P33" s="256"/>
      <c r="Q33" s="256"/>
      <c r="R33" s="256"/>
      <c r="S33" s="256"/>
      <c r="T33" s="256"/>
      <c r="U33" s="256"/>
      <c r="V33" s="256"/>
      <c r="W33" s="256"/>
    </row>
    <row r="34" spans="1:23">
      <c r="A34" s="239" t="s">
        <v>6319</v>
      </c>
      <c r="B34" s="239" t="s">
        <v>6320</v>
      </c>
      <c r="C34" s="276">
        <f>267.5+32.1+17.4+2.32</f>
        <v>319.32</v>
      </c>
      <c r="D34" s="276"/>
      <c r="E34" s="276"/>
      <c r="F34" s="276"/>
      <c r="G34" s="276">
        <v>89.1</v>
      </c>
      <c r="H34" s="253"/>
      <c r="I34" s="276"/>
      <c r="J34" s="276">
        <v>60</v>
      </c>
      <c r="K34" s="276">
        <v>150.66</v>
      </c>
      <c r="L34" s="276">
        <v>144.37</v>
      </c>
      <c r="M34" s="275" t="s">
        <v>6321</v>
      </c>
      <c r="N34" s="276">
        <v>46.04</v>
      </c>
      <c r="O34" s="276">
        <v>43.77</v>
      </c>
      <c r="P34" s="276">
        <v>33.75</v>
      </c>
      <c r="Q34" s="276">
        <v>89.1</v>
      </c>
      <c r="R34" s="276">
        <v>33.75</v>
      </c>
      <c r="S34" s="276">
        <v>42.69</v>
      </c>
      <c r="T34" s="276">
        <v>38.68</v>
      </c>
      <c r="U34" s="276">
        <v>37.67</v>
      </c>
      <c r="V34" s="276">
        <v>35.979999999999997</v>
      </c>
      <c r="W34" s="276">
        <v>55.89</v>
      </c>
    </row>
    <row r="35" spans="1:23">
      <c r="A35" s="239" t="s">
        <v>6319</v>
      </c>
      <c r="B35" s="239" t="s">
        <v>6356</v>
      </c>
      <c r="C35" s="276">
        <f>44.04+3.71+0.4</f>
        <v>48.15</v>
      </c>
      <c r="D35" s="276">
        <v>341.47</v>
      </c>
      <c r="E35" s="276"/>
      <c r="F35" s="276"/>
      <c r="G35" s="276"/>
      <c r="H35" s="253"/>
      <c r="I35" s="276"/>
      <c r="J35" s="276"/>
      <c r="K35" s="276"/>
      <c r="L35" s="276"/>
      <c r="N35" s="276"/>
      <c r="O35" s="276"/>
      <c r="P35" s="276"/>
      <c r="Q35" s="276"/>
      <c r="R35" s="276"/>
      <c r="S35" s="276"/>
      <c r="T35" s="276"/>
      <c r="U35" s="276"/>
      <c r="V35" s="276"/>
      <c r="W35" s="276"/>
    </row>
    <row r="36" spans="1:23">
      <c r="A36" s="239" t="s">
        <v>6319</v>
      </c>
      <c r="B36" s="239" t="s">
        <v>6357</v>
      </c>
      <c r="C36" s="276">
        <f>15.89+1.34+0.15</f>
        <v>17.38</v>
      </c>
      <c r="D36" s="276">
        <v>123.22</v>
      </c>
      <c r="E36" s="276"/>
      <c r="F36" s="276"/>
      <c r="G36" s="276"/>
      <c r="H36" s="253"/>
      <c r="I36" s="276"/>
      <c r="J36" s="276"/>
      <c r="K36" s="276"/>
      <c r="L36" s="276"/>
      <c r="N36" s="276"/>
      <c r="O36" s="276"/>
      <c r="P36" s="276"/>
      <c r="Q36" s="276"/>
      <c r="R36" s="276"/>
      <c r="S36" s="276"/>
      <c r="T36" s="276"/>
      <c r="U36" s="276"/>
      <c r="V36" s="276"/>
      <c r="W36" s="276"/>
    </row>
    <row r="37" spans="1:23">
      <c r="A37" s="239" t="s">
        <v>6319</v>
      </c>
      <c r="B37" s="239" t="s">
        <v>6322</v>
      </c>
      <c r="C37" s="276"/>
      <c r="D37" s="276"/>
      <c r="E37" s="276"/>
      <c r="F37" s="276"/>
      <c r="G37" s="276">
        <v>15</v>
      </c>
      <c r="H37" s="253"/>
      <c r="I37" s="276"/>
      <c r="J37" s="276"/>
      <c r="K37" s="276"/>
      <c r="L37" s="276"/>
      <c r="M37" s="275" t="s">
        <v>6321</v>
      </c>
      <c r="N37" s="276">
        <v>15</v>
      </c>
      <c r="O37" s="276">
        <v>15</v>
      </c>
      <c r="P37" s="276">
        <v>15</v>
      </c>
      <c r="Q37" s="276">
        <v>15</v>
      </c>
      <c r="R37" s="276">
        <v>15</v>
      </c>
      <c r="S37" s="276">
        <v>15</v>
      </c>
      <c r="T37" s="276">
        <v>15</v>
      </c>
      <c r="U37" s="276">
        <v>15</v>
      </c>
      <c r="V37" s="276">
        <v>15</v>
      </c>
      <c r="W37" s="276">
        <v>15</v>
      </c>
    </row>
    <row r="38" spans="1:23">
      <c r="A38" s="239" t="s">
        <v>6319</v>
      </c>
      <c r="B38" s="239" t="s">
        <v>6323</v>
      </c>
      <c r="C38" s="276">
        <v>85</v>
      </c>
      <c r="D38" s="276">
        <v>85</v>
      </c>
      <c r="E38" s="276"/>
      <c r="F38" s="276"/>
      <c r="G38" s="276">
        <v>85</v>
      </c>
      <c r="H38" s="253"/>
      <c r="I38" s="276"/>
      <c r="J38" s="276">
        <v>85</v>
      </c>
      <c r="K38" s="276">
        <v>85</v>
      </c>
      <c r="L38" s="276">
        <v>85</v>
      </c>
      <c r="M38" s="275" t="s">
        <v>6321</v>
      </c>
      <c r="N38" s="276">
        <v>85</v>
      </c>
      <c r="O38" s="276">
        <v>85</v>
      </c>
      <c r="P38" s="276">
        <v>85</v>
      </c>
      <c r="Q38" s="276">
        <v>85</v>
      </c>
      <c r="R38" s="276">
        <v>85</v>
      </c>
      <c r="S38" s="276">
        <v>85</v>
      </c>
      <c r="T38" s="276">
        <v>85</v>
      </c>
      <c r="U38" s="276">
        <v>85</v>
      </c>
      <c r="V38" s="276">
        <v>85</v>
      </c>
      <c r="W38" s="276">
        <v>85</v>
      </c>
    </row>
    <row r="39" spans="1:23">
      <c r="A39" s="239" t="s">
        <v>6319</v>
      </c>
      <c r="B39" s="239" t="s">
        <v>6324</v>
      </c>
      <c r="C39" s="276"/>
      <c r="D39" s="276"/>
      <c r="E39" s="276"/>
      <c r="F39" s="276"/>
      <c r="G39" s="276">
        <v>10</v>
      </c>
      <c r="H39" s="253"/>
      <c r="I39" s="276"/>
      <c r="J39" s="276"/>
      <c r="K39" s="276"/>
      <c r="L39" s="276"/>
      <c r="M39" s="275" t="s">
        <v>6321</v>
      </c>
      <c r="N39" s="276">
        <v>10</v>
      </c>
      <c r="O39" s="276">
        <v>10</v>
      </c>
      <c r="P39" s="276">
        <v>10</v>
      </c>
      <c r="Q39" s="276">
        <v>10</v>
      </c>
      <c r="R39" s="276">
        <v>10</v>
      </c>
      <c r="S39" s="276">
        <v>10</v>
      </c>
      <c r="T39" s="276">
        <v>10</v>
      </c>
      <c r="U39" s="276">
        <v>10</v>
      </c>
      <c r="V39" s="276">
        <v>10</v>
      </c>
      <c r="W39" s="276">
        <v>10</v>
      </c>
    </row>
    <row r="40" spans="1:23">
      <c r="A40" s="239" t="s">
        <v>6319</v>
      </c>
      <c r="B40" s="239" t="s">
        <v>6325</v>
      </c>
      <c r="C40" s="276"/>
      <c r="D40" s="276"/>
      <c r="E40" s="276"/>
      <c r="F40" s="276"/>
      <c r="G40" s="276">
        <v>20</v>
      </c>
      <c r="H40" s="253"/>
      <c r="I40" s="276"/>
      <c r="J40" s="276"/>
      <c r="K40" s="276"/>
      <c r="L40" s="276"/>
      <c r="M40" s="275" t="s">
        <v>6321</v>
      </c>
      <c r="N40" s="276">
        <v>20</v>
      </c>
      <c r="O40" s="276">
        <v>20</v>
      </c>
      <c r="P40" s="276">
        <v>20</v>
      </c>
      <c r="Q40" s="276">
        <v>20</v>
      </c>
      <c r="R40" s="276">
        <v>20</v>
      </c>
      <c r="S40" s="276">
        <v>20</v>
      </c>
      <c r="T40" s="276">
        <v>20</v>
      </c>
      <c r="U40" s="276">
        <v>20</v>
      </c>
      <c r="V40" s="276">
        <v>20</v>
      </c>
      <c r="W40" s="276">
        <v>20</v>
      </c>
    </row>
    <row r="41" spans="1:23">
      <c r="A41" s="239" t="s">
        <v>6319</v>
      </c>
      <c r="B41" s="239" t="s">
        <v>6326</v>
      </c>
      <c r="C41" s="276">
        <v>225</v>
      </c>
      <c r="D41" s="276">
        <v>275</v>
      </c>
      <c r="E41" s="276"/>
      <c r="F41" s="276"/>
      <c r="G41" s="276">
        <v>320</v>
      </c>
      <c r="H41" s="253"/>
      <c r="I41" s="276"/>
      <c r="J41" s="276">
        <v>270.37</v>
      </c>
      <c r="K41" s="276">
        <v>413.14</v>
      </c>
      <c r="L41" s="276">
        <v>270.37</v>
      </c>
      <c r="M41" s="275" t="s">
        <v>6321</v>
      </c>
      <c r="N41" s="276">
        <v>260</v>
      </c>
      <c r="O41" s="276">
        <v>260</v>
      </c>
      <c r="P41" s="276">
        <v>260</v>
      </c>
      <c r="Q41" s="276">
        <v>320</v>
      </c>
      <c r="R41" s="276">
        <v>260</v>
      </c>
      <c r="S41" s="276">
        <v>250</v>
      </c>
      <c r="T41" s="276">
        <v>250</v>
      </c>
      <c r="U41" s="276">
        <v>250</v>
      </c>
      <c r="V41" s="276">
        <v>250</v>
      </c>
      <c r="W41" s="276">
        <v>250</v>
      </c>
    </row>
    <row r="42" spans="1:23">
      <c r="A42" s="239" t="s">
        <v>6319</v>
      </c>
      <c r="B42" s="239" t="s">
        <v>6327</v>
      </c>
      <c r="C42" s="261"/>
      <c r="D42" s="261"/>
      <c r="E42" s="261"/>
      <c r="F42" s="261"/>
      <c r="G42" s="261">
        <f>G41*0.15</f>
        <v>48</v>
      </c>
      <c r="H42" s="253"/>
      <c r="I42" s="261"/>
      <c r="J42" s="261"/>
      <c r="K42" s="261"/>
      <c r="L42" s="261"/>
      <c r="M42" s="275" t="s">
        <v>6321</v>
      </c>
      <c r="N42" s="261">
        <f>N41*0.2</f>
        <v>52</v>
      </c>
      <c r="O42" s="261">
        <f>O41*0.2</f>
        <v>52</v>
      </c>
      <c r="P42" s="261">
        <f t="shared" ref="P42:W42" si="3">P41*0.2</f>
        <v>52</v>
      </c>
      <c r="Q42" s="261">
        <f t="shared" si="3"/>
        <v>64</v>
      </c>
      <c r="R42" s="261">
        <f t="shared" si="3"/>
        <v>52</v>
      </c>
      <c r="S42" s="261">
        <f t="shared" si="3"/>
        <v>50</v>
      </c>
      <c r="T42" s="261">
        <f t="shared" si="3"/>
        <v>50</v>
      </c>
      <c r="U42" s="261">
        <f t="shared" si="3"/>
        <v>50</v>
      </c>
      <c r="V42" s="261">
        <f t="shared" si="3"/>
        <v>50</v>
      </c>
      <c r="W42" s="261">
        <f t="shared" si="3"/>
        <v>50</v>
      </c>
    </row>
    <row r="43" spans="1:23">
      <c r="A43" s="239" t="s">
        <v>6319</v>
      </c>
      <c r="B43" s="239" t="s">
        <v>6328</v>
      </c>
      <c r="C43" s="276"/>
      <c r="D43" s="276"/>
      <c r="E43" s="276"/>
      <c r="F43" s="276"/>
      <c r="G43" s="276">
        <v>20</v>
      </c>
      <c r="H43" s="253"/>
      <c r="I43" s="276"/>
      <c r="J43" s="276"/>
      <c r="K43" s="276"/>
      <c r="L43" s="276"/>
      <c r="M43" s="275" t="s">
        <v>6321</v>
      </c>
      <c r="N43" s="276">
        <v>20</v>
      </c>
      <c r="O43" s="276">
        <v>20</v>
      </c>
      <c r="P43" s="276">
        <v>20</v>
      </c>
      <c r="Q43" s="276">
        <v>20</v>
      </c>
      <c r="R43" s="276">
        <v>20</v>
      </c>
      <c r="S43" s="276">
        <v>20</v>
      </c>
      <c r="T43" s="276">
        <v>20</v>
      </c>
      <c r="U43" s="276">
        <v>20</v>
      </c>
      <c r="V43" s="276">
        <v>20</v>
      </c>
      <c r="W43" s="276">
        <v>20</v>
      </c>
    </row>
    <row r="44" spans="1:23">
      <c r="A44" s="239" t="s">
        <v>6319</v>
      </c>
      <c r="B44" s="239" t="s">
        <v>6329</v>
      </c>
      <c r="C44" s="276">
        <v>187.64</v>
      </c>
      <c r="D44" s="276">
        <v>215</v>
      </c>
      <c r="E44" s="276"/>
      <c r="F44" s="276"/>
      <c r="G44" s="254"/>
      <c r="H44" s="253"/>
      <c r="I44" s="276"/>
      <c r="J44" s="276">
        <v>250.45</v>
      </c>
      <c r="K44" s="276"/>
      <c r="L44" s="276">
        <v>250.45</v>
      </c>
      <c r="M44" s="275" t="s">
        <v>6321</v>
      </c>
      <c r="N44" s="276">
        <v>230.57</v>
      </c>
      <c r="O44" s="276">
        <v>245</v>
      </c>
      <c r="P44" s="276">
        <v>94.07</v>
      </c>
      <c r="Q44" s="254"/>
      <c r="R44" s="276">
        <v>94.07</v>
      </c>
      <c r="S44" s="276">
        <v>173.95</v>
      </c>
      <c r="T44" s="276">
        <v>197.53</v>
      </c>
      <c r="U44" s="276">
        <v>150.03</v>
      </c>
      <c r="V44" s="276">
        <v>150</v>
      </c>
      <c r="W44" s="254"/>
    </row>
    <row r="45" spans="1:23">
      <c r="A45" s="239" t="s">
        <v>6319</v>
      </c>
      <c r="B45" s="239" t="s">
        <v>6330</v>
      </c>
      <c r="C45" s="276">
        <v>35</v>
      </c>
      <c r="D45" s="276">
        <v>35</v>
      </c>
      <c r="E45" s="276"/>
      <c r="F45" s="276"/>
      <c r="G45" s="276">
        <v>45</v>
      </c>
      <c r="H45" s="253"/>
      <c r="I45" s="276"/>
      <c r="J45" s="276">
        <v>35</v>
      </c>
      <c r="K45" s="276">
        <v>35</v>
      </c>
      <c r="L45" s="276">
        <v>35</v>
      </c>
      <c r="M45" s="275" t="s">
        <v>6321</v>
      </c>
      <c r="N45" s="276">
        <v>45</v>
      </c>
      <c r="O45" s="276">
        <v>45</v>
      </c>
      <c r="P45" s="276">
        <v>45</v>
      </c>
      <c r="Q45" s="276">
        <v>45</v>
      </c>
      <c r="R45" s="276">
        <v>45</v>
      </c>
      <c r="S45" s="276">
        <v>45</v>
      </c>
      <c r="T45" s="276">
        <v>45</v>
      </c>
      <c r="U45" s="254"/>
      <c r="V45" s="254"/>
      <c r="W45" s="276">
        <v>25</v>
      </c>
    </row>
    <row r="46" spans="1:23">
      <c r="A46" s="239" t="s">
        <v>6319</v>
      </c>
      <c r="B46" s="239" t="s">
        <v>6331</v>
      </c>
      <c r="C46" s="254">
        <v>50</v>
      </c>
      <c r="D46" s="254">
        <v>50</v>
      </c>
      <c r="E46" s="254"/>
      <c r="F46" s="254"/>
      <c r="G46" s="254"/>
      <c r="H46" s="253"/>
      <c r="I46" s="254"/>
      <c r="J46" s="254"/>
      <c r="K46" s="254"/>
      <c r="L46" s="254"/>
      <c r="M46" s="275" t="s">
        <v>6321</v>
      </c>
      <c r="N46" s="243"/>
      <c r="O46" s="243"/>
      <c r="P46" s="243"/>
      <c r="Q46" s="243"/>
      <c r="R46" s="243"/>
      <c r="S46" s="243"/>
      <c r="T46" s="243"/>
      <c r="U46" s="276">
        <v>49.5</v>
      </c>
      <c r="V46" s="243"/>
      <c r="W46" s="243"/>
    </row>
    <row r="47" spans="1:23">
      <c r="A47" s="239" t="s">
        <v>6319</v>
      </c>
      <c r="B47" s="239" t="s">
        <v>6332</v>
      </c>
      <c r="C47" s="243">
        <v>75</v>
      </c>
      <c r="D47" s="243">
        <v>250</v>
      </c>
      <c r="E47" s="243"/>
      <c r="F47" s="243"/>
      <c r="G47" s="243"/>
      <c r="H47" s="253"/>
      <c r="I47" s="243"/>
      <c r="J47" s="243"/>
      <c r="K47" s="243"/>
      <c r="L47" s="243"/>
      <c r="M47" s="275" t="s">
        <v>6321</v>
      </c>
      <c r="N47" s="243"/>
      <c r="O47" s="243"/>
      <c r="P47" s="243"/>
      <c r="Q47" s="243">
        <f>3*28</f>
        <v>84</v>
      </c>
      <c r="R47" s="243"/>
      <c r="S47" s="243"/>
      <c r="T47" s="243"/>
      <c r="U47" s="276"/>
      <c r="V47" s="243"/>
      <c r="W47" s="243"/>
    </row>
    <row r="48" spans="1:23">
      <c r="A48" s="239" t="s">
        <v>6319</v>
      </c>
      <c r="B48" s="239" t="s">
        <v>6333</v>
      </c>
      <c r="C48" s="243">
        <v>25</v>
      </c>
      <c r="D48" s="243"/>
      <c r="E48" s="243"/>
      <c r="F48" s="243"/>
      <c r="G48" s="243"/>
      <c r="H48" s="253"/>
      <c r="I48" s="243"/>
      <c r="J48" s="243"/>
      <c r="K48" s="243"/>
      <c r="L48" s="243"/>
      <c r="M48" s="275" t="s">
        <v>6321</v>
      </c>
      <c r="N48" s="243"/>
      <c r="O48" s="243"/>
      <c r="P48" s="243"/>
      <c r="Q48" s="243">
        <f>230+20*2+1564.8</f>
        <v>1834.8</v>
      </c>
      <c r="R48" s="243"/>
      <c r="S48" s="243"/>
      <c r="T48" s="276">
        <v>425</v>
      </c>
      <c r="U48" s="243"/>
      <c r="V48" s="243"/>
      <c r="W48" s="243"/>
    </row>
    <row r="49" spans="1:23">
      <c r="A49" s="239" t="s">
        <v>6319</v>
      </c>
      <c r="B49" s="252" t="s">
        <v>6334</v>
      </c>
      <c r="C49" s="243"/>
      <c r="D49" s="243"/>
      <c r="E49" s="243"/>
      <c r="F49" s="243"/>
      <c r="G49" s="243"/>
      <c r="H49" s="253"/>
      <c r="I49" s="243"/>
      <c r="J49" s="243"/>
      <c r="K49" s="243"/>
      <c r="L49" s="243"/>
      <c r="M49" s="275" t="s">
        <v>6321</v>
      </c>
      <c r="N49" s="243"/>
      <c r="O49" s="243"/>
      <c r="P49" s="243"/>
      <c r="Q49" s="243"/>
      <c r="R49" s="243"/>
      <c r="S49" s="243"/>
      <c r="T49" s="276">
        <v>35</v>
      </c>
      <c r="U49" s="243"/>
      <c r="V49" s="243"/>
      <c r="W49" s="243"/>
    </row>
    <row r="50" spans="1:23">
      <c r="A50" s="239" t="s">
        <v>6319</v>
      </c>
      <c r="B50" s="239" t="s">
        <v>6335</v>
      </c>
      <c r="C50" s="243"/>
      <c r="D50" s="243"/>
      <c r="E50" s="243"/>
      <c r="F50" s="243"/>
      <c r="G50" s="243"/>
      <c r="H50" s="253"/>
      <c r="I50" s="243"/>
      <c r="J50" s="243"/>
      <c r="K50" s="243"/>
      <c r="L50" s="243"/>
      <c r="M50" s="275" t="s">
        <v>6321</v>
      </c>
      <c r="N50" s="260"/>
      <c r="O50" s="260"/>
      <c r="P50" s="260"/>
      <c r="Q50" s="260">
        <v>133</v>
      </c>
      <c r="R50" s="260"/>
      <c r="S50" s="260"/>
      <c r="T50" s="260"/>
      <c r="U50" s="260"/>
      <c r="V50" s="260"/>
      <c r="W50" s="260"/>
    </row>
    <row r="51" spans="1:23">
      <c r="A51" s="239" t="s">
        <v>6319</v>
      </c>
      <c r="B51" s="239" t="s">
        <v>6336</v>
      </c>
      <c r="C51" s="243"/>
      <c r="D51" s="243"/>
      <c r="E51" s="243"/>
      <c r="F51" s="243"/>
      <c r="G51" s="243"/>
      <c r="H51" s="253"/>
      <c r="I51" s="243"/>
      <c r="J51" s="243"/>
      <c r="K51" s="243"/>
      <c r="L51" s="243"/>
      <c r="M51" s="275" t="s">
        <v>6321</v>
      </c>
      <c r="N51" s="278">
        <v>20</v>
      </c>
      <c r="O51" s="278">
        <v>20</v>
      </c>
      <c r="P51" s="243"/>
      <c r="Q51" s="243">
        <f>10</f>
        <v>10</v>
      </c>
      <c r="R51" s="243"/>
      <c r="S51" s="243"/>
      <c r="T51" s="276">
        <v>10</v>
      </c>
      <c r="U51" s="243"/>
      <c r="V51" s="243"/>
      <c r="W51" s="243"/>
    </row>
    <row r="52" spans="1:23">
      <c r="A52" s="239" t="s">
        <v>6319</v>
      </c>
      <c r="B52" s="239" t="s">
        <v>6310</v>
      </c>
      <c r="C52" s="260"/>
      <c r="D52" s="260"/>
      <c r="E52" s="260"/>
      <c r="F52" s="260"/>
      <c r="G52" s="260">
        <v>133</v>
      </c>
      <c r="H52" s="273"/>
      <c r="I52" s="260"/>
      <c r="J52" s="260"/>
      <c r="K52" s="260"/>
      <c r="L52" s="260"/>
      <c r="M52" s="275" t="s">
        <v>6321</v>
      </c>
      <c r="N52" s="243"/>
      <c r="O52" s="243"/>
      <c r="P52" s="243"/>
      <c r="Q52" s="243">
        <v>70</v>
      </c>
      <c r="R52" s="243"/>
      <c r="S52" s="243"/>
      <c r="T52" s="276">
        <v>280</v>
      </c>
      <c r="U52" s="243"/>
      <c r="V52" s="243"/>
      <c r="W52" s="243"/>
    </row>
    <row r="53" spans="1:23">
      <c r="A53" s="239" t="s">
        <v>6319</v>
      </c>
      <c r="B53" s="239" t="s">
        <v>6337</v>
      </c>
      <c r="C53" s="243"/>
      <c r="D53" s="243"/>
      <c r="E53" s="243"/>
      <c r="F53" s="243"/>
      <c r="G53" s="243"/>
      <c r="H53" s="253"/>
      <c r="I53" s="243"/>
      <c r="J53" s="243"/>
      <c r="K53" s="243"/>
      <c r="L53" s="243"/>
      <c r="M53" s="275" t="s">
        <v>6321</v>
      </c>
      <c r="N53" s="243"/>
      <c r="O53" s="243"/>
      <c r="P53" s="243"/>
      <c r="Q53" s="243"/>
      <c r="R53" s="243"/>
      <c r="S53" s="243"/>
      <c r="T53" s="261">
        <f>T52*0.15</f>
        <v>42</v>
      </c>
      <c r="U53" s="243"/>
      <c r="V53" s="243"/>
      <c r="W53" s="243"/>
    </row>
    <row r="54" spans="1:23">
      <c r="A54" s="239" t="s">
        <v>6319</v>
      </c>
      <c r="B54" s="239" t="s">
        <v>6338</v>
      </c>
      <c r="C54" s="243"/>
      <c r="D54" s="243"/>
      <c r="E54" s="243"/>
      <c r="F54" s="243"/>
      <c r="G54" s="243"/>
      <c r="H54" s="253"/>
      <c r="I54" s="243"/>
      <c r="J54" s="243"/>
      <c r="K54" s="243"/>
      <c r="L54" s="243"/>
      <c r="M54" s="275" t="s">
        <v>6321</v>
      </c>
      <c r="N54" s="243"/>
      <c r="O54" s="243"/>
      <c r="P54" s="243"/>
      <c r="Q54" s="243">
        <f>3*25</f>
        <v>75</v>
      </c>
      <c r="R54" s="243"/>
      <c r="S54" s="243"/>
      <c r="T54" s="243"/>
      <c r="U54" s="243"/>
      <c r="V54" s="243"/>
      <c r="W54" s="243"/>
    </row>
    <row r="55" spans="1:23">
      <c r="A55" s="239" t="s">
        <v>6319</v>
      </c>
      <c r="B55" s="239" t="s">
        <v>6339</v>
      </c>
      <c r="C55" s="243"/>
      <c r="D55" s="243"/>
      <c r="E55" s="243"/>
      <c r="F55" s="243"/>
      <c r="G55" s="243"/>
      <c r="H55" s="253"/>
      <c r="I55" s="243"/>
      <c r="J55" s="243"/>
      <c r="K55" s="243"/>
      <c r="L55" s="243"/>
      <c r="M55" s="275" t="s">
        <v>6321</v>
      </c>
      <c r="N55" s="243"/>
      <c r="O55" s="243"/>
      <c r="P55" s="243"/>
      <c r="Q55" s="243">
        <f>5*85+140</f>
        <v>565</v>
      </c>
      <c r="R55" s="243"/>
      <c r="S55" s="243"/>
      <c r="T55" s="243"/>
      <c r="U55" s="243"/>
      <c r="V55" s="243"/>
      <c r="W55" s="243"/>
    </row>
    <row r="56" spans="1:23">
      <c r="A56" s="239" t="s">
        <v>6319</v>
      </c>
      <c r="B56" s="252" t="s">
        <v>6340</v>
      </c>
      <c r="C56" s="243"/>
      <c r="D56" s="243"/>
      <c r="E56" s="243"/>
      <c r="F56" s="243"/>
      <c r="G56" s="243"/>
      <c r="H56" s="253"/>
      <c r="I56" s="243"/>
      <c r="J56" s="243"/>
      <c r="K56" s="243"/>
      <c r="L56" s="243"/>
      <c r="M56" s="275" t="s">
        <v>6321</v>
      </c>
      <c r="N56" s="278">
        <v>10</v>
      </c>
      <c r="O56" s="278">
        <v>10</v>
      </c>
      <c r="P56" s="243"/>
      <c r="Q56" s="243"/>
      <c r="R56" s="243"/>
      <c r="S56" s="243"/>
      <c r="T56" s="243"/>
      <c r="U56" s="243"/>
      <c r="V56" s="243"/>
      <c r="W56" s="243"/>
    </row>
    <row r="57" spans="1:23">
      <c r="A57" s="239" t="s">
        <v>6319</v>
      </c>
      <c r="B57" s="252" t="s">
        <v>6341</v>
      </c>
      <c r="C57" s="243"/>
      <c r="D57" s="243"/>
      <c r="E57" s="243"/>
      <c r="F57" s="243"/>
      <c r="G57" s="243"/>
      <c r="H57" s="253"/>
      <c r="I57" s="243"/>
      <c r="J57" s="243"/>
      <c r="K57" s="243"/>
      <c r="L57" s="243"/>
      <c r="N57" s="243"/>
      <c r="O57" s="243"/>
      <c r="P57" s="243"/>
      <c r="Q57" s="243"/>
      <c r="R57" s="243"/>
      <c r="S57" s="243"/>
      <c r="T57" s="243"/>
      <c r="U57" s="243"/>
      <c r="V57" s="243"/>
      <c r="W57" s="243"/>
    </row>
    <row r="58" spans="1:23">
      <c r="A58" s="239" t="s">
        <v>6319</v>
      </c>
      <c r="B58" s="252" t="s">
        <v>6342</v>
      </c>
      <c r="C58" s="243"/>
      <c r="D58" s="243"/>
      <c r="E58" s="243"/>
      <c r="F58" s="243"/>
      <c r="G58" s="243"/>
      <c r="H58" s="253"/>
      <c r="I58" s="243"/>
      <c r="J58" s="243"/>
      <c r="K58" s="243"/>
      <c r="L58" s="243"/>
      <c r="P58" s="243"/>
      <c r="Q58" s="243"/>
      <c r="R58" s="243"/>
      <c r="S58" s="243"/>
      <c r="T58" s="243"/>
      <c r="U58" s="243"/>
      <c r="V58" s="243"/>
      <c r="W58" s="243"/>
    </row>
    <row r="59" spans="1:23">
      <c r="B59" s="275" t="s">
        <v>6306</v>
      </c>
      <c r="C59" s="279">
        <f>SUM(C34:C58)</f>
        <v>1067.4899999999998</v>
      </c>
      <c r="D59" s="279">
        <f>SUM(D34:D58)</f>
        <v>1374.69</v>
      </c>
      <c r="E59" s="279">
        <f>SUM(E34:E58)</f>
        <v>0</v>
      </c>
      <c r="F59" s="279">
        <f>SUM(F34:F58)</f>
        <v>0</v>
      </c>
      <c r="G59" s="279">
        <f>SUM(G34:G58)</f>
        <v>785.1</v>
      </c>
      <c r="H59" s="280"/>
      <c r="I59" s="279">
        <f>SUM(I34:I58)</f>
        <v>0</v>
      </c>
      <c r="J59" s="279">
        <f>SUM(J34:J58)</f>
        <v>700.81999999999994</v>
      </c>
      <c r="K59" s="279">
        <f>SUM(K34:K58)</f>
        <v>683.8</v>
      </c>
      <c r="L59" s="279">
        <f>SUM(L34:L58)</f>
        <v>785.19</v>
      </c>
      <c r="M59" s="239"/>
      <c r="N59" s="279">
        <f>SUM(N34:N58)</f>
        <v>813.6099999999999</v>
      </c>
      <c r="O59" s="279">
        <f t="shared" ref="O59:W59" si="4">SUM(O34:O58)</f>
        <v>825.77</v>
      </c>
      <c r="P59" s="279">
        <f t="shared" si="4"/>
        <v>634.81999999999994</v>
      </c>
      <c r="Q59" s="279">
        <f t="shared" si="4"/>
        <v>3439.9</v>
      </c>
      <c r="R59" s="279">
        <f t="shared" si="4"/>
        <v>634.81999999999994</v>
      </c>
      <c r="S59" s="279">
        <f t="shared" si="4"/>
        <v>711.64</v>
      </c>
      <c r="T59" s="279">
        <f t="shared" si="4"/>
        <v>1523.21</v>
      </c>
      <c r="U59" s="279">
        <f t="shared" si="4"/>
        <v>687.2</v>
      </c>
      <c r="V59" s="279">
        <f t="shared" si="4"/>
        <v>635.98</v>
      </c>
      <c r="W59" s="279">
        <f t="shared" si="4"/>
        <v>530.89</v>
      </c>
    </row>
    <row r="60" spans="1:23" s="255" customFormat="1">
      <c r="A60" s="239"/>
      <c r="B60" s="255" t="s">
        <v>6306</v>
      </c>
      <c r="C60" s="271">
        <f>C32+C59</f>
        <v>1696.4029999999998</v>
      </c>
      <c r="D60" s="271">
        <f>D32+D59</f>
        <v>2055.0879999999997</v>
      </c>
      <c r="E60" s="271">
        <f>E32+E59</f>
        <v>1031.25</v>
      </c>
      <c r="F60" s="271">
        <f>F32+F59</f>
        <v>1581.88</v>
      </c>
      <c r="G60" s="271">
        <f>G32+G59</f>
        <v>990.1</v>
      </c>
      <c r="H60" s="264"/>
      <c r="I60" s="271">
        <f>I32+I59</f>
        <v>824.66</v>
      </c>
      <c r="J60" s="271">
        <f>J32+J59</f>
        <v>1913.62</v>
      </c>
      <c r="K60" s="271">
        <f>K32+K59</f>
        <v>1314.6599999999999</v>
      </c>
      <c r="L60" s="271">
        <f>L32+L59</f>
        <v>1857.79</v>
      </c>
      <c r="M60" s="265"/>
      <c r="N60" s="271">
        <f t="shared" ref="N60:W60" si="5">N32+N59</f>
        <v>1652.73</v>
      </c>
      <c r="O60" s="271">
        <f t="shared" si="5"/>
        <v>1765.798</v>
      </c>
      <c r="P60" s="271">
        <f t="shared" si="5"/>
        <v>1395.8607999999999</v>
      </c>
      <c r="Q60" s="271">
        <f t="shared" si="5"/>
        <v>3644.9</v>
      </c>
      <c r="R60" s="271">
        <f t="shared" si="5"/>
        <v>1157.5453</v>
      </c>
      <c r="S60" s="271">
        <f t="shared" si="5"/>
        <v>1622.1381000000001</v>
      </c>
      <c r="T60" s="271">
        <f t="shared" si="5"/>
        <v>2555.4373000000001</v>
      </c>
      <c r="U60" s="271">
        <f t="shared" si="5"/>
        <v>1474.3083000000001</v>
      </c>
      <c r="V60" s="271">
        <f t="shared" si="5"/>
        <v>1422.98</v>
      </c>
      <c r="W60" s="271">
        <f t="shared" si="5"/>
        <v>785.89</v>
      </c>
    </row>
    <row r="61" spans="1:23">
      <c r="A61" s="275"/>
      <c r="B61" s="239" t="s">
        <v>6343</v>
      </c>
      <c r="C61" s="282">
        <f>C60+C21</f>
        <v>2351.6471428571426</v>
      </c>
      <c r="D61" s="282">
        <f>D60+D21</f>
        <v>2744.1401739130433</v>
      </c>
      <c r="E61" s="282">
        <f>E60+E21</f>
        <v>2009.3224079788756</v>
      </c>
      <c r="F61" s="282">
        <f>F60+F21</f>
        <v>3176.298006824476</v>
      </c>
      <c r="G61" s="281">
        <f>G60+G21</f>
        <v>3089.3276086956516</v>
      </c>
      <c r="H61" s="283"/>
      <c r="I61" s="282">
        <f>I60+I21</f>
        <v>1900.8521965317918</v>
      </c>
      <c r="J61" s="282">
        <f>J60+J21</f>
        <v>3201.2937160120846</v>
      </c>
      <c r="K61" s="282">
        <f>K60+K21</f>
        <v>2272.9366615146832</v>
      </c>
      <c r="L61" s="282">
        <f>L60+L21</f>
        <v>3066.0652463150641</v>
      </c>
      <c r="M61" s="281"/>
      <c r="N61" s="282">
        <f t="shared" ref="N61:W61" si="6">N60+N21</f>
        <v>2758.8371488558987</v>
      </c>
      <c r="O61" s="282">
        <f t="shared" si="6"/>
        <v>3037.8928136142626</v>
      </c>
      <c r="P61" s="282">
        <f t="shared" si="6"/>
        <v>2642.4350251223491</v>
      </c>
      <c r="Q61" s="282">
        <f t="shared" si="6"/>
        <v>6657.0685350734093</v>
      </c>
      <c r="R61" s="282">
        <f t="shared" si="6"/>
        <v>2030.5910976973682</v>
      </c>
      <c r="S61" s="282">
        <f t="shared" si="6"/>
        <v>2974.4819709677422</v>
      </c>
      <c r="T61" s="282">
        <f t="shared" si="6"/>
        <v>4011.2779225542045</v>
      </c>
      <c r="U61" s="282">
        <f t="shared" si="6"/>
        <v>2793.8934754046813</v>
      </c>
      <c r="V61" s="282">
        <f t="shared" si="6"/>
        <v>2559.1570543354983</v>
      </c>
      <c r="W61" s="282">
        <f t="shared" si="6"/>
        <v>3307.0711023622048</v>
      </c>
    </row>
    <row r="62" spans="1:23" s="275" customFormat="1">
      <c r="A62" s="239"/>
      <c r="B62" s="285" t="s">
        <v>6344</v>
      </c>
      <c r="C62" s="265">
        <f>C61/C4</f>
        <v>201.35689210181886</v>
      </c>
      <c r="D62" s="265">
        <f>D61/D4</f>
        <v>192.19359671613975</v>
      </c>
      <c r="E62" s="292">
        <f>E61/E4</f>
        <v>94.556348610770613</v>
      </c>
      <c r="F62" s="292">
        <f>F61/F4</f>
        <v>91.588754522043715</v>
      </c>
      <c r="G62" s="265">
        <f>G61/G4</f>
        <v>51.48879347826086</v>
      </c>
      <c r="H62" s="264"/>
      <c r="I62" s="292">
        <f>I61/I4</f>
        <v>99.677619115458413</v>
      </c>
      <c r="J62" s="265">
        <f>J61/J4</f>
        <v>121.62970045638619</v>
      </c>
      <c r="K62" s="265">
        <f>K61/K4</f>
        <v>162.70126424586135</v>
      </c>
      <c r="L62" s="265">
        <f>L61/L4</f>
        <v>133.88931206616002</v>
      </c>
      <c r="M62" s="265"/>
      <c r="N62" s="265">
        <f t="shared" ref="N62:W62" si="7">N61/N4</f>
        <v>171.569474431337</v>
      </c>
      <c r="O62" s="265">
        <f t="shared" si="7"/>
        <v>135.74141258330039</v>
      </c>
      <c r="P62" s="265">
        <f t="shared" si="7"/>
        <v>144.64829347067817</v>
      </c>
      <c r="Q62" s="265">
        <f t="shared" si="7"/>
        <v>118.87622384059659</v>
      </c>
      <c r="R62" s="265">
        <f t="shared" si="7"/>
        <v>169.03280593501776</v>
      </c>
      <c r="S62" s="265">
        <f t="shared" si="7"/>
        <v>127.00063921129509</v>
      </c>
      <c r="T62" s="265">
        <f t="shared" si="7"/>
        <v>149.71365366156104</v>
      </c>
      <c r="U62" s="265">
        <f t="shared" si="7"/>
        <v>139.67372271182728</v>
      </c>
      <c r="V62" s="265">
        <f t="shared" si="7"/>
        <v>127.95785271677491</v>
      </c>
      <c r="W62" s="265">
        <f t="shared" si="7"/>
        <v>82.676777559055125</v>
      </c>
    </row>
    <row r="63" spans="1:23">
      <c r="B63" s="275"/>
      <c r="C63" s="286"/>
      <c r="D63" s="286"/>
      <c r="E63" s="286"/>
      <c r="F63" s="286"/>
      <c r="G63" s="286"/>
      <c r="H63" s="287"/>
      <c r="Q63" s="284"/>
    </row>
    <row r="64" spans="1:23">
      <c r="B64" s="288"/>
      <c r="C64" s="286"/>
      <c r="D64" s="286"/>
      <c r="E64" s="286"/>
      <c r="F64" s="286"/>
      <c r="G64" s="275"/>
      <c r="H64" s="287"/>
      <c r="K64" s="239" t="s">
        <v>6345</v>
      </c>
      <c r="Q64" s="284"/>
    </row>
    <row r="65" spans="2:17">
      <c r="B65" s="289"/>
      <c r="C65" s="286"/>
      <c r="D65" s="286"/>
      <c r="E65" s="286"/>
      <c r="F65" s="286"/>
      <c r="G65" s="286"/>
      <c r="H65" s="287"/>
      <c r="Q65" s="284"/>
    </row>
    <row r="66" spans="2:17">
      <c r="B66" s="288"/>
      <c r="C66" s="286"/>
      <c r="D66" s="286"/>
      <c r="E66" s="286"/>
      <c r="F66" s="286"/>
      <c r="G66" s="286"/>
      <c r="H66" s="287"/>
      <c r="Q66" s="284"/>
    </row>
    <row r="68" spans="2:17">
      <c r="B68" s="252"/>
    </row>
    <row r="70" spans="2:17">
      <c r="B70" s="252"/>
    </row>
    <row r="72" spans="2:17">
      <c r="B72" s="252"/>
    </row>
  </sheetData>
  <phoneticPr fontId="3"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05"/>
  <sheetViews>
    <sheetView tabSelected="1" topLeftCell="N1" zoomScaleNormal="100" workbookViewId="0">
      <pane ySplit="1" topLeftCell="A60" activePane="bottomLeft" state="frozen"/>
      <selection pane="bottomLeft" activeCell="W128" sqref="W128"/>
    </sheetView>
  </sheetViews>
  <sheetFormatPr defaultRowHeight="14.25" customHeight="1"/>
  <cols>
    <col min="1" max="1" width="6.75" style="103" bestFit="1" customWidth="1"/>
    <col min="2" max="2" width="6.3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8.5" style="9" bestFit="1" customWidth="1"/>
    <col min="17" max="17" width="8.625" style="9" customWidth="1"/>
    <col min="18" max="18" width="11.25" style="7" customWidth="1"/>
    <col min="19" max="19" width="10.25" style="126" bestFit="1" customWidth="1"/>
    <col min="20" max="20" width="11.25" style="126" bestFit="1" customWidth="1"/>
    <col min="21" max="21" width="1.75" style="236" customWidth="1"/>
    <col min="22" max="22" width="6.75" style="103" customWidth="1"/>
    <col min="23" max="23" width="10.25" style="9" customWidth="1"/>
    <col min="24" max="25" width="11.25" style="9" customWidth="1"/>
    <col min="26" max="26" width="4.125" style="9" customWidth="1"/>
    <col min="27" max="27" width="5.875" style="126" customWidth="1"/>
    <col min="28" max="28" width="6" style="9" customWidth="1"/>
    <col min="29" max="29" width="9.75" style="9" customWidth="1"/>
    <col min="30" max="30" width="5" style="9" customWidth="1"/>
    <col min="31" max="31" width="5" style="9" bestFit="1" customWidth="1"/>
    <col min="32" max="35" width="4.125" style="9" bestFit="1" customWidth="1"/>
    <col min="36" max="36" width="26.875" style="7" customWidth="1"/>
    <col min="37" max="16384" width="9" style="7"/>
  </cols>
  <sheetData>
    <row r="1" spans="1:42"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6" t="s">
        <v>6175</v>
      </c>
      <c r="T1" s="9" t="s">
        <v>6108</v>
      </c>
      <c r="U1" s="230"/>
      <c r="V1" s="103" t="s">
        <v>6107</v>
      </c>
      <c r="W1" s="9" t="s">
        <v>6108</v>
      </c>
      <c r="X1" s="9" t="s">
        <v>6109</v>
      </c>
      <c r="Y1" s="9" t="s">
        <v>6110</v>
      </c>
      <c r="Z1" s="9" t="s">
        <v>6176</v>
      </c>
      <c r="AA1" s="226" t="s">
        <v>6173</v>
      </c>
    </row>
    <row r="2" spans="1:42"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4">
        <f>0.078*$R$1/950</f>
        <v>6.8968421052631582E-2</v>
      </c>
      <c r="Q2" s="222">
        <f>O2+P2</f>
        <v>0.1216</v>
      </c>
      <c r="R2" s="107">
        <f>2/Q2</f>
        <v>16.44736842105263</v>
      </c>
      <c r="S2" s="226">
        <v>16</v>
      </c>
      <c r="T2" s="19" t="s">
        <v>6095</v>
      </c>
      <c r="U2" s="230"/>
      <c r="V2" s="110">
        <v>101.01</v>
      </c>
      <c r="W2" s="208" t="s">
        <v>6141</v>
      </c>
      <c r="X2" s="3" t="s">
        <v>6111</v>
      </c>
      <c r="Y2" s="3" t="s">
        <v>6112</v>
      </c>
      <c r="Z2" s="3">
        <v>16</v>
      </c>
      <c r="AA2" s="19" t="s">
        <v>6106</v>
      </c>
      <c r="AB2" s="3"/>
      <c r="AC2" s="3"/>
      <c r="AD2" s="3"/>
      <c r="AE2" s="3"/>
      <c r="AF2" s="3"/>
      <c r="AG2" s="3"/>
      <c r="AH2" s="3"/>
      <c r="AI2" s="3"/>
      <c r="AJ2" s="211" t="s">
        <v>5954</v>
      </c>
      <c r="AK2" s="7"/>
      <c r="AL2" s="7"/>
      <c r="AM2" s="7"/>
      <c r="AN2" s="7"/>
      <c r="AO2" s="7"/>
      <c r="AP2" s="7"/>
    </row>
    <row r="3" spans="1:42" ht="14.25" customHeight="1">
      <c r="A3" s="110">
        <v>101.02</v>
      </c>
      <c r="B3" s="9">
        <v>2.6</v>
      </c>
      <c r="C3" s="1" t="s">
        <v>3324</v>
      </c>
      <c r="D3" s="184"/>
      <c r="E3" s="184"/>
      <c r="H3" s="184"/>
      <c r="I3" s="184"/>
      <c r="L3" s="3"/>
      <c r="M3" s="3"/>
      <c r="N3" s="184">
        <f>1*800</f>
        <v>800</v>
      </c>
      <c r="O3" s="105">
        <v>6.25E-2</v>
      </c>
      <c r="P3" s="224">
        <f>0.078*$R$1/800</f>
        <v>8.1900000000000001E-2</v>
      </c>
      <c r="Q3" s="222">
        <f t="shared" ref="Q3:Q12" si="0">O3+P3</f>
        <v>0.1444</v>
      </c>
      <c r="R3" s="107">
        <f t="shared" ref="R3:R12" si="1">2/Q3</f>
        <v>13.850415512465373</v>
      </c>
      <c r="S3" s="226">
        <v>14</v>
      </c>
      <c r="T3" s="19" t="s">
        <v>6096</v>
      </c>
      <c r="U3" s="230"/>
      <c r="V3" s="110">
        <v>101.02</v>
      </c>
      <c r="W3" s="3" t="s">
        <v>6113</v>
      </c>
      <c r="X3" s="3" t="s">
        <v>6114</v>
      </c>
      <c r="Y3" s="3" t="s">
        <v>6115</v>
      </c>
      <c r="Z3" s="3">
        <v>14</v>
      </c>
      <c r="AA3" s="19"/>
      <c r="AB3" s="3"/>
      <c r="AC3" s="3"/>
      <c r="AD3" s="3"/>
      <c r="AE3" s="3"/>
      <c r="AF3" s="3"/>
      <c r="AG3" s="3"/>
      <c r="AH3" s="3"/>
      <c r="AI3" s="3"/>
    </row>
    <row r="4" spans="1:42" ht="14.25" customHeight="1">
      <c r="A4" s="110">
        <v>101.03</v>
      </c>
      <c r="B4" s="9">
        <f>15.4/5</f>
        <v>3.08</v>
      </c>
      <c r="C4" s="1" t="s">
        <v>3325</v>
      </c>
      <c r="D4" s="184"/>
      <c r="E4" s="184"/>
      <c r="H4" s="184"/>
      <c r="I4" s="184"/>
      <c r="L4" s="3"/>
      <c r="M4" s="3"/>
      <c r="N4" s="184">
        <f>2*700</f>
        <v>1400</v>
      </c>
      <c r="O4" s="105">
        <v>7.1428571428571425E-2</v>
      </c>
      <c r="P4" s="224">
        <f>0.078*$R$1/700</f>
        <v>9.3599999999999989E-2</v>
      </c>
      <c r="Q4" s="222">
        <f t="shared" si="0"/>
        <v>0.16502857142857141</v>
      </c>
      <c r="R4" s="107">
        <f t="shared" si="1"/>
        <v>12.119113573407203</v>
      </c>
      <c r="S4" s="226">
        <v>12</v>
      </c>
      <c r="T4" s="19" t="s">
        <v>6097</v>
      </c>
      <c r="U4" s="230"/>
      <c r="V4" s="110">
        <v>101.03</v>
      </c>
      <c r="W4" s="3" t="s">
        <v>6116</v>
      </c>
      <c r="X4" s="3" t="s">
        <v>6115</v>
      </c>
      <c r="Y4" s="3" t="s">
        <v>6117</v>
      </c>
      <c r="Z4" s="3">
        <v>12</v>
      </c>
      <c r="AA4" s="19"/>
      <c r="AB4" s="3"/>
      <c r="AC4" s="3"/>
      <c r="AD4" s="3"/>
      <c r="AE4" s="3"/>
      <c r="AF4" s="3"/>
      <c r="AG4" s="3"/>
      <c r="AH4" s="3"/>
      <c r="AI4" s="3"/>
      <c r="AP4" s="4"/>
    </row>
    <row r="5" spans="1:42" ht="14.25" customHeight="1">
      <c r="A5" s="110">
        <v>101.04</v>
      </c>
      <c r="B5" s="9">
        <v>4.9000000000000004</v>
      </c>
      <c r="C5" s="1" t="s">
        <v>3326</v>
      </c>
      <c r="D5" s="184"/>
      <c r="E5" s="184"/>
      <c r="H5" s="184"/>
      <c r="I5" s="184"/>
      <c r="L5" s="3"/>
      <c r="M5" s="3"/>
      <c r="N5" s="184">
        <f>2*450</f>
        <v>900</v>
      </c>
      <c r="O5" s="105">
        <v>0.1111111111111111</v>
      </c>
      <c r="P5" s="224">
        <f>0.078*$R$1/450</f>
        <v>0.14559999999999998</v>
      </c>
      <c r="Q5" s="222">
        <f t="shared" si="0"/>
        <v>0.25671111111111111</v>
      </c>
      <c r="R5" s="107">
        <f t="shared" si="1"/>
        <v>7.7908587257617725</v>
      </c>
      <c r="S5" s="226">
        <v>8</v>
      </c>
      <c r="T5" s="19" t="s">
        <v>6098</v>
      </c>
      <c r="U5" s="230"/>
      <c r="V5" s="110">
        <v>101.05</v>
      </c>
      <c r="W5" s="3" t="s">
        <v>6118</v>
      </c>
      <c r="X5" s="3" t="s">
        <v>6119</v>
      </c>
      <c r="Y5" s="3" t="s">
        <v>6120</v>
      </c>
      <c r="Z5" s="3">
        <v>10</v>
      </c>
      <c r="AA5" s="19"/>
      <c r="AB5" s="3"/>
      <c r="AC5" s="3"/>
      <c r="AD5" s="3"/>
      <c r="AE5" s="3"/>
      <c r="AF5" s="3"/>
      <c r="AG5" s="3"/>
      <c r="AH5" s="3"/>
      <c r="AI5" s="3"/>
    </row>
    <row r="6" spans="1:42" s="4" customFormat="1" ht="14.25" customHeight="1">
      <c r="A6" s="110">
        <v>101.05</v>
      </c>
      <c r="B6" s="9">
        <v>3.8</v>
      </c>
      <c r="C6" s="1" t="s">
        <v>3327</v>
      </c>
      <c r="D6" s="184"/>
      <c r="E6" s="184"/>
      <c r="F6" s="188"/>
      <c r="G6" s="188"/>
      <c r="H6" s="184"/>
      <c r="I6" s="184"/>
      <c r="J6" s="188"/>
      <c r="K6" s="188"/>
      <c r="L6" s="3"/>
      <c r="M6" s="3"/>
      <c r="N6" s="184">
        <f>3*550</f>
        <v>1650</v>
      </c>
      <c r="O6" s="105">
        <v>9.0909090909090912E-2</v>
      </c>
      <c r="P6" s="224">
        <f>0.078*$R$1/550</f>
        <v>0.11912727272727272</v>
      </c>
      <c r="Q6" s="222">
        <f t="shared" si="0"/>
        <v>0.21003636363636363</v>
      </c>
      <c r="R6" s="107">
        <f t="shared" si="1"/>
        <v>9.5221606648199444</v>
      </c>
      <c r="S6" s="226">
        <v>10</v>
      </c>
      <c r="T6" s="19" t="s">
        <v>6099</v>
      </c>
      <c r="U6" s="230"/>
      <c r="V6" s="110">
        <v>101.04</v>
      </c>
      <c r="W6" s="3" t="s">
        <v>6121</v>
      </c>
      <c r="X6" s="3" t="s">
        <v>6122</v>
      </c>
      <c r="Y6" s="3" t="s">
        <v>6123</v>
      </c>
      <c r="Z6" s="3">
        <v>8</v>
      </c>
      <c r="AA6" s="19"/>
      <c r="AB6" s="3"/>
      <c r="AC6" s="3"/>
      <c r="AD6" s="3"/>
      <c r="AE6" s="3"/>
      <c r="AF6" s="3"/>
      <c r="AG6" s="3"/>
      <c r="AH6" s="3"/>
      <c r="AI6" s="3"/>
      <c r="AJ6" s="7"/>
      <c r="AK6" s="7"/>
      <c r="AL6" s="7"/>
      <c r="AM6" s="7"/>
      <c r="AN6" s="7"/>
      <c r="AO6" s="7"/>
      <c r="AP6" s="7"/>
    </row>
    <row r="7" spans="1:42" ht="14.25" customHeight="1">
      <c r="A7" s="110">
        <v>101.06</v>
      </c>
      <c r="B7" s="9">
        <v>4.7</v>
      </c>
      <c r="C7" s="1" t="s">
        <v>3328</v>
      </c>
      <c r="D7" s="184"/>
      <c r="E7" s="184"/>
      <c r="H7" s="184"/>
      <c r="I7" s="184"/>
      <c r="L7" s="3"/>
      <c r="M7" s="3"/>
      <c r="N7" s="184">
        <f>12*450</f>
        <v>5400</v>
      </c>
      <c r="O7" s="105">
        <v>0.1111111111111111</v>
      </c>
      <c r="P7" s="224">
        <f>0.078*$R$1/450</f>
        <v>0.14559999999999998</v>
      </c>
      <c r="Q7" s="222">
        <f t="shared" si="0"/>
        <v>0.25671111111111111</v>
      </c>
      <c r="R7" s="107">
        <f t="shared" si="1"/>
        <v>7.7908587257617725</v>
      </c>
      <c r="S7" s="226">
        <v>8</v>
      </c>
      <c r="T7" s="19" t="s">
        <v>6100</v>
      </c>
      <c r="U7" s="230"/>
      <c r="V7" s="110">
        <v>101.07</v>
      </c>
      <c r="W7" s="3" t="s">
        <v>6124</v>
      </c>
      <c r="X7" s="3" t="s">
        <v>6120</v>
      </c>
      <c r="Y7" s="3" t="s">
        <v>6125</v>
      </c>
      <c r="Z7" s="3">
        <v>8</v>
      </c>
      <c r="AA7" s="19"/>
      <c r="AB7" s="3">
        <v>64</v>
      </c>
      <c r="AC7" s="3">
        <f>B7*AB7</f>
        <v>300.8</v>
      </c>
      <c r="AD7" s="3"/>
      <c r="AE7" s="3"/>
      <c r="AF7" s="3"/>
      <c r="AG7" s="3"/>
      <c r="AH7" s="3"/>
      <c r="AI7" s="3"/>
    </row>
    <row r="8" spans="1:42" s="4" customFormat="1" ht="14.25" customHeight="1">
      <c r="A8" s="110">
        <v>101.07</v>
      </c>
      <c r="B8" s="65">
        <v>4.5</v>
      </c>
      <c r="C8" s="1" t="s">
        <v>3329</v>
      </c>
      <c r="D8" s="184"/>
      <c r="E8" s="184"/>
      <c r="F8" s="188"/>
      <c r="G8" s="188"/>
      <c r="H8" s="184"/>
      <c r="I8" s="184"/>
      <c r="J8" s="188"/>
      <c r="K8" s="188"/>
      <c r="L8" s="3"/>
      <c r="M8" s="3"/>
      <c r="N8" s="184">
        <f>1*470</f>
        <v>470</v>
      </c>
      <c r="O8" s="105">
        <v>0.10638297872340426</v>
      </c>
      <c r="P8" s="224">
        <f>0.078*$R$1/470</f>
        <v>0.13940425531914893</v>
      </c>
      <c r="Q8" s="222">
        <f t="shared" si="0"/>
        <v>0.2457872340425532</v>
      </c>
      <c r="R8" s="107">
        <f t="shared" si="1"/>
        <v>8.1371191135734069</v>
      </c>
      <c r="S8" s="226">
        <v>8</v>
      </c>
      <c r="T8" s="19" t="s">
        <v>6101</v>
      </c>
      <c r="U8" s="230"/>
      <c r="V8" s="110">
        <v>101.06</v>
      </c>
      <c r="W8" s="3" t="s">
        <v>6126</v>
      </c>
      <c r="X8" s="3" t="s">
        <v>6127</v>
      </c>
      <c r="Y8" s="3" t="s">
        <v>6128</v>
      </c>
      <c r="Z8" s="3">
        <v>8</v>
      </c>
      <c r="AA8" s="19"/>
      <c r="AB8" s="3"/>
      <c r="AC8" s="3"/>
      <c r="AD8" s="3"/>
      <c r="AE8" s="3"/>
      <c r="AF8" s="3"/>
      <c r="AG8" s="3"/>
      <c r="AH8" s="3"/>
      <c r="AI8" s="3"/>
      <c r="AJ8" s="7"/>
      <c r="AK8" s="7"/>
      <c r="AL8" s="7"/>
      <c r="AM8" s="7"/>
      <c r="AN8" s="7"/>
    </row>
    <row r="9" spans="1:42" ht="14.25" customHeight="1">
      <c r="A9" s="110">
        <v>101.08</v>
      </c>
      <c r="B9" s="9">
        <v>7</v>
      </c>
      <c r="C9" s="1" t="s">
        <v>3330</v>
      </c>
      <c r="D9" s="184"/>
      <c r="E9" s="184"/>
      <c r="H9" s="184"/>
      <c r="I9" s="184"/>
      <c r="L9" s="3"/>
      <c r="M9" s="3"/>
      <c r="N9" s="184">
        <f>38*300</f>
        <v>11400</v>
      </c>
      <c r="O9" s="105">
        <v>0.16666666666666666</v>
      </c>
      <c r="P9" s="224">
        <f>0.078*$R$1/300</f>
        <v>0.21839999999999998</v>
      </c>
      <c r="Q9" s="222">
        <f t="shared" si="0"/>
        <v>0.38506666666666667</v>
      </c>
      <c r="R9" s="107">
        <f t="shared" si="1"/>
        <v>5.1939058171745156</v>
      </c>
      <c r="S9" s="226">
        <v>5</v>
      </c>
      <c r="T9" s="19" t="s">
        <v>6102</v>
      </c>
      <c r="U9" s="230"/>
      <c r="V9" s="110">
        <v>101.08</v>
      </c>
      <c r="W9" s="3" t="s">
        <v>6129</v>
      </c>
      <c r="X9" s="3" t="s">
        <v>6130</v>
      </c>
      <c r="Y9" s="3" t="s">
        <v>6131</v>
      </c>
      <c r="Z9" s="3">
        <v>5</v>
      </c>
      <c r="AA9" s="19"/>
      <c r="AB9" s="3"/>
      <c r="AC9" s="3"/>
      <c r="AD9" s="3"/>
      <c r="AE9" s="3"/>
      <c r="AF9" s="3"/>
      <c r="AG9" s="3"/>
      <c r="AH9" s="3"/>
      <c r="AI9" s="3"/>
    </row>
    <row r="10" spans="1:42"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4">
        <f>0.078*$R$1/250</f>
        <v>0.26207999999999998</v>
      </c>
      <c r="Q10" s="222">
        <f t="shared" si="0"/>
        <v>0.46207999999999999</v>
      </c>
      <c r="R10" s="107">
        <f t="shared" si="1"/>
        <v>4.3282548476454297</v>
      </c>
      <c r="S10" s="226">
        <v>4</v>
      </c>
      <c r="T10" s="19" t="s">
        <v>6103</v>
      </c>
      <c r="U10" s="230"/>
      <c r="V10" s="110">
        <v>101.09</v>
      </c>
      <c r="W10" s="3" t="s">
        <v>6132</v>
      </c>
      <c r="X10" s="3" t="s">
        <v>6133</v>
      </c>
      <c r="Y10" s="3" t="s">
        <v>6134</v>
      </c>
      <c r="Z10" s="3">
        <v>4</v>
      </c>
      <c r="AA10" s="19"/>
      <c r="AB10" s="3">
        <v>16</v>
      </c>
      <c r="AC10" s="3">
        <f>B10*AB10</f>
        <v>140.80000000000001</v>
      </c>
      <c r="AD10" s="3"/>
      <c r="AE10" s="3"/>
      <c r="AF10" s="3"/>
      <c r="AG10" s="3"/>
      <c r="AH10" s="3"/>
      <c r="AI10" s="3"/>
      <c r="AJ10" s="7"/>
      <c r="AK10" s="7"/>
      <c r="AL10" s="7"/>
      <c r="AM10" s="7"/>
      <c r="AN10" s="7"/>
      <c r="AO10" s="7"/>
    </row>
    <row r="11" spans="1:42" ht="14.25" customHeight="1">
      <c r="A11" s="113" t="s">
        <v>2979</v>
      </c>
      <c r="B11" s="9">
        <v>10.199999999999999</v>
      </c>
      <c r="C11" s="1" t="s">
        <v>3332</v>
      </c>
      <c r="D11" s="184"/>
      <c r="E11" s="184"/>
      <c r="H11" s="184"/>
      <c r="I11" s="184"/>
      <c r="L11" s="3"/>
      <c r="M11" s="3"/>
      <c r="N11" s="184">
        <f>8*190+180</f>
        <v>1700</v>
      </c>
      <c r="O11" s="105">
        <v>0.26315789473684209</v>
      </c>
      <c r="P11" s="224">
        <f>0.078*$R$1/190</f>
        <v>0.34484210526315789</v>
      </c>
      <c r="Q11" s="222">
        <f t="shared" si="0"/>
        <v>0.60799999999999998</v>
      </c>
      <c r="R11" s="107">
        <f t="shared" si="1"/>
        <v>3.2894736842105265</v>
      </c>
      <c r="S11" s="226">
        <v>3</v>
      </c>
      <c r="T11" s="19" t="s">
        <v>6104</v>
      </c>
      <c r="U11" s="230"/>
      <c r="V11" s="234" t="s">
        <v>6158</v>
      </c>
      <c r="W11" s="3" t="s">
        <v>6135</v>
      </c>
      <c r="X11" s="3" t="s">
        <v>6136</v>
      </c>
      <c r="Y11" s="3" t="s">
        <v>6137</v>
      </c>
      <c r="Z11" s="3">
        <v>3</v>
      </c>
      <c r="AA11" s="19"/>
      <c r="AB11" s="3">
        <v>27</v>
      </c>
      <c r="AC11" s="3">
        <f>B11*AB11</f>
        <v>275.39999999999998</v>
      </c>
      <c r="AD11" s="3"/>
      <c r="AE11" s="3"/>
      <c r="AF11" s="3"/>
      <c r="AG11" s="3"/>
      <c r="AH11" s="3"/>
      <c r="AI11" s="3"/>
    </row>
    <row r="12" spans="1:42" s="4" customFormat="1" ht="14.25" customHeight="1">
      <c r="A12" s="110">
        <v>101.11</v>
      </c>
      <c r="B12" s="9">
        <v>13.5</v>
      </c>
      <c r="C12" s="1" t="s">
        <v>6031</v>
      </c>
      <c r="D12" s="184"/>
      <c r="E12" s="184"/>
      <c r="F12" s="188"/>
      <c r="G12" s="188"/>
      <c r="H12" s="184"/>
      <c r="I12" s="184"/>
      <c r="J12" s="188"/>
      <c r="K12" s="188"/>
      <c r="L12" s="3"/>
      <c r="M12" s="3"/>
      <c r="N12" s="184">
        <f>24*160</f>
        <v>3840</v>
      </c>
      <c r="O12" s="105">
        <v>0.3125</v>
      </c>
      <c r="P12" s="224">
        <f>0.078*$R$1/160</f>
        <v>0.40949999999999998</v>
      </c>
      <c r="Q12" s="222">
        <f t="shared" si="0"/>
        <v>0.72199999999999998</v>
      </c>
      <c r="R12" s="107">
        <f t="shared" si="1"/>
        <v>2.770083102493075</v>
      </c>
      <c r="S12" s="226">
        <v>3</v>
      </c>
      <c r="T12" s="19" t="s">
        <v>6105</v>
      </c>
      <c r="U12" s="230"/>
      <c r="V12" s="110">
        <v>101.11</v>
      </c>
      <c r="W12" s="3" t="s">
        <v>6138</v>
      </c>
      <c r="X12" s="3" t="s">
        <v>6139</v>
      </c>
      <c r="Y12" s="3" t="s">
        <v>6140</v>
      </c>
      <c r="Z12" s="3">
        <v>3</v>
      </c>
      <c r="AA12" s="19"/>
      <c r="AB12" s="3">
        <v>33</v>
      </c>
      <c r="AC12" s="3">
        <f>B12*AB12</f>
        <v>445.5</v>
      </c>
      <c r="AD12" s="3"/>
      <c r="AE12" s="3"/>
      <c r="AF12" s="3"/>
      <c r="AG12" s="3"/>
      <c r="AH12" s="3"/>
      <c r="AI12" s="3"/>
      <c r="AJ12" s="7"/>
      <c r="AK12" s="7"/>
      <c r="AL12" s="7"/>
      <c r="AM12" s="7"/>
      <c r="AN12" s="7"/>
      <c r="AO12" s="7"/>
      <c r="AP12" s="7"/>
    </row>
    <row r="13" spans="1:42" s="4" customFormat="1" ht="14.25" customHeight="1">
      <c r="A13" s="9"/>
      <c r="B13" s="9"/>
      <c r="C13" s="1"/>
      <c r="D13" s="184"/>
      <c r="E13" s="184"/>
      <c r="F13" s="188"/>
      <c r="G13" s="188"/>
      <c r="H13" s="184"/>
      <c r="I13" s="184"/>
      <c r="J13" s="188"/>
      <c r="K13" s="188"/>
      <c r="L13" s="3"/>
      <c r="M13" s="3"/>
      <c r="N13" s="184"/>
      <c r="O13" s="105"/>
      <c r="P13" s="224"/>
      <c r="Q13" s="222"/>
      <c r="R13" s="107"/>
      <c r="S13" s="226"/>
      <c r="T13" s="19"/>
      <c r="U13" s="230"/>
      <c r="V13" s="103"/>
      <c r="W13" s="9"/>
      <c r="X13" s="9"/>
      <c r="Y13" s="9"/>
      <c r="Z13" s="9"/>
      <c r="AA13" s="226"/>
      <c r="AB13" s="9"/>
      <c r="AC13" s="9">
        <f>SUM(AC10:AC12)</f>
        <v>861.7</v>
      </c>
      <c r="AD13" s="9"/>
      <c r="AE13" s="9"/>
      <c r="AF13" s="9"/>
      <c r="AG13" s="9"/>
      <c r="AH13" s="9"/>
      <c r="AI13" s="9"/>
      <c r="AJ13" s="7"/>
      <c r="AK13" s="7"/>
      <c r="AL13" s="7"/>
      <c r="AM13" s="7"/>
      <c r="AN13" s="7"/>
      <c r="AO13" s="7"/>
      <c r="AP13" s="7"/>
    </row>
    <row r="14" spans="1:42" ht="14.25" customHeight="1">
      <c r="A14" s="110">
        <v>102.01</v>
      </c>
      <c r="B14" s="9">
        <v>10.8</v>
      </c>
      <c r="C14" s="211" t="s">
        <v>3318</v>
      </c>
      <c r="D14" s="184">
        <v>10.5</v>
      </c>
      <c r="E14" s="184">
        <v>22.5</v>
      </c>
      <c r="F14" s="231">
        <f>D14/2.54</f>
        <v>4.1338582677165352</v>
      </c>
      <c r="G14" s="231">
        <f t="shared" ref="G14:G20" si="2">E14/2.54</f>
        <v>8.8582677165354333</v>
      </c>
      <c r="H14" s="184">
        <v>13</v>
      </c>
      <c r="I14" s="184">
        <v>23</v>
      </c>
      <c r="J14" s="231">
        <f>H14/2.54</f>
        <v>5.1181102362204722</v>
      </c>
      <c r="K14" s="231">
        <f t="shared" ref="K14:K20" si="3">I14/2.54</f>
        <v>9.0551181102362204</v>
      </c>
      <c r="L14" s="19">
        <v>5</v>
      </c>
      <c r="M14" s="19">
        <v>9</v>
      </c>
      <c r="N14" s="184">
        <f>1*354</f>
        <v>354</v>
      </c>
      <c r="O14" s="105">
        <f t="shared" ref="O14:O20" si="4">65/N14</f>
        <v>0.18361581920903955</v>
      </c>
      <c r="P14" s="224">
        <f>0.078*$R$1/354</f>
        <v>0.18508474576271186</v>
      </c>
      <c r="Q14" s="222">
        <f t="shared" ref="Q14:Q20" si="5">O14+P14</f>
        <v>0.36870056497175141</v>
      </c>
      <c r="R14" s="107">
        <f t="shared" ref="R14:R20" si="6">2/Q14</f>
        <v>5.4244560220655842</v>
      </c>
      <c r="S14" s="226">
        <v>5</v>
      </c>
      <c r="T14" s="225" t="s">
        <v>6155</v>
      </c>
      <c r="U14" s="235"/>
      <c r="V14" s="234" t="s">
        <v>6164</v>
      </c>
      <c r="W14" s="225" t="s">
        <v>6157</v>
      </c>
      <c r="X14" s="225" t="s">
        <v>6147</v>
      </c>
      <c r="Y14" s="225" t="s">
        <v>6154</v>
      </c>
      <c r="Z14" s="226">
        <v>14</v>
      </c>
      <c r="AA14" s="19" t="s">
        <v>6174</v>
      </c>
      <c r="AB14" s="226"/>
      <c r="AC14" s="226"/>
      <c r="AD14" s="226"/>
      <c r="AE14" s="226"/>
      <c r="AF14" s="226"/>
      <c r="AG14" s="226"/>
      <c r="AH14" s="226"/>
      <c r="AI14" s="226"/>
      <c r="AJ14" s="211" t="s">
        <v>3318</v>
      </c>
      <c r="AP14" s="4"/>
    </row>
    <row r="15" spans="1:42" s="4" customFormat="1" ht="14.25" customHeight="1">
      <c r="A15" s="110">
        <v>102.02</v>
      </c>
      <c r="B15" s="9">
        <v>12.8</v>
      </c>
      <c r="C15" s="1" t="s">
        <v>3319</v>
      </c>
      <c r="D15" s="184">
        <v>12.5</v>
      </c>
      <c r="E15" s="184">
        <v>24.5</v>
      </c>
      <c r="F15" s="231">
        <f t="shared" ref="F15:F20" si="7">D15/2.54</f>
        <v>4.9212598425196852</v>
      </c>
      <c r="G15" s="231">
        <f t="shared" si="2"/>
        <v>9.6456692913385833</v>
      </c>
      <c r="H15" s="184">
        <v>15</v>
      </c>
      <c r="I15" s="184">
        <v>25</v>
      </c>
      <c r="J15" s="231">
        <f t="shared" ref="J15:J20" si="8">H15/2.54</f>
        <v>5.9055118110236222</v>
      </c>
      <c r="K15" s="231">
        <f t="shared" si="3"/>
        <v>9.8425196850393704</v>
      </c>
      <c r="L15" s="230">
        <v>6</v>
      </c>
      <c r="M15" s="230">
        <v>10</v>
      </c>
      <c r="N15" s="184">
        <f>1*283</f>
        <v>283</v>
      </c>
      <c r="O15" s="105">
        <f t="shared" si="4"/>
        <v>0.22968197879858657</v>
      </c>
      <c r="P15" s="224">
        <f>0.078*$R$1/283</f>
        <v>0.23151943462897526</v>
      </c>
      <c r="Q15" s="222">
        <f t="shared" si="5"/>
        <v>0.46120141342756182</v>
      </c>
      <c r="R15" s="107">
        <f t="shared" si="6"/>
        <v>4.3365001532332208</v>
      </c>
      <c r="S15" s="226">
        <v>4</v>
      </c>
      <c r="T15" s="225" t="s">
        <v>6168</v>
      </c>
      <c r="U15" s="235"/>
      <c r="V15" s="234" t="s">
        <v>6162</v>
      </c>
      <c r="W15" s="225" t="s">
        <v>6167</v>
      </c>
      <c r="X15" s="225" t="s">
        <v>6145</v>
      </c>
      <c r="Y15" s="225" t="s">
        <v>6152</v>
      </c>
      <c r="Z15" s="226">
        <v>10</v>
      </c>
      <c r="AA15" s="126"/>
      <c r="AB15" s="226"/>
      <c r="AC15" s="226"/>
      <c r="AD15" s="226"/>
      <c r="AE15" s="226"/>
      <c r="AF15" s="226"/>
      <c r="AG15" s="226"/>
      <c r="AH15" s="226"/>
      <c r="AI15" s="226"/>
      <c r="AJ15" s="7"/>
      <c r="AK15" s="7"/>
      <c r="AL15" s="7"/>
      <c r="AM15" s="7"/>
      <c r="AN15" s="7"/>
      <c r="AO15" s="7"/>
      <c r="AP15" s="7"/>
    </row>
    <row r="16" spans="1:42" ht="14.25" customHeight="1">
      <c r="A16" s="110">
        <v>102.03</v>
      </c>
      <c r="B16" s="9">
        <v>9.3000000000000007</v>
      </c>
      <c r="C16" s="1" t="s">
        <v>3320</v>
      </c>
      <c r="D16" s="184">
        <v>12.5</v>
      </c>
      <c r="E16" s="184">
        <v>17.5</v>
      </c>
      <c r="F16" s="231">
        <f t="shared" si="7"/>
        <v>4.9212598425196852</v>
      </c>
      <c r="G16" s="231">
        <f t="shared" si="2"/>
        <v>6.8897637795275593</v>
      </c>
      <c r="H16" s="184">
        <v>15</v>
      </c>
      <c r="I16" s="184">
        <v>18</v>
      </c>
      <c r="J16" s="231">
        <f t="shared" si="8"/>
        <v>5.9055118110236222</v>
      </c>
      <c r="K16" s="231">
        <f t="shared" si="3"/>
        <v>7.0866141732283463</v>
      </c>
      <c r="L16" s="229">
        <v>6</v>
      </c>
      <c r="M16" s="229">
        <v>7</v>
      </c>
      <c r="N16" s="184">
        <f>1*383</f>
        <v>383</v>
      </c>
      <c r="O16" s="105">
        <f t="shared" si="4"/>
        <v>0.16971279373368145</v>
      </c>
      <c r="P16" s="224">
        <f>0.078*$R$1/383</f>
        <v>0.1710704960835509</v>
      </c>
      <c r="Q16" s="222">
        <f t="shared" si="5"/>
        <v>0.34078328981723238</v>
      </c>
      <c r="R16" s="107">
        <f t="shared" si="6"/>
        <v>5.8688323628562671</v>
      </c>
      <c r="S16" s="226">
        <v>5</v>
      </c>
      <c r="T16" s="225" t="s">
        <v>6169</v>
      </c>
      <c r="U16" s="235"/>
      <c r="V16" s="234" t="s">
        <v>6159</v>
      </c>
      <c r="W16" s="225" t="s">
        <v>6155</v>
      </c>
      <c r="X16" s="225" t="s">
        <v>6142</v>
      </c>
      <c r="Y16" s="225" t="s">
        <v>6149</v>
      </c>
      <c r="Z16" s="226">
        <v>5</v>
      </c>
      <c r="AB16" s="226"/>
      <c r="AC16" s="226"/>
      <c r="AD16" s="226"/>
      <c r="AE16" s="226"/>
      <c r="AF16" s="226"/>
      <c r="AG16" s="226"/>
      <c r="AH16" s="226"/>
      <c r="AI16" s="226"/>
      <c r="AP16" s="4"/>
    </row>
    <row r="17" spans="1:42" ht="14.25" customHeight="1">
      <c r="A17" s="110">
        <v>102.04</v>
      </c>
      <c r="B17" s="9">
        <v>5.9</v>
      </c>
      <c r="C17" s="1" t="s">
        <v>4136</v>
      </c>
      <c r="D17" s="184">
        <v>9</v>
      </c>
      <c r="E17" s="184">
        <v>15</v>
      </c>
      <c r="F17" s="231">
        <f t="shared" si="7"/>
        <v>3.5433070866141732</v>
      </c>
      <c r="G17" s="231">
        <f t="shared" si="2"/>
        <v>5.9055118110236222</v>
      </c>
      <c r="H17" s="184">
        <v>11</v>
      </c>
      <c r="I17" s="184">
        <v>15</v>
      </c>
      <c r="J17" s="231">
        <f t="shared" si="8"/>
        <v>4.3307086614173231</v>
      </c>
      <c r="K17" s="231">
        <f t="shared" si="3"/>
        <v>5.9055118110236222</v>
      </c>
      <c r="L17" s="229">
        <v>4</v>
      </c>
      <c r="M17" s="229">
        <v>6</v>
      </c>
      <c r="N17" s="184">
        <f>1*650</f>
        <v>650</v>
      </c>
      <c r="O17" s="105">
        <f t="shared" si="4"/>
        <v>0.1</v>
      </c>
      <c r="P17" s="224">
        <f>0.078*$R$1/650</f>
        <v>0.1008</v>
      </c>
      <c r="Q17" s="222">
        <f t="shared" si="5"/>
        <v>0.20080000000000001</v>
      </c>
      <c r="R17" s="107">
        <f t="shared" si="6"/>
        <v>9.9601593625498008</v>
      </c>
      <c r="S17" s="226">
        <v>10</v>
      </c>
      <c r="T17" s="225" t="s">
        <v>6167</v>
      </c>
      <c r="U17" s="235"/>
      <c r="V17" s="234" t="s">
        <v>6161</v>
      </c>
      <c r="W17" s="225" t="s">
        <v>6169</v>
      </c>
      <c r="X17" s="225" t="s">
        <v>6144</v>
      </c>
      <c r="Y17" s="225" t="s">
        <v>6151</v>
      </c>
      <c r="Z17" s="226">
        <v>5</v>
      </c>
      <c r="AB17" s="226"/>
      <c r="AC17" s="107">
        <f>8+3.5+1.4</f>
        <v>12.9</v>
      </c>
      <c r="AD17" s="226"/>
      <c r="AE17" s="226"/>
      <c r="AF17" s="226"/>
      <c r="AG17" s="226"/>
      <c r="AH17" s="226"/>
      <c r="AI17" s="226"/>
    </row>
    <row r="18" spans="1:42" ht="14.25" customHeight="1">
      <c r="A18" s="110">
        <v>102.05</v>
      </c>
      <c r="B18" s="9">
        <v>15.1</v>
      </c>
      <c r="C18" s="1" t="s">
        <v>3321</v>
      </c>
      <c r="D18" s="184">
        <v>17.5</v>
      </c>
      <c r="E18" s="184">
        <v>20.5</v>
      </c>
      <c r="F18" s="231">
        <f t="shared" si="7"/>
        <v>6.8897637795275593</v>
      </c>
      <c r="G18" s="231">
        <f t="shared" si="2"/>
        <v>8.0708661417322833</v>
      </c>
      <c r="H18" s="184">
        <v>20</v>
      </c>
      <c r="I18" s="184">
        <v>21</v>
      </c>
      <c r="J18" s="231">
        <f t="shared" si="8"/>
        <v>7.8740157480314963</v>
      </c>
      <c r="K18" s="231">
        <f t="shared" si="3"/>
        <v>8.2677165354330704</v>
      </c>
      <c r="L18" s="229">
        <v>8</v>
      </c>
      <c r="M18" s="229">
        <v>8</v>
      </c>
      <c r="N18" s="184">
        <f>1*250</f>
        <v>250</v>
      </c>
      <c r="O18" s="105">
        <f t="shared" si="4"/>
        <v>0.26</v>
      </c>
      <c r="P18" s="224">
        <f>0.078*$R$1/250</f>
        <v>0.26207999999999998</v>
      </c>
      <c r="Q18" s="222">
        <f t="shared" si="5"/>
        <v>0.52207999999999999</v>
      </c>
      <c r="R18" s="107">
        <f t="shared" si="6"/>
        <v>3.8308305240576157</v>
      </c>
      <c r="S18" s="226">
        <v>4</v>
      </c>
      <c r="T18" s="225" t="s">
        <v>6156</v>
      </c>
      <c r="U18" s="235"/>
      <c r="V18" s="234" t="s">
        <v>6160</v>
      </c>
      <c r="W18" s="225" t="s">
        <v>6168</v>
      </c>
      <c r="X18" s="225" t="s">
        <v>6143</v>
      </c>
      <c r="Y18" s="225" t="s">
        <v>6150</v>
      </c>
      <c r="Z18" s="226">
        <v>4</v>
      </c>
      <c r="AB18" s="226"/>
      <c r="AC18" s="221">
        <f>AC17/24</f>
        <v>0.53749999999999998</v>
      </c>
      <c r="AD18" s="226"/>
      <c r="AE18" s="226"/>
      <c r="AF18" s="226"/>
      <c r="AG18" s="226"/>
      <c r="AH18" s="226"/>
      <c r="AI18" s="226"/>
      <c r="AP18" s="4"/>
    </row>
    <row r="19" spans="1:42" ht="14.25" customHeight="1">
      <c r="A19" s="110">
        <v>102.06</v>
      </c>
      <c r="B19" s="9">
        <v>4.0999999999999996</v>
      </c>
      <c r="C19" s="174" t="s">
        <v>4137</v>
      </c>
      <c r="D19" s="184">
        <v>7</v>
      </c>
      <c r="E19" s="184">
        <v>13</v>
      </c>
      <c r="F19" s="231">
        <f t="shared" si="7"/>
        <v>2.7559055118110236</v>
      </c>
      <c r="G19" s="231">
        <f t="shared" si="2"/>
        <v>5.1181102362204722</v>
      </c>
      <c r="H19" s="184">
        <v>9</v>
      </c>
      <c r="I19" s="184">
        <v>13</v>
      </c>
      <c r="J19" s="231">
        <f t="shared" si="8"/>
        <v>3.5433070866141732</v>
      </c>
      <c r="K19" s="231">
        <f t="shared" si="3"/>
        <v>5.1181102362204722</v>
      </c>
      <c r="L19" s="229">
        <v>3.5</v>
      </c>
      <c r="M19" s="229">
        <v>5</v>
      </c>
      <c r="N19" s="184">
        <f>1*880</f>
        <v>880</v>
      </c>
      <c r="O19" s="105">
        <f t="shared" si="4"/>
        <v>7.3863636363636367E-2</v>
      </c>
      <c r="P19" s="224">
        <f>0.078*$R$1/880</f>
        <v>7.4454545454545454E-2</v>
      </c>
      <c r="Q19" s="222">
        <f t="shared" si="5"/>
        <v>0.14831818181818182</v>
      </c>
      <c r="R19" s="107">
        <f t="shared" si="6"/>
        <v>13.484523444682807</v>
      </c>
      <c r="S19" s="226">
        <v>14</v>
      </c>
      <c r="T19" s="225" t="s">
        <v>6157</v>
      </c>
      <c r="U19" s="235"/>
      <c r="V19" s="234" t="s">
        <v>6163</v>
      </c>
      <c r="W19" s="225" t="s">
        <v>6156</v>
      </c>
      <c r="X19" s="225" t="s">
        <v>6146</v>
      </c>
      <c r="Y19" s="225" t="s">
        <v>6153</v>
      </c>
      <c r="Z19" s="226">
        <v>4</v>
      </c>
      <c r="AB19" s="226"/>
      <c r="AC19" s="221">
        <f>16.89/25</f>
        <v>0.67559999999999998</v>
      </c>
      <c r="AD19" s="226"/>
      <c r="AE19" s="226"/>
      <c r="AF19" s="226"/>
      <c r="AG19" s="226"/>
      <c r="AH19" s="226"/>
      <c r="AI19" s="226"/>
    </row>
    <row r="20" spans="1:42" ht="14.25" customHeight="1">
      <c r="A20" s="110">
        <v>102.07</v>
      </c>
      <c r="B20" s="9">
        <v>25.8</v>
      </c>
      <c r="C20" s="1" t="s">
        <v>3322</v>
      </c>
      <c r="D20" s="184">
        <v>22.5</v>
      </c>
      <c r="E20" s="184">
        <v>29.5</v>
      </c>
      <c r="F20" s="231">
        <f t="shared" si="7"/>
        <v>8.8582677165354333</v>
      </c>
      <c r="G20" s="231">
        <f t="shared" si="2"/>
        <v>11.614173228346457</v>
      </c>
      <c r="H20" s="184">
        <v>25</v>
      </c>
      <c r="I20" s="184">
        <v>30</v>
      </c>
      <c r="J20" s="231">
        <f t="shared" si="8"/>
        <v>9.8425196850393704</v>
      </c>
      <c r="K20" s="231">
        <f t="shared" si="3"/>
        <v>11.811023622047244</v>
      </c>
      <c r="L20" s="229">
        <v>10</v>
      </c>
      <c r="M20" s="229">
        <v>12</v>
      </c>
      <c r="N20" s="184">
        <f>1*145</f>
        <v>145</v>
      </c>
      <c r="O20" s="105">
        <f t="shared" si="4"/>
        <v>0.44827586206896552</v>
      </c>
      <c r="P20" s="224">
        <f>0.078*$R$1/145</f>
        <v>0.45186206896551723</v>
      </c>
      <c r="Q20" s="222">
        <f t="shared" si="5"/>
        <v>0.90013793103448281</v>
      </c>
      <c r="R20" s="107">
        <f t="shared" si="6"/>
        <v>2.2218817039534171</v>
      </c>
      <c r="S20" s="226">
        <v>2</v>
      </c>
      <c r="T20" s="225" t="s">
        <v>6166</v>
      </c>
      <c r="U20" s="235"/>
      <c r="V20" s="234" t="s">
        <v>6165</v>
      </c>
      <c r="W20" s="225" t="s">
        <v>6166</v>
      </c>
      <c r="X20" s="225" t="s">
        <v>6148</v>
      </c>
      <c r="Y20" s="225" t="s">
        <v>6177</v>
      </c>
      <c r="Z20" s="226">
        <v>2</v>
      </c>
      <c r="AA20" s="226"/>
      <c r="AB20" s="226"/>
      <c r="AC20" s="226"/>
      <c r="AD20" s="226"/>
      <c r="AE20" s="226"/>
      <c r="AF20" s="226"/>
      <c r="AG20" s="226"/>
      <c r="AH20" s="226"/>
      <c r="AI20" s="226"/>
    </row>
    <row r="21" spans="1:42" s="4" customFormat="1" ht="14.25" customHeight="1">
      <c r="A21" s="9"/>
      <c r="B21" s="9"/>
      <c r="C21" s="1"/>
      <c r="D21" s="184"/>
      <c r="E21" s="184"/>
      <c r="F21" s="188"/>
      <c r="G21" s="188"/>
      <c r="H21" s="184"/>
      <c r="I21" s="184"/>
      <c r="J21" s="188"/>
      <c r="K21" s="188"/>
      <c r="L21" s="3"/>
      <c r="M21" s="3"/>
      <c r="N21" s="184"/>
      <c r="O21" s="105"/>
      <c r="P21" s="224"/>
      <c r="Q21" s="222"/>
      <c r="R21" s="107"/>
      <c r="S21" s="226"/>
      <c r="T21" s="19"/>
      <c r="U21" s="230"/>
      <c r="V21" s="103"/>
      <c r="W21" s="9"/>
      <c r="X21" s="9"/>
      <c r="Y21" s="9"/>
      <c r="Z21" s="9"/>
      <c r="AA21" s="226"/>
      <c r="AB21" s="9"/>
      <c r="AC21" s="9"/>
      <c r="AD21" s="9"/>
      <c r="AE21" s="9"/>
      <c r="AF21" s="9"/>
      <c r="AG21" s="9"/>
      <c r="AH21" s="9"/>
      <c r="AI21" s="9"/>
      <c r="AJ21" s="7"/>
      <c r="AK21" s="7"/>
      <c r="AL21" s="7"/>
      <c r="AM21" s="7"/>
      <c r="AN21" s="7"/>
      <c r="AO21" s="7"/>
      <c r="AP21" s="7"/>
    </row>
    <row r="22" spans="1:42" ht="14.25" customHeight="1">
      <c r="A22" s="110">
        <v>103.04</v>
      </c>
      <c r="B22" s="9">
        <v>1</v>
      </c>
      <c r="C22" s="211" t="s">
        <v>6170</v>
      </c>
      <c r="N22" s="183">
        <v>2000</v>
      </c>
      <c r="O22" s="7">
        <v>0.08</v>
      </c>
      <c r="P22" s="224">
        <f>0.065*$R$1/1000</f>
        <v>5.4600000000000003E-2</v>
      </c>
      <c r="Q22" s="222">
        <f t="shared" ref="Q22" si="9">O22+P22</f>
        <v>0.1346</v>
      </c>
      <c r="R22" s="107">
        <f t="shared" ref="R22:R25" si="10">2/Q22</f>
        <v>14.858841010401189</v>
      </c>
      <c r="S22" s="226">
        <v>12</v>
      </c>
      <c r="V22" s="110">
        <v>103.04</v>
      </c>
      <c r="W22" s="225" t="s">
        <v>6179</v>
      </c>
      <c r="X22" s="225" t="s">
        <v>6179</v>
      </c>
      <c r="Y22" s="225" t="s">
        <v>6182</v>
      </c>
      <c r="Z22" s="9">
        <v>12</v>
      </c>
      <c r="AA22" s="56" t="s">
        <v>6199</v>
      </c>
      <c r="AF22" s="121"/>
      <c r="AG22" s="121"/>
      <c r="AH22" s="121"/>
      <c r="AI22" s="121"/>
      <c r="AJ22" s="211" t="s">
        <v>1753</v>
      </c>
    </row>
    <row r="23" spans="1:42" ht="14.25" customHeight="1">
      <c r="A23" s="110">
        <v>103.05</v>
      </c>
      <c r="B23" s="9">
        <v>1.8</v>
      </c>
      <c r="C23" s="7" t="s">
        <v>2887</v>
      </c>
      <c r="N23" s="183">
        <v>2000</v>
      </c>
      <c r="O23" s="7">
        <v>0.08</v>
      </c>
      <c r="P23" s="224">
        <f t="shared" ref="P23:P25" si="11">0.065*$R$1/1000</f>
        <v>5.4600000000000003E-2</v>
      </c>
      <c r="Q23" s="222">
        <f t="shared" ref="Q23:Q25" si="12">O23+P23</f>
        <v>0.1346</v>
      </c>
      <c r="R23" s="107">
        <f t="shared" si="10"/>
        <v>14.858841010401189</v>
      </c>
      <c r="S23" s="226">
        <v>10</v>
      </c>
      <c r="V23" s="103">
        <v>103.07</v>
      </c>
      <c r="W23" s="225" t="s">
        <v>6181</v>
      </c>
      <c r="X23" s="225" t="s">
        <v>6181</v>
      </c>
      <c r="Y23" s="225" t="s">
        <v>6183</v>
      </c>
      <c r="Z23" s="9">
        <v>10</v>
      </c>
      <c r="AA23" s="56"/>
      <c r="AF23" s="121"/>
      <c r="AG23" s="121"/>
      <c r="AH23" s="121"/>
      <c r="AI23" s="121"/>
      <c r="AP23" s="4"/>
    </row>
    <row r="24" spans="1:42" ht="14.25" customHeight="1">
      <c r="A24" s="110" t="s">
        <v>4093</v>
      </c>
      <c r="B24" s="9">
        <v>2.5</v>
      </c>
      <c r="C24" s="7" t="s">
        <v>6172</v>
      </c>
      <c r="N24" s="183">
        <v>2000</v>
      </c>
      <c r="O24" s="7">
        <v>0.08</v>
      </c>
      <c r="P24" s="224">
        <f t="shared" si="11"/>
        <v>5.4600000000000003E-2</v>
      </c>
      <c r="Q24" s="222">
        <f t="shared" si="12"/>
        <v>0.1346</v>
      </c>
      <c r="R24" s="107">
        <f t="shared" si="10"/>
        <v>14.858841010401189</v>
      </c>
      <c r="S24" s="226">
        <v>8</v>
      </c>
      <c r="V24" s="110">
        <v>103.05</v>
      </c>
      <c r="W24" s="225" t="s">
        <v>6180</v>
      </c>
      <c r="X24" s="225" t="s">
        <v>6180</v>
      </c>
      <c r="Y24" s="225" t="s">
        <v>6184</v>
      </c>
      <c r="Z24" s="9">
        <v>10</v>
      </c>
      <c r="AA24" s="56"/>
      <c r="AF24" s="121"/>
      <c r="AG24" s="121"/>
      <c r="AH24" s="121"/>
      <c r="AI24" s="121"/>
    </row>
    <row r="25" spans="1:42" ht="14.25" customHeight="1">
      <c r="A25" s="103">
        <v>103.07</v>
      </c>
      <c r="B25" s="9">
        <v>1.7</v>
      </c>
      <c r="C25" s="55" t="s">
        <v>6178</v>
      </c>
      <c r="N25" s="183">
        <v>2000</v>
      </c>
      <c r="O25" s="7">
        <v>0.08</v>
      </c>
      <c r="P25" s="224">
        <f t="shared" si="11"/>
        <v>5.4600000000000003E-2</v>
      </c>
      <c r="Q25" s="222">
        <f t="shared" si="12"/>
        <v>0.1346</v>
      </c>
      <c r="R25" s="107">
        <f t="shared" si="10"/>
        <v>14.858841010401189</v>
      </c>
      <c r="S25" s="226">
        <v>10</v>
      </c>
      <c r="V25" s="110" t="s">
        <v>4093</v>
      </c>
      <c r="W25" s="225" t="s">
        <v>6157</v>
      </c>
      <c r="X25" s="225" t="s">
        <v>6157</v>
      </c>
      <c r="Y25" s="225" t="s">
        <v>6185</v>
      </c>
      <c r="Z25" s="9">
        <v>8</v>
      </c>
      <c r="AA25" s="56"/>
      <c r="AF25" s="121"/>
      <c r="AG25" s="121"/>
      <c r="AH25" s="121"/>
      <c r="AI25" s="121"/>
      <c r="AJ25" s="211" t="s">
        <v>2886</v>
      </c>
    </row>
    <row r="26" spans="1:42" s="1" customFormat="1" ht="14.25" customHeight="1">
      <c r="A26" s="110"/>
      <c r="B26" s="3"/>
      <c r="D26" s="184"/>
      <c r="E26" s="184"/>
      <c r="F26" s="184"/>
      <c r="G26" s="184"/>
      <c r="H26" s="184"/>
      <c r="I26" s="184"/>
      <c r="J26" s="184"/>
      <c r="K26" s="184"/>
      <c r="L26" s="3"/>
      <c r="M26" s="3"/>
      <c r="N26" s="184"/>
      <c r="O26" s="6"/>
      <c r="P26" s="222"/>
      <c r="Q26" s="222"/>
      <c r="S26" s="2"/>
      <c r="T26" s="2"/>
      <c r="U26" s="236"/>
      <c r="V26" s="110"/>
      <c r="W26" s="3"/>
      <c r="X26" s="3"/>
      <c r="Y26" s="3"/>
      <c r="Z26" s="3"/>
      <c r="AA26" s="2"/>
      <c r="AB26" s="3"/>
      <c r="AC26" s="3"/>
      <c r="AD26" s="3"/>
      <c r="AE26" s="3"/>
      <c r="AF26" s="3"/>
      <c r="AG26" s="3"/>
      <c r="AH26" s="3"/>
      <c r="AI26" s="3"/>
    </row>
    <row r="27" spans="1:42" ht="14.25" customHeight="1">
      <c r="A27" s="110">
        <v>103.01</v>
      </c>
      <c r="B27" s="9">
        <v>0.8</v>
      </c>
      <c r="C27" s="211" t="s">
        <v>6032</v>
      </c>
      <c r="N27" s="183">
        <v>2000</v>
      </c>
      <c r="O27" s="7">
        <v>4.8000000000000001E-2</v>
      </c>
      <c r="P27" s="224">
        <f>0.065*$R$1/1000</f>
        <v>5.4600000000000003E-2</v>
      </c>
      <c r="Q27" s="222">
        <f t="shared" ref="Q27:Q60" si="13">O27+P27</f>
        <v>0.1026</v>
      </c>
      <c r="R27" s="107">
        <f>2/Q27*0.75</f>
        <v>14.619883040935672</v>
      </c>
      <c r="S27" s="226">
        <v>15</v>
      </c>
      <c r="T27" s="9" t="s">
        <v>6181</v>
      </c>
      <c r="V27" s="110">
        <v>103.01</v>
      </c>
      <c r="W27" s="9" t="s">
        <v>6188</v>
      </c>
      <c r="X27" s="9" t="s">
        <v>6194</v>
      </c>
      <c r="Y27" s="225" t="s">
        <v>6187</v>
      </c>
      <c r="Z27" s="9">
        <v>15</v>
      </c>
      <c r="AA27" s="126" t="s">
        <v>6200</v>
      </c>
      <c r="AB27" s="225">
        <v>6.5</v>
      </c>
      <c r="AC27" s="9">
        <v>8</v>
      </c>
      <c r="AD27" s="9">
        <v>6.8</v>
      </c>
      <c r="AE27" s="9">
        <v>10</v>
      </c>
      <c r="AF27" s="9">
        <f>AB27/2.54</f>
        <v>2.5590551181102361</v>
      </c>
      <c r="AG27" s="9">
        <f t="shared" ref="AG27:AI27" si="14">AC27/2.54</f>
        <v>3.1496062992125982</v>
      </c>
      <c r="AH27" s="9">
        <f t="shared" si="14"/>
        <v>2.6771653543307083</v>
      </c>
      <c r="AI27" s="9">
        <f t="shared" si="14"/>
        <v>3.9370078740157481</v>
      </c>
    </row>
    <row r="28" spans="1:42" s="4" customFormat="1" ht="14.25" customHeight="1">
      <c r="A28" s="110">
        <v>103.02</v>
      </c>
      <c r="B28" s="9">
        <v>1</v>
      </c>
      <c r="C28" s="7" t="s">
        <v>1754</v>
      </c>
      <c r="D28" s="183"/>
      <c r="E28" s="183"/>
      <c r="F28" s="188"/>
      <c r="G28" s="188"/>
      <c r="H28" s="183"/>
      <c r="I28" s="183"/>
      <c r="J28" s="188"/>
      <c r="K28" s="188"/>
      <c r="L28" s="9"/>
      <c r="M28" s="9"/>
      <c r="N28" s="183">
        <v>2000</v>
      </c>
      <c r="O28" s="7">
        <v>5.2999999999999999E-2</v>
      </c>
      <c r="P28" s="224">
        <f>0.065*$R$1/1000</f>
        <v>5.4600000000000003E-2</v>
      </c>
      <c r="Q28" s="222">
        <f t="shared" si="13"/>
        <v>0.1076</v>
      </c>
      <c r="R28" s="107">
        <f t="shared" ref="R28:R30" si="15">2/Q28*0.75</f>
        <v>13.940520446096652</v>
      </c>
      <c r="S28" s="226">
        <v>13</v>
      </c>
      <c r="T28" s="225" t="s">
        <v>6180</v>
      </c>
      <c r="U28" s="236"/>
      <c r="V28" s="110">
        <v>103.09</v>
      </c>
      <c r="W28" s="225" t="s">
        <v>6189</v>
      </c>
      <c r="X28" s="9" t="s">
        <v>6195</v>
      </c>
      <c r="Y28" s="9" t="s">
        <v>6196</v>
      </c>
      <c r="Z28" s="9">
        <v>13</v>
      </c>
      <c r="AA28" s="126"/>
      <c r="AB28" s="225">
        <v>8</v>
      </c>
      <c r="AC28" s="9">
        <v>8</v>
      </c>
      <c r="AD28" s="9">
        <v>8.5</v>
      </c>
      <c r="AE28" s="9">
        <v>8.5</v>
      </c>
      <c r="AF28" s="9">
        <f>AB28/2.54</f>
        <v>3.1496062992125982</v>
      </c>
      <c r="AG28" s="9">
        <f t="shared" ref="AG28" si="16">AC28/2.54</f>
        <v>3.1496062992125982</v>
      </c>
      <c r="AH28" s="9">
        <f t="shared" ref="AH28" si="17">AD28/2.54</f>
        <v>3.3464566929133857</v>
      </c>
      <c r="AI28" s="9">
        <f t="shared" ref="AI28" si="18">AE28/2.54</f>
        <v>3.3464566929133857</v>
      </c>
      <c r="AJ28" s="7"/>
      <c r="AK28" s="7"/>
      <c r="AL28" s="7"/>
      <c r="AM28" s="7"/>
      <c r="AN28" s="7"/>
      <c r="AO28" s="7"/>
      <c r="AP28" s="7"/>
    </row>
    <row r="29" spans="1:42" ht="14.25" customHeight="1">
      <c r="A29" s="110">
        <v>103.03</v>
      </c>
      <c r="B29" s="9">
        <v>1.5</v>
      </c>
      <c r="C29" s="7" t="s">
        <v>6171</v>
      </c>
      <c r="N29" s="183">
        <v>2000</v>
      </c>
      <c r="O29" s="7">
        <v>0.06</v>
      </c>
      <c r="P29" s="224">
        <f>0.065*$R$1/1000</f>
        <v>5.4600000000000003E-2</v>
      </c>
      <c r="Q29" s="222">
        <f t="shared" si="13"/>
        <v>0.11460000000000001</v>
      </c>
      <c r="R29" s="107">
        <f t="shared" si="15"/>
        <v>13.089005235602095</v>
      </c>
      <c r="S29" s="226">
        <v>11</v>
      </c>
      <c r="T29" s="225" t="s">
        <v>6191</v>
      </c>
      <c r="V29" s="110">
        <v>103.02</v>
      </c>
      <c r="W29" s="225" t="s">
        <v>6190</v>
      </c>
      <c r="X29" s="9" t="s">
        <v>6197</v>
      </c>
      <c r="Y29" s="9" t="s">
        <v>6198</v>
      </c>
      <c r="Z29" s="9">
        <v>13</v>
      </c>
      <c r="AB29" s="225">
        <v>8</v>
      </c>
      <c r="AC29" s="9">
        <v>9</v>
      </c>
      <c r="AD29" s="9">
        <v>8.5</v>
      </c>
      <c r="AE29" s="9">
        <v>10</v>
      </c>
      <c r="AF29" s="9">
        <f>AB29/2.54</f>
        <v>3.1496062992125982</v>
      </c>
      <c r="AG29" s="9">
        <f t="shared" ref="AG29" si="19">AC29/2.54</f>
        <v>3.5433070866141732</v>
      </c>
      <c r="AH29" s="9">
        <f t="shared" ref="AH29" si="20">AD29/2.54</f>
        <v>3.3464566929133857</v>
      </c>
      <c r="AI29" s="9">
        <f t="shared" ref="AI29" si="21">AE29/2.54</f>
        <v>3.9370078740157481</v>
      </c>
    </row>
    <row r="30" spans="1:42" ht="14.25" customHeight="1">
      <c r="A30" s="110">
        <v>103.09</v>
      </c>
      <c r="B30" s="9">
        <v>1.4</v>
      </c>
      <c r="C30" s="55" t="s">
        <v>6033</v>
      </c>
      <c r="D30" s="184"/>
      <c r="E30" s="184"/>
      <c r="H30" s="184"/>
      <c r="I30" s="184"/>
      <c r="L30" s="3"/>
      <c r="M30" s="3"/>
      <c r="N30" s="184">
        <v>1000</v>
      </c>
      <c r="O30" s="6">
        <v>0.05</v>
      </c>
      <c r="P30" s="224">
        <f>0.065*$R$1/1000</f>
        <v>5.4600000000000003E-2</v>
      </c>
      <c r="Q30" s="222">
        <f t="shared" si="13"/>
        <v>0.1046</v>
      </c>
      <c r="R30" s="107">
        <f t="shared" si="15"/>
        <v>14.340344168260039</v>
      </c>
      <c r="S30" s="226">
        <v>13</v>
      </c>
      <c r="T30" s="225" t="s">
        <v>6189</v>
      </c>
      <c r="V30" s="110">
        <v>103.03</v>
      </c>
      <c r="W30" s="225" t="s">
        <v>6191</v>
      </c>
      <c r="X30" s="9" t="s">
        <v>6192</v>
      </c>
      <c r="Y30" s="9" t="s">
        <v>6193</v>
      </c>
      <c r="Z30" s="9">
        <v>11</v>
      </c>
      <c r="AB30" s="225">
        <v>8</v>
      </c>
      <c r="AC30" s="9">
        <v>13</v>
      </c>
      <c r="AD30" s="9">
        <v>8.1999999999999993</v>
      </c>
      <c r="AE30" s="9">
        <v>13.5</v>
      </c>
      <c r="AF30" s="9">
        <f>AB30/2.54</f>
        <v>3.1496062992125982</v>
      </c>
      <c r="AG30" s="9">
        <f t="shared" ref="AG30" si="22">AC30/2.54</f>
        <v>5.1181102362204722</v>
      </c>
      <c r="AH30" s="9">
        <f t="shared" ref="AH30" si="23">AD30/2.54</f>
        <v>3.228346456692913</v>
      </c>
      <c r="AI30" s="9">
        <f t="shared" ref="AI30" si="24">AE30/2.54</f>
        <v>5.3149606299212602</v>
      </c>
    </row>
    <row r="31" spans="1:42" s="1" customFormat="1" ht="14.25" customHeight="1">
      <c r="A31" s="110"/>
      <c r="B31" s="3"/>
      <c r="D31" s="184"/>
      <c r="E31" s="184"/>
      <c r="F31" s="184"/>
      <c r="G31" s="184"/>
      <c r="H31" s="184"/>
      <c r="I31" s="184"/>
      <c r="J31" s="184"/>
      <c r="K31" s="184"/>
      <c r="L31" s="3"/>
      <c r="M31" s="3"/>
      <c r="N31" s="184"/>
      <c r="P31" s="3"/>
      <c r="Q31" s="3"/>
      <c r="S31" s="19"/>
      <c r="T31" s="2"/>
      <c r="U31" s="236"/>
      <c r="V31" s="110"/>
      <c r="W31" s="208"/>
      <c r="X31" s="208"/>
      <c r="Y31" s="208"/>
      <c r="Z31" s="3"/>
      <c r="AA31" s="2"/>
      <c r="AB31" s="3"/>
      <c r="AC31" s="3"/>
      <c r="AD31" s="3"/>
      <c r="AE31" s="3"/>
      <c r="AF31" s="229"/>
      <c r="AG31" s="229"/>
      <c r="AH31" s="229"/>
      <c r="AI31" s="229"/>
    </row>
    <row r="32" spans="1:42" s="4" customFormat="1" ht="14.25" customHeight="1">
      <c r="A32" s="133" t="s">
        <v>4087</v>
      </c>
      <c r="B32" s="9">
        <v>1.6</v>
      </c>
      <c r="C32" s="211" t="s">
        <v>6037</v>
      </c>
      <c r="D32" s="184"/>
      <c r="E32" s="184"/>
      <c r="F32" s="188"/>
      <c r="G32" s="188"/>
      <c r="H32" s="184"/>
      <c r="I32" s="184"/>
      <c r="J32" s="188"/>
      <c r="K32" s="188"/>
      <c r="L32" s="3"/>
      <c r="M32" s="3"/>
      <c r="N32" s="184">
        <v>500</v>
      </c>
      <c r="O32" s="6">
        <v>0.05</v>
      </c>
      <c r="P32" s="222">
        <f>$R$1*(8*15*2.6/7)/1000000</f>
        <v>3.7440000000000001E-2</v>
      </c>
      <c r="Q32" s="222">
        <f t="shared" si="13"/>
        <v>8.7440000000000004E-2</v>
      </c>
      <c r="R32" s="107">
        <f>2/Q32/2</f>
        <v>11.436413540713632</v>
      </c>
      <c r="S32" s="226">
        <v>11</v>
      </c>
      <c r="T32" s="225" t="s">
        <v>6231</v>
      </c>
      <c r="U32" s="236"/>
      <c r="V32" s="133" t="s">
        <v>4087</v>
      </c>
      <c r="W32" s="225" t="s">
        <v>6231</v>
      </c>
      <c r="X32" s="225" t="s">
        <v>6202</v>
      </c>
      <c r="Y32" s="225" t="s">
        <v>6215</v>
      </c>
      <c r="Z32" s="226">
        <v>11</v>
      </c>
      <c r="AA32" s="126" t="s">
        <v>6201</v>
      </c>
      <c r="AB32" s="9">
        <v>7.5</v>
      </c>
      <c r="AC32" s="9">
        <v>14</v>
      </c>
      <c r="AD32" s="9">
        <v>8</v>
      </c>
      <c r="AE32" s="9">
        <v>15</v>
      </c>
      <c r="AF32" s="238">
        <f>AB32/2.54</f>
        <v>2.9527559055118111</v>
      </c>
      <c r="AG32" s="9">
        <f>AC32/2.54</f>
        <v>5.5118110236220472</v>
      </c>
      <c r="AH32" s="65">
        <f>AD32/2.54</f>
        <v>3.1496062992125982</v>
      </c>
      <c r="AI32" s="9">
        <f t="shared" ref="AI32" si="25">AE32/2.54</f>
        <v>5.9055118110236222</v>
      </c>
      <c r="AJ32" s="211" t="s">
        <v>6037</v>
      </c>
      <c r="AK32" s="7"/>
      <c r="AL32" s="7"/>
      <c r="AM32" s="7"/>
      <c r="AN32" s="7"/>
      <c r="AO32" s="7"/>
    </row>
    <row r="33" spans="1:42" ht="14.25" customHeight="1">
      <c r="A33" s="113" t="s">
        <v>2967</v>
      </c>
      <c r="B33" s="9">
        <f>3.5/2</f>
        <v>1.75</v>
      </c>
      <c r="C33" s="1" t="s">
        <v>1788</v>
      </c>
      <c r="D33" s="184"/>
      <c r="E33" s="184"/>
      <c r="H33" s="184"/>
      <c r="I33" s="184"/>
      <c r="L33" s="3"/>
      <c r="M33" s="3"/>
      <c r="N33" s="184">
        <v>500</v>
      </c>
      <c r="O33" s="6">
        <v>0.06</v>
      </c>
      <c r="P33" s="222">
        <f>$R$1*(10*15*2.6/7)/1000000</f>
        <v>4.6800000000000001E-2</v>
      </c>
      <c r="Q33" s="222">
        <f t="shared" si="13"/>
        <v>0.10680000000000001</v>
      </c>
      <c r="R33" s="107">
        <f t="shared" ref="R33:R49" si="26">2/Q33/2</f>
        <v>9.3632958801498116</v>
      </c>
      <c r="S33" s="226">
        <v>10</v>
      </c>
      <c r="T33" s="225" t="s">
        <v>6232</v>
      </c>
      <c r="V33" s="113" t="s">
        <v>2967</v>
      </c>
      <c r="W33" s="225" t="s">
        <v>6232</v>
      </c>
      <c r="X33" s="225" t="s">
        <v>6203</v>
      </c>
      <c r="Y33" s="225" t="s">
        <v>6216</v>
      </c>
      <c r="Z33" s="226">
        <v>10</v>
      </c>
      <c r="AB33" s="9">
        <v>9.5</v>
      </c>
      <c r="AC33" s="9">
        <v>14</v>
      </c>
      <c r="AD33" s="9">
        <v>10</v>
      </c>
      <c r="AE33" s="9">
        <v>15</v>
      </c>
      <c r="AF33" s="238">
        <f t="shared" ref="AF33:AF34" si="27">AB33/2.54</f>
        <v>3.7401574803149606</v>
      </c>
      <c r="AG33" s="9">
        <f>AC33/2.54</f>
        <v>5.5118110236220472</v>
      </c>
      <c r="AH33" s="65">
        <f>AD33/2.54</f>
        <v>3.9370078740157481</v>
      </c>
      <c r="AI33" s="9">
        <f t="shared" ref="AI33:AI34" si="28">AE33/2.54</f>
        <v>5.9055118110236222</v>
      </c>
    </row>
    <row r="34" spans="1:42" ht="14.25" customHeight="1">
      <c r="A34" s="133" t="s">
        <v>2968</v>
      </c>
      <c r="B34" s="9">
        <v>2.1</v>
      </c>
      <c r="C34" s="1" t="s">
        <v>1776</v>
      </c>
      <c r="D34" s="184"/>
      <c r="E34" s="184"/>
      <c r="H34" s="184"/>
      <c r="I34" s="184"/>
      <c r="L34" s="3"/>
      <c r="M34" s="3"/>
      <c r="N34" s="184">
        <v>500</v>
      </c>
      <c r="O34" s="6">
        <v>0.06</v>
      </c>
      <c r="P34" s="222">
        <f>$R$1*(10*20*2.6/7)/1000000</f>
        <v>6.2400000000000004E-2</v>
      </c>
      <c r="Q34" s="222">
        <f t="shared" si="13"/>
        <v>0.12240000000000001</v>
      </c>
      <c r="R34" s="107">
        <f t="shared" si="26"/>
        <v>8.1699346405228752</v>
      </c>
      <c r="S34" s="226">
        <v>8</v>
      </c>
      <c r="T34" s="225" t="s">
        <v>6233</v>
      </c>
      <c r="V34" s="133" t="s">
        <v>2968</v>
      </c>
      <c r="W34" s="225" t="s">
        <v>6233</v>
      </c>
      <c r="X34" s="225" t="s">
        <v>6204</v>
      </c>
      <c r="Y34" s="225" t="s">
        <v>6217</v>
      </c>
      <c r="Z34" s="226">
        <v>8</v>
      </c>
      <c r="AB34" s="9">
        <v>9.5</v>
      </c>
      <c r="AC34" s="9">
        <v>19</v>
      </c>
      <c r="AD34" s="9">
        <v>10</v>
      </c>
      <c r="AE34" s="9">
        <v>20</v>
      </c>
      <c r="AF34" s="238">
        <f t="shared" si="27"/>
        <v>3.7401574803149606</v>
      </c>
      <c r="AG34" s="9">
        <f>AC34/2.54</f>
        <v>7.4803149606299213</v>
      </c>
      <c r="AH34" s="65">
        <f>AD34/2.54</f>
        <v>3.9370078740157481</v>
      </c>
      <c r="AI34" s="9">
        <f t="shared" si="28"/>
        <v>7.8740157480314963</v>
      </c>
    </row>
    <row r="35" spans="1:42" ht="14.25" customHeight="1">
      <c r="A35" s="113"/>
      <c r="C35" s="1"/>
      <c r="D35" s="184"/>
      <c r="E35" s="184"/>
      <c r="H35" s="184"/>
      <c r="I35" s="184"/>
      <c r="L35" s="3"/>
      <c r="M35" s="3"/>
      <c r="N35" s="184"/>
      <c r="O35" s="6"/>
      <c r="P35" s="222"/>
      <c r="Q35" s="222"/>
      <c r="S35" s="226"/>
      <c r="T35" s="9"/>
      <c r="V35" s="113"/>
      <c r="Z35" s="226"/>
      <c r="AF35" s="238"/>
      <c r="AH35" s="65"/>
    </row>
    <row r="36" spans="1:42" ht="14.25" customHeight="1">
      <c r="A36" s="113" t="s">
        <v>2969</v>
      </c>
      <c r="B36" s="9">
        <f>4.5/2</f>
        <v>2.25</v>
      </c>
      <c r="C36" s="1" t="s">
        <v>1775</v>
      </c>
      <c r="D36" s="184"/>
      <c r="E36" s="184"/>
      <c r="H36" s="184"/>
      <c r="I36" s="184"/>
      <c r="L36" s="3"/>
      <c r="M36" s="3"/>
      <c r="N36" s="184">
        <v>500</v>
      </c>
      <c r="O36" s="6">
        <v>0.06</v>
      </c>
      <c r="P36" s="222">
        <f>$R$1*(13*15*2.6/7)/1000000</f>
        <v>6.0839999999999998E-2</v>
      </c>
      <c r="Q36" s="222">
        <f t="shared" si="13"/>
        <v>0.12084</v>
      </c>
      <c r="R36" s="107">
        <f t="shared" si="26"/>
        <v>8.2754054948692488</v>
      </c>
      <c r="S36" s="226">
        <v>8</v>
      </c>
      <c r="T36" s="225" t="s">
        <v>6234</v>
      </c>
      <c r="V36" s="113" t="s">
        <v>2969</v>
      </c>
      <c r="W36" s="225" t="s">
        <v>6234</v>
      </c>
      <c r="X36" s="225" t="s">
        <v>6205</v>
      </c>
      <c r="Y36" s="225" t="s">
        <v>6218</v>
      </c>
      <c r="Z36" s="226">
        <v>8</v>
      </c>
      <c r="AB36" s="9">
        <v>12.5</v>
      </c>
      <c r="AC36" s="9">
        <v>14</v>
      </c>
      <c r="AD36" s="9">
        <v>13.5</v>
      </c>
      <c r="AE36" s="9">
        <v>15</v>
      </c>
      <c r="AF36" s="238">
        <f t="shared" ref="AF36:AH38" si="29">AB36/2.54</f>
        <v>4.9212598425196852</v>
      </c>
      <c r="AG36" s="9">
        <f t="shared" si="29"/>
        <v>5.5118110236220472</v>
      </c>
      <c r="AH36" s="65">
        <f t="shared" si="29"/>
        <v>5.3149606299212602</v>
      </c>
      <c r="AI36" s="9">
        <f t="shared" ref="AI36:AI38" si="30">AE36/2.54</f>
        <v>5.9055118110236222</v>
      </c>
    </row>
    <row r="37" spans="1:42" ht="14.25" customHeight="1">
      <c r="A37" s="113" t="s">
        <v>2970</v>
      </c>
      <c r="B37" s="9">
        <v>3.1</v>
      </c>
      <c r="C37" s="1" t="s">
        <v>1782</v>
      </c>
      <c r="D37" s="184"/>
      <c r="E37" s="184"/>
      <c r="H37" s="184"/>
      <c r="I37" s="184"/>
      <c r="L37" s="3"/>
      <c r="M37" s="3"/>
      <c r="N37" s="184">
        <v>500</v>
      </c>
      <c r="O37" s="6">
        <v>7.0000000000000007E-2</v>
      </c>
      <c r="P37" s="222">
        <f>$R$1*(13*20*2.6/7)/1000000</f>
        <v>8.1119999999999998E-2</v>
      </c>
      <c r="Q37" s="222">
        <f t="shared" si="13"/>
        <v>0.15112</v>
      </c>
      <c r="R37" s="107">
        <f t="shared" si="26"/>
        <v>6.6172578083642133</v>
      </c>
      <c r="S37" s="226">
        <v>7</v>
      </c>
      <c r="T37" s="225" t="s">
        <v>6235</v>
      </c>
      <c r="V37" s="113" t="s">
        <v>2970</v>
      </c>
      <c r="W37" s="225" t="s">
        <v>6235</v>
      </c>
      <c r="X37" s="225" t="s">
        <v>6206</v>
      </c>
      <c r="Y37" s="225" t="s">
        <v>6219</v>
      </c>
      <c r="Z37" s="226">
        <v>7</v>
      </c>
      <c r="AB37" s="9">
        <v>13</v>
      </c>
      <c r="AC37" s="9">
        <v>19</v>
      </c>
      <c r="AD37" s="9">
        <v>13.5</v>
      </c>
      <c r="AE37" s="9">
        <v>20</v>
      </c>
      <c r="AF37" s="238">
        <f t="shared" si="29"/>
        <v>5.1181102362204722</v>
      </c>
      <c r="AG37" s="9">
        <f t="shared" si="29"/>
        <v>7.4803149606299213</v>
      </c>
      <c r="AH37" s="65">
        <f t="shared" si="29"/>
        <v>5.3149606299212602</v>
      </c>
      <c r="AI37" s="9">
        <f t="shared" si="30"/>
        <v>7.8740157480314963</v>
      </c>
    </row>
    <row r="38" spans="1:42" ht="14.25" customHeight="1">
      <c r="A38" s="113" t="s">
        <v>2971</v>
      </c>
      <c r="B38" s="9">
        <v>3.9</v>
      </c>
      <c r="C38" s="1" t="s">
        <v>1785</v>
      </c>
      <c r="D38" s="184"/>
      <c r="E38" s="184"/>
      <c r="H38" s="184"/>
      <c r="I38" s="184"/>
      <c r="L38" s="3"/>
      <c r="M38" s="3"/>
      <c r="N38" s="184">
        <v>500</v>
      </c>
      <c r="O38" s="6">
        <v>0.1</v>
      </c>
      <c r="P38" s="222">
        <f>$R$1*(13*25*2.6/7)/1000000</f>
        <v>0.1014</v>
      </c>
      <c r="Q38" s="222">
        <f t="shared" si="13"/>
        <v>0.20140000000000002</v>
      </c>
      <c r="R38" s="107">
        <f t="shared" si="26"/>
        <v>4.9652432969215488</v>
      </c>
      <c r="S38" s="226">
        <v>5</v>
      </c>
      <c r="T38" s="225" t="s">
        <v>6236</v>
      </c>
      <c r="V38" s="113" t="s">
        <v>2971</v>
      </c>
      <c r="W38" s="225" t="s">
        <v>6236</v>
      </c>
      <c r="X38" s="225" t="s">
        <v>6207</v>
      </c>
      <c r="Y38" s="225" t="s">
        <v>6220</v>
      </c>
      <c r="Z38" s="226">
        <v>5</v>
      </c>
      <c r="AB38" s="9">
        <v>12.5</v>
      </c>
      <c r="AC38" s="9">
        <v>24</v>
      </c>
      <c r="AD38" s="9">
        <v>13</v>
      </c>
      <c r="AE38" s="9">
        <v>25</v>
      </c>
      <c r="AF38" s="238">
        <f t="shared" si="29"/>
        <v>4.9212598425196852</v>
      </c>
      <c r="AG38" s="9">
        <f t="shared" si="29"/>
        <v>9.4488188976377945</v>
      </c>
      <c r="AH38" s="65">
        <f t="shared" si="29"/>
        <v>5.1181102362204722</v>
      </c>
      <c r="AI38" s="9">
        <f t="shared" si="30"/>
        <v>9.8425196850393704</v>
      </c>
    </row>
    <row r="39" spans="1:42" ht="14.25" customHeight="1">
      <c r="A39" s="113"/>
      <c r="C39" s="1"/>
      <c r="D39" s="184"/>
      <c r="E39" s="184"/>
      <c r="H39" s="184"/>
      <c r="I39" s="184"/>
      <c r="L39" s="3"/>
      <c r="M39" s="3"/>
      <c r="N39" s="184"/>
      <c r="O39" s="6"/>
      <c r="P39" s="222"/>
      <c r="Q39" s="222"/>
      <c r="S39" s="226"/>
      <c r="T39" s="9"/>
      <c r="V39" s="113"/>
      <c r="Z39" s="226"/>
      <c r="AF39" s="238"/>
      <c r="AH39" s="65"/>
    </row>
    <row r="40" spans="1:42" ht="14.25" customHeight="1">
      <c r="A40" s="113" t="s">
        <v>2972</v>
      </c>
      <c r="B40" s="9">
        <v>2.5</v>
      </c>
      <c r="C40" s="1" t="s">
        <v>1789</v>
      </c>
      <c r="D40" s="184"/>
      <c r="E40" s="184"/>
      <c r="H40" s="184"/>
      <c r="I40" s="184"/>
      <c r="L40" s="3"/>
      <c r="M40" s="3"/>
      <c r="N40" s="184">
        <v>500</v>
      </c>
      <c r="O40" s="6">
        <v>7.0000000000000007E-2</v>
      </c>
      <c r="P40" s="222">
        <f>$R$1*(15*15*2.6/7)/1000000</f>
        <v>7.0199999999999999E-2</v>
      </c>
      <c r="Q40" s="222">
        <f t="shared" si="13"/>
        <v>0.14019999999999999</v>
      </c>
      <c r="R40" s="107">
        <f t="shared" si="26"/>
        <v>7.132667617689016</v>
      </c>
      <c r="S40" s="226">
        <v>7</v>
      </c>
      <c r="T40" s="225" t="s">
        <v>6237</v>
      </c>
      <c r="V40" s="113" t="s">
        <v>2972</v>
      </c>
      <c r="W40" s="225" t="s">
        <v>6237</v>
      </c>
      <c r="X40" s="225" t="s">
        <v>6208</v>
      </c>
      <c r="Y40" s="225" t="s">
        <v>6221</v>
      </c>
      <c r="Z40" s="226">
        <v>7</v>
      </c>
      <c r="AB40" s="9">
        <v>14.5</v>
      </c>
      <c r="AC40" s="9">
        <v>14</v>
      </c>
      <c r="AD40" s="9">
        <v>15.5</v>
      </c>
      <c r="AE40" s="9">
        <v>15</v>
      </c>
      <c r="AF40" s="238">
        <f t="shared" ref="AF40" si="31">AB40/2.54</f>
        <v>5.7086614173228343</v>
      </c>
      <c r="AG40" s="9">
        <f t="shared" ref="AG40:AH42" si="32">AC40/2.54</f>
        <v>5.5118110236220472</v>
      </c>
      <c r="AH40" s="65">
        <f t="shared" si="32"/>
        <v>6.1023622047244093</v>
      </c>
      <c r="AI40" s="9">
        <f t="shared" ref="AI40" si="33">AE40/2.54</f>
        <v>5.9055118110236222</v>
      </c>
      <c r="AP40" s="4"/>
    </row>
    <row r="41" spans="1:42" ht="14.25" customHeight="1">
      <c r="A41" s="113" t="s">
        <v>4101</v>
      </c>
      <c r="B41" s="9">
        <v>3.4</v>
      </c>
      <c r="C41" s="1" t="s">
        <v>6360</v>
      </c>
      <c r="D41" s="184"/>
      <c r="E41" s="184"/>
      <c r="H41" s="184"/>
      <c r="I41" s="184"/>
      <c r="L41" s="3"/>
      <c r="M41" s="3"/>
      <c r="N41" s="184">
        <v>500</v>
      </c>
      <c r="O41" s="6">
        <v>0.08</v>
      </c>
      <c r="P41" s="222">
        <f>$R$1*(15*20*2.6/7)/1000000</f>
        <v>9.3600000000000003E-2</v>
      </c>
      <c r="Q41" s="222">
        <f t="shared" si="13"/>
        <v>0.1736</v>
      </c>
      <c r="R41" s="107">
        <f t="shared" si="26"/>
        <v>5.7603686635944698</v>
      </c>
      <c r="S41" s="226">
        <v>6</v>
      </c>
      <c r="T41" s="225" t="s">
        <v>6238</v>
      </c>
      <c r="V41" s="113" t="s">
        <v>4101</v>
      </c>
      <c r="W41" s="225" t="s">
        <v>6238</v>
      </c>
      <c r="X41" s="225" t="s">
        <v>6246</v>
      </c>
      <c r="Y41" s="225" t="s">
        <v>6222</v>
      </c>
      <c r="Z41" s="226">
        <v>6</v>
      </c>
      <c r="AB41" s="9">
        <v>14.5</v>
      </c>
      <c r="AC41" s="9">
        <v>19</v>
      </c>
      <c r="AD41" s="9">
        <v>15.5</v>
      </c>
      <c r="AE41" s="9">
        <v>20</v>
      </c>
      <c r="AF41" s="238">
        <f t="shared" ref="AF41:AF44" si="34">AB41/2.54</f>
        <v>5.7086614173228343</v>
      </c>
      <c r="AG41" s="9">
        <f t="shared" si="32"/>
        <v>7.4803149606299213</v>
      </c>
      <c r="AH41" s="65">
        <f t="shared" si="32"/>
        <v>6.1023622047244093</v>
      </c>
      <c r="AI41" s="9">
        <f t="shared" ref="AI41:AI42" si="35">AE41/2.54</f>
        <v>7.8740157480314963</v>
      </c>
    </row>
    <row r="42" spans="1:42" ht="14.25" customHeight="1">
      <c r="A42" s="113" t="s">
        <v>2973</v>
      </c>
      <c r="B42" s="9">
        <v>4.7</v>
      </c>
      <c r="C42" s="1" t="s">
        <v>1784</v>
      </c>
      <c r="D42" s="184"/>
      <c r="E42" s="184"/>
      <c r="H42" s="184"/>
      <c r="I42" s="184"/>
      <c r="L42" s="3"/>
      <c r="M42" s="3"/>
      <c r="N42" s="184">
        <v>500</v>
      </c>
      <c r="O42" s="6">
        <v>0.12</v>
      </c>
      <c r="P42" s="222">
        <f>$R$1*(15*25*2.6/7)/1000000</f>
        <v>0.11700000000000001</v>
      </c>
      <c r="Q42" s="222">
        <f t="shared" si="13"/>
        <v>0.23699999999999999</v>
      </c>
      <c r="R42" s="107">
        <f t="shared" si="26"/>
        <v>4.2194092827004219</v>
      </c>
      <c r="S42" s="226">
        <v>4</v>
      </c>
      <c r="T42" s="225" t="s">
        <v>6239</v>
      </c>
      <c r="V42" s="113" t="s">
        <v>2973</v>
      </c>
      <c r="W42" s="225" t="s">
        <v>6239</v>
      </c>
      <c r="X42" s="225" t="s">
        <v>6209</v>
      </c>
      <c r="Y42" s="225" t="s">
        <v>6223</v>
      </c>
      <c r="Z42" s="226">
        <v>4</v>
      </c>
      <c r="AB42" s="9">
        <v>14.5</v>
      </c>
      <c r="AC42" s="9">
        <v>23.5</v>
      </c>
      <c r="AD42" s="9">
        <v>15.5</v>
      </c>
      <c r="AE42" s="9">
        <v>25.5</v>
      </c>
      <c r="AF42" s="238">
        <f t="shared" si="34"/>
        <v>5.7086614173228343</v>
      </c>
      <c r="AG42" s="9">
        <f t="shared" si="32"/>
        <v>9.2519685039370074</v>
      </c>
      <c r="AH42" s="65">
        <f t="shared" si="32"/>
        <v>6.1023622047244093</v>
      </c>
      <c r="AI42" s="9">
        <f t="shared" si="35"/>
        <v>10.039370078740157</v>
      </c>
    </row>
    <row r="43" spans="1:42" ht="14.25" customHeight="1">
      <c r="A43" s="113"/>
      <c r="C43" s="1"/>
      <c r="D43" s="184"/>
      <c r="E43" s="184"/>
      <c r="H43" s="184"/>
      <c r="I43" s="184"/>
      <c r="L43" s="3"/>
      <c r="M43" s="3"/>
      <c r="N43" s="184"/>
      <c r="O43" s="6"/>
      <c r="P43" s="222"/>
      <c r="Q43" s="222"/>
      <c r="S43" s="226"/>
      <c r="T43" s="9"/>
      <c r="V43" s="113"/>
      <c r="Z43" s="226"/>
      <c r="AF43" s="238"/>
      <c r="AH43" s="65"/>
    </row>
    <row r="44" spans="1:42" ht="14.25" customHeight="1">
      <c r="A44" s="113" t="s">
        <v>4100</v>
      </c>
      <c r="B44" s="9">
        <v>6.3</v>
      </c>
      <c r="C44" s="1" t="s">
        <v>1778</v>
      </c>
      <c r="D44" s="184"/>
      <c r="E44" s="184"/>
      <c r="H44" s="184"/>
      <c r="I44" s="184"/>
      <c r="L44" s="3"/>
      <c r="M44" s="3"/>
      <c r="N44" s="184">
        <v>50</v>
      </c>
      <c r="O44" s="6">
        <v>0.15</v>
      </c>
      <c r="P44" s="222">
        <f>$R$1*(20*25*2.6/7)/1000000</f>
        <v>0.156</v>
      </c>
      <c r="Q44" s="222">
        <f t="shared" si="13"/>
        <v>0.30599999999999999</v>
      </c>
      <c r="R44" s="107">
        <f t="shared" si="26"/>
        <v>3.2679738562091503</v>
      </c>
      <c r="S44" s="226">
        <v>3</v>
      </c>
      <c r="T44" s="225" t="s">
        <v>6240</v>
      </c>
      <c r="V44" s="113" t="s">
        <v>4100</v>
      </c>
      <c r="W44" s="225" t="s">
        <v>6240</v>
      </c>
      <c r="X44" s="225" t="s">
        <v>6210</v>
      </c>
      <c r="Y44" s="225" t="s">
        <v>6224</v>
      </c>
      <c r="Z44" s="226">
        <v>3</v>
      </c>
      <c r="AB44" s="9">
        <v>19.5</v>
      </c>
      <c r="AC44" s="9">
        <v>24</v>
      </c>
      <c r="AD44" s="9">
        <v>20.5</v>
      </c>
      <c r="AE44" s="9">
        <v>25</v>
      </c>
      <c r="AF44" s="238">
        <f t="shared" si="34"/>
        <v>7.6771653543307083</v>
      </c>
      <c r="AG44" s="9">
        <f t="shared" ref="AG44:AH49" si="36">AC44/2.54</f>
        <v>9.4488188976377945</v>
      </c>
      <c r="AH44" s="65">
        <f t="shared" si="36"/>
        <v>8.0708661417322833</v>
      </c>
      <c r="AI44" s="9">
        <f t="shared" ref="AI44" si="37">AE44/2.54</f>
        <v>9.8425196850393704</v>
      </c>
    </row>
    <row r="45" spans="1:42" ht="14.25" customHeight="1">
      <c r="A45" s="113" t="s">
        <v>2974</v>
      </c>
      <c r="B45" s="9">
        <v>6.2</v>
      </c>
      <c r="C45" s="1" t="s">
        <v>1777</v>
      </c>
      <c r="D45" s="184"/>
      <c r="E45" s="184"/>
      <c r="H45" s="184"/>
      <c r="I45" s="184"/>
      <c r="L45" s="3"/>
      <c r="M45" s="3"/>
      <c r="N45" s="184">
        <v>50</v>
      </c>
      <c r="O45" s="6">
        <v>0.18</v>
      </c>
      <c r="P45" s="222">
        <f>$R$1*(20*30*2.6/7)/1000000</f>
        <v>0.18720000000000001</v>
      </c>
      <c r="Q45" s="222">
        <f t="shared" si="13"/>
        <v>0.36719999999999997</v>
      </c>
      <c r="R45" s="107">
        <f t="shared" si="26"/>
        <v>2.723311546840959</v>
      </c>
      <c r="S45" s="226">
        <v>3</v>
      </c>
      <c r="T45" s="225" t="s">
        <v>6241</v>
      </c>
      <c r="V45" s="113" t="s">
        <v>2974</v>
      </c>
      <c r="W45" s="225" t="s">
        <v>6241</v>
      </c>
      <c r="X45" s="225" t="s">
        <v>6211</v>
      </c>
      <c r="Y45" s="225" t="s">
        <v>6225</v>
      </c>
      <c r="Z45" s="226">
        <v>3</v>
      </c>
      <c r="AB45" s="9">
        <v>19.5</v>
      </c>
      <c r="AC45" s="9">
        <v>28.5</v>
      </c>
      <c r="AD45" s="9">
        <v>20.5</v>
      </c>
      <c r="AE45" s="9">
        <v>30</v>
      </c>
      <c r="AF45" s="238">
        <f t="shared" ref="AF45:AF49" si="38">AB45/2.54</f>
        <v>7.6771653543307083</v>
      </c>
      <c r="AG45" s="9">
        <f t="shared" si="36"/>
        <v>11.220472440944881</v>
      </c>
      <c r="AH45" s="65">
        <f t="shared" si="36"/>
        <v>8.0708661417322833</v>
      </c>
      <c r="AI45" s="9">
        <f t="shared" ref="AI45:AI49" si="39">AE45/2.54</f>
        <v>11.811023622047244</v>
      </c>
    </row>
    <row r="46" spans="1:42" ht="14.25" customHeight="1">
      <c r="A46" s="113" t="s">
        <v>4086</v>
      </c>
      <c r="B46" s="9">
        <v>6.6</v>
      </c>
      <c r="C46" s="1" t="s">
        <v>1781</v>
      </c>
      <c r="D46" s="184"/>
      <c r="E46" s="184"/>
      <c r="H46" s="184"/>
      <c r="I46" s="184"/>
      <c r="L46" s="3"/>
      <c r="M46" s="3"/>
      <c r="N46" s="184">
        <v>50</v>
      </c>
      <c r="O46" s="6">
        <v>0.2</v>
      </c>
      <c r="P46" s="222">
        <f>$R$1*(25*25*2.6/7)/1000000</f>
        <v>0.19500000000000001</v>
      </c>
      <c r="Q46" s="222">
        <f t="shared" si="13"/>
        <v>0.39500000000000002</v>
      </c>
      <c r="R46" s="107">
        <f t="shared" si="26"/>
        <v>2.5316455696202529</v>
      </c>
      <c r="S46" s="226">
        <v>3</v>
      </c>
      <c r="T46" s="225" t="s">
        <v>6242</v>
      </c>
      <c r="V46" s="113" t="s">
        <v>4086</v>
      </c>
      <c r="W46" s="225" t="s">
        <v>6242</v>
      </c>
      <c r="X46" s="225" t="s">
        <v>6227</v>
      </c>
      <c r="Y46" s="225" t="s">
        <v>6226</v>
      </c>
      <c r="Z46" s="226">
        <v>3</v>
      </c>
      <c r="AB46" s="9">
        <v>24.5</v>
      </c>
      <c r="AC46" s="9">
        <v>24</v>
      </c>
      <c r="AD46" s="9">
        <v>25.5</v>
      </c>
      <c r="AE46" s="9">
        <v>25</v>
      </c>
      <c r="AF46" s="238">
        <f t="shared" si="38"/>
        <v>9.6456692913385833</v>
      </c>
      <c r="AG46" s="9">
        <f t="shared" si="36"/>
        <v>9.4488188976377945</v>
      </c>
      <c r="AH46" s="65">
        <f t="shared" si="36"/>
        <v>10.039370078740157</v>
      </c>
      <c r="AI46" s="9">
        <f t="shared" si="39"/>
        <v>9.8425196850393704</v>
      </c>
    </row>
    <row r="47" spans="1:42" ht="14.25" customHeight="1">
      <c r="A47" s="113" t="s">
        <v>2975</v>
      </c>
      <c r="B47" s="9">
        <v>8.4</v>
      </c>
      <c r="C47" s="1" t="s">
        <v>1779</v>
      </c>
      <c r="D47" s="184"/>
      <c r="E47" s="184"/>
      <c r="H47" s="184"/>
      <c r="I47" s="184"/>
      <c r="L47" s="3"/>
      <c r="M47" s="3"/>
      <c r="N47" s="184">
        <v>50</v>
      </c>
      <c r="O47" s="6">
        <v>0.24</v>
      </c>
      <c r="P47" s="222">
        <f>$R$1*(25*30*2.6/7)/1000000</f>
        <v>0.23400000000000001</v>
      </c>
      <c r="Q47" s="222">
        <f t="shared" si="13"/>
        <v>0.47399999999999998</v>
      </c>
      <c r="R47" s="107">
        <f t="shared" si="26"/>
        <v>2.109704641350211</v>
      </c>
      <c r="S47" s="226">
        <v>2</v>
      </c>
      <c r="T47" s="225" t="s">
        <v>6243</v>
      </c>
      <c r="V47" s="113" t="s">
        <v>2975</v>
      </c>
      <c r="W47" s="225" t="s">
        <v>6243</v>
      </c>
      <c r="X47" s="225" t="s">
        <v>6212</v>
      </c>
      <c r="Y47" s="225" t="s">
        <v>6228</v>
      </c>
      <c r="Z47" s="226">
        <v>2</v>
      </c>
      <c r="AB47" s="9">
        <v>24.5</v>
      </c>
      <c r="AC47" s="9">
        <v>29</v>
      </c>
      <c r="AD47" s="9">
        <v>25.5</v>
      </c>
      <c r="AE47" s="9">
        <v>30</v>
      </c>
      <c r="AF47" s="238">
        <f t="shared" si="38"/>
        <v>9.6456692913385833</v>
      </c>
      <c r="AG47" s="9">
        <f t="shared" si="36"/>
        <v>11.417322834645669</v>
      </c>
      <c r="AH47" s="65">
        <f t="shared" si="36"/>
        <v>10.039370078740157</v>
      </c>
      <c r="AI47" s="9">
        <f t="shared" si="39"/>
        <v>11.811023622047244</v>
      </c>
    </row>
    <row r="48" spans="1:42" ht="14.25" customHeight="1">
      <c r="A48" s="133" t="s">
        <v>2976</v>
      </c>
      <c r="B48" s="9">
        <v>11</v>
      </c>
      <c r="C48" s="1" t="s">
        <v>1774</v>
      </c>
      <c r="D48" s="184"/>
      <c r="E48" s="184"/>
      <c r="H48" s="184"/>
      <c r="I48" s="184"/>
      <c r="L48" s="3"/>
      <c r="M48" s="3"/>
      <c r="N48" s="184">
        <v>50</v>
      </c>
      <c r="O48" s="6">
        <v>0.26</v>
      </c>
      <c r="P48" s="222">
        <f>$R$1*(25*35*2.6/7)/1000000</f>
        <v>0.27300000000000002</v>
      </c>
      <c r="Q48" s="222">
        <f t="shared" si="13"/>
        <v>0.53300000000000003</v>
      </c>
      <c r="R48" s="107">
        <f t="shared" si="26"/>
        <v>1.8761726078799248</v>
      </c>
      <c r="S48" s="226">
        <v>2</v>
      </c>
      <c r="T48" s="225" t="s">
        <v>6244</v>
      </c>
      <c r="V48" s="133" t="s">
        <v>2976</v>
      </c>
      <c r="W48" s="225" t="s">
        <v>6244</v>
      </c>
      <c r="X48" s="225" t="s">
        <v>6213</v>
      </c>
      <c r="Y48" s="225" t="s">
        <v>6229</v>
      </c>
      <c r="Z48" s="226">
        <v>2</v>
      </c>
      <c r="AB48" s="9">
        <v>24.5</v>
      </c>
      <c r="AC48" s="9">
        <v>34</v>
      </c>
      <c r="AD48" s="9">
        <v>25.5</v>
      </c>
      <c r="AE48" s="9">
        <v>35</v>
      </c>
      <c r="AF48" s="238">
        <f t="shared" si="38"/>
        <v>9.6456692913385833</v>
      </c>
      <c r="AG48" s="9">
        <f t="shared" si="36"/>
        <v>13.385826771653543</v>
      </c>
      <c r="AH48" s="65">
        <f t="shared" si="36"/>
        <v>10.039370078740157</v>
      </c>
      <c r="AI48" s="9">
        <f t="shared" si="39"/>
        <v>13.779527559055119</v>
      </c>
      <c r="AP48" s="4"/>
    </row>
    <row r="49" spans="1:42" ht="14.25" customHeight="1">
      <c r="A49" s="113" t="s">
        <v>4092</v>
      </c>
      <c r="B49" s="9">
        <v>12</v>
      </c>
      <c r="C49" s="1" t="s">
        <v>1780</v>
      </c>
      <c r="D49" s="184"/>
      <c r="E49" s="184"/>
      <c r="H49" s="184"/>
      <c r="I49" s="184"/>
      <c r="L49" s="3"/>
      <c r="M49" s="3"/>
      <c r="N49" s="184">
        <v>50</v>
      </c>
      <c r="O49" s="6">
        <v>0.32</v>
      </c>
      <c r="P49" s="222">
        <f>$R$1*(30*35*2.6/7)/1000000</f>
        <v>0.3276</v>
      </c>
      <c r="Q49" s="222">
        <f t="shared" si="13"/>
        <v>0.64759999999999995</v>
      </c>
      <c r="R49" s="107">
        <f t="shared" si="26"/>
        <v>1.5441630636195183</v>
      </c>
      <c r="S49" s="226">
        <v>2</v>
      </c>
      <c r="T49" s="225" t="s">
        <v>6245</v>
      </c>
      <c r="V49" s="113" t="s">
        <v>4092</v>
      </c>
      <c r="W49" s="225" t="s">
        <v>6245</v>
      </c>
      <c r="X49" s="225" t="s">
        <v>6214</v>
      </c>
      <c r="Y49" s="225" t="s">
        <v>6230</v>
      </c>
      <c r="Z49" s="226">
        <v>2</v>
      </c>
      <c r="AB49" s="9">
        <v>29.5</v>
      </c>
      <c r="AC49" s="9">
        <v>34</v>
      </c>
      <c r="AD49" s="9">
        <v>30.5</v>
      </c>
      <c r="AE49" s="9">
        <v>35</v>
      </c>
      <c r="AF49" s="238">
        <f t="shared" si="38"/>
        <v>11.614173228346457</v>
      </c>
      <c r="AG49" s="9">
        <f t="shared" si="36"/>
        <v>13.385826771653543</v>
      </c>
      <c r="AH49" s="65">
        <f t="shared" si="36"/>
        <v>12.007874015748031</v>
      </c>
      <c r="AI49" s="9">
        <f t="shared" si="39"/>
        <v>13.779527559055119</v>
      </c>
    </row>
    <row r="50" spans="1:42" ht="14.25" customHeight="1">
      <c r="A50" s="113"/>
      <c r="C50" s="1"/>
      <c r="D50" s="184"/>
      <c r="E50" s="184"/>
      <c r="H50" s="184"/>
      <c r="I50" s="184"/>
      <c r="L50" s="3"/>
      <c r="M50" s="3"/>
      <c r="N50" s="184"/>
      <c r="O50" s="6"/>
      <c r="P50" s="222"/>
      <c r="Q50" s="222"/>
    </row>
    <row r="51" spans="1:42" ht="14.25" customHeight="1">
      <c r="A51" s="110">
        <v>104.01</v>
      </c>
      <c r="B51" s="3">
        <v>2.5</v>
      </c>
      <c r="C51" s="1" t="s">
        <v>2981</v>
      </c>
      <c r="D51" s="184"/>
      <c r="E51" s="184"/>
      <c r="H51" s="184"/>
      <c r="I51" s="184"/>
      <c r="L51" s="3"/>
      <c r="M51" s="3"/>
      <c r="N51" s="184">
        <v>100</v>
      </c>
      <c r="O51" s="6">
        <v>0.08</v>
      </c>
      <c r="P51" s="221">
        <f>0.065*$R$1/11100*B51</f>
        <v>1.2297297297297297E-2</v>
      </c>
      <c r="Q51" s="222">
        <f t="shared" si="13"/>
        <v>9.2297297297297298E-2</v>
      </c>
      <c r="R51" s="224">
        <f>2/Q51/2</f>
        <v>10.834553440702782</v>
      </c>
      <c r="S51" s="226">
        <v>10</v>
      </c>
      <c r="T51" s="293" t="s">
        <v>6346</v>
      </c>
      <c r="AA51" s="56"/>
      <c r="AJ51" s="211" t="s">
        <v>2981</v>
      </c>
    </row>
    <row r="52" spans="1:42" ht="14.25" customHeight="1">
      <c r="A52" s="110">
        <v>104.02</v>
      </c>
      <c r="B52" s="3">
        <v>3.1</v>
      </c>
      <c r="C52" s="1" t="s">
        <v>2982</v>
      </c>
      <c r="D52" s="184"/>
      <c r="E52" s="184"/>
      <c r="H52" s="184"/>
      <c r="I52" s="184"/>
      <c r="L52" s="3"/>
      <c r="M52" s="3"/>
      <c r="N52" s="184">
        <v>100</v>
      </c>
      <c r="O52" s="6">
        <v>0.13</v>
      </c>
      <c r="P52" s="221">
        <f t="shared" ref="P52:P60" si="40">0.065*$R$1/11100*B52</f>
        <v>1.5248648648648649E-2</v>
      </c>
      <c r="Q52" s="222">
        <f t="shared" si="13"/>
        <v>0.14524864864864864</v>
      </c>
      <c r="R52" s="224">
        <f t="shared" ref="R52:R60" si="41">2/Q52/2</f>
        <v>6.8847456365598605</v>
      </c>
      <c r="S52" s="226">
        <v>7</v>
      </c>
      <c r="T52" s="293" t="s">
        <v>6347</v>
      </c>
    </row>
    <row r="53" spans="1:42" ht="14.25" customHeight="1">
      <c r="A53" s="110">
        <v>104.03</v>
      </c>
      <c r="B53" s="3">
        <v>5.8</v>
      </c>
      <c r="C53" s="1" t="s">
        <v>2983</v>
      </c>
      <c r="D53" s="184"/>
      <c r="E53" s="184"/>
      <c r="H53" s="184"/>
      <c r="I53" s="184"/>
      <c r="L53" s="3"/>
      <c r="M53" s="3"/>
      <c r="N53" s="184">
        <v>100</v>
      </c>
      <c r="O53" s="6">
        <v>0.12</v>
      </c>
      <c r="P53" s="221">
        <f t="shared" si="40"/>
        <v>2.8529729729729728E-2</v>
      </c>
      <c r="Q53" s="222">
        <f t="shared" si="13"/>
        <v>0.14852972972972972</v>
      </c>
      <c r="R53" s="224">
        <f t="shared" si="41"/>
        <v>6.7326588543562123</v>
      </c>
      <c r="S53" s="226">
        <v>6</v>
      </c>
      <c r="T53" s="293" t="s">
        <v>6348</v>
      </c>
      <c r="AA53" s="226"/>
    </row>
    <row r="54" spans="1:42" ht="14.25" customHeight="1">
      <c r="A54" s="110">
        <v>104.04</v>
      </c>
      <c r="B54" s="3">
        <v>7.5</v>
      </c>
      <c r="C54" s="1" t="s">
        <v>2984</v>
      </c>
      <c r="D54" s="184"/>
      <c r="E54" s="184"/>
      <c r="H54" s="184"/>
      <c r="I54" s="184"/>
      <c r="L54" s="3"/>
      <c r="M54" s="3"/>
      <c r="N54" s="184">
        <v>100</v>
      </c>
      <c r="O54" s="6">
        <v>0.14000000000000001</v>
      </c>
      <c r="P54" s="221">
        <f t="shared" si="40"/>
        <v>3.689189189189189E-2</v>
      </c>
      <c r="Q54" s="222">
        <f t="shared" si="13"/>
        <v>0.17689189189189192</v>
      </c>
      <c r="R54" s="224">
        <f t="shared" si="41"/>
        <v>5.6531703590527114</v>
      </c>
      <c r="S54" s="226">
        <v>5</v>
      </c>
      <c r="T54" s="293" t="s">
        <v>6349</v>
      </c>
      <c r="AA54" s="226"/>
    </row>
    <row r="55" spans="1:42" ht="14.25" customHeight="1">
      <c r="A55" s="110">
        <v>104.05</v>
      </c>
      <c r="B55" s="3">
        <f>49.7-41</f>
        <v>8.7000000000000028</v>
      </c>
      <c r="C55" s="1" t="s">
        <v>2985</v>
      </c>
      <c r="D55" s="184"/>
      <c r="E55" s="184"/>
      <c r="H55" s="184"/>
      <c r="I55" s="184"/>
      <c r="L55" s="3"/>
      <c r="M55" s="3"/>
      <c r="N55" s="184">
        <v>100</v>
      </c>
      <c r="O55" s="6">
        <v>0.19</v>
      </c>
      <c r="P55" s="221">
        <f t="shared" si="40"/>
        <v>4.2794594594594608E-2</v>
      </c>
      <c r="Q55" s="222">
        <f t="shared" si="13"/>
        <v>0.23279459459459462</v>
      </c>
      <c r="R55" s="224">
        <f t="shared" si="41"/>
        <v>4.2956323867462318</v>
      </c>
      <c r="S55" s="226">
        <v>4</v>
      </c>
      <c r="T55" s="293" t="s">
        <v>6350</v>
      </c>
      <c r="AA55" s="226"/>
      <c r="AP55" s="4"/>
    </row>
    <row r="56" spans="1:42" ht="14.25" customHeight="1">
      <c r="A56" s="110">
        <v>104.06</v>
      </c>
      <c r="B56" s="3">
        <v>9.6</v>
      </c>
      <c r="C56" s="1" t="s">
        <v>2986</v>
      </c>
      <c r="D56" s="184"/>
      <c r="E56" s="184"/>
      <c r="H56" s="184"/>
      <c r="I56" s="184"/>
      <c r="L56" s="3"/>
      <c r="M56" s="3"/>
      <c r="N56" s="184">
        <v>100</v>
      </c>
      <c r="O56" s="6">
        <v>0.22</v>
      </c>
      <c r="P56" s="221">
        <f t="shared" si="40"/>
        <v>4.7221621621621621E-2</v>
      </c>
      <c r="Q56" s="222">
        <f t="shared" si="13"/>
        <v>0.26722162162162161</v>
      </c>
      <c r="R56" s="224">
        <f t="shared" si="41"/>
        <v>3.7422121530868195</v>
      </c>
      <c r="S56" s="226">
        <v>4</v>
      </c>
      <c r="T56" s="293" t="s">
        <v>6351</v>
      </c>
      <c r="AA56" s="226"/>
    </row>
    <row r="57" spans="1:42" ht="14.25" customHeight="1">
      <c r="A57" s="110">
        <v>104.07</v>
      </c>
      <c r="B57" s="3">
        <v>11.3</v>
      </c>
      <c r="C57" s="1" t="s">
        <v>2987</v>
      </c>
      <c r="D57" s="184"/>
      <c r="E57" s="184"/>
      <c r="H57" s="184"/>
      <c r="I57" s="184"/>
      <c r="L57" s="3"/>
      <c r="M57" s="3"/>
      <c r="N57" s="184">
        <v>100</v>
      </c>
      <c r="O57" s="6">
        <v>0.33</v>
      </c>
      <c r="P57" s="221">
        <f t="shared" si="40"/>
        <v>5.5583783783783786E-2</v>
      </c>
      <c r="Q57" s="222">
        <f t="shared" si="13"/>
        <v>0.38558378378378377</v>
      </c>
      <c r="R57" s="224">
        <f t="shared" si="41"/>
        <v>2.5934700629442196</v>
      </c>
      <c r="S57" s="226">
        <v>3</v>
      </c>
      <c r="T57" s="293" t="s">
        <v>6352</v>
      </c>
      <c r="AA57" s="226"/>
    </row>
    <row r="58" spans="1:42" ht="14.25" customHeight="1">
      <c r="A58" s="110">
        <v>104.08</v>
      </c>
      <c r="B58" s="3">
        <v>20.7</v>
      </c>
      <c r="C58" s="1" t="s">
        <v>2988</v>
      </c>
      <c r="D58" s="184"/>
      <c r="E58" s="184"/>
      <c r="H58" s="184"/>
      <c r="I58" s="184"/>
      <c r="L58" s="3"/>
      <c r="M58" s="3"/>
      <c r="N58" s="184">
        <v>100</v>
      </c>
      <c r="O58" s="6">
        <v>0.47</v>
      </c>
      <c r="P58" s="221">
        <f t="shared" si="40"/>
        <v>0.10182162162162162</v>
      </c>
      <c r="Q58" s="222">
        <f t="shared" si="13"/>
        <v>0.57182162162162165</v>
      </c>
      <c r="R58" s="224">
        <f t="shared" si="41"/>
        <v>1.7487971111762315</v>
      </c>
      <c r="S58" s="226">
        <v>2</v>
      </c>
      <c r="T58" s="293" t="s">
        <v>6353</v>
      </c>
      <c r="AA58" s="226"/>
    </row>
    <row r="59" spans="1:42" ht="14.25" customHeight="1">
      <c r="A59" s="110">
        <v>104.09</v>
      </c>
      <c r="B59" s="3">
        <v>37</v>
      </c>
      <c r="C59" s="1" t="s">
        <v>2989</v>
      </c>
      <c r="D59" s="184"/>
      <c r="E59" s="184"/>
      <c r="H59" s="184"/>
      <c r="I59" s="184"/>
      <c r="L59" s="3"/>
      <c r="M59" s="3"/>
      <c r="N59" s="184">
        <v>50</v>
      </c>
      <c r="O59" s="6">
        <v>0.75</v>
      </c>
      <c r="P59" s="221">
        <f t="shared" si="40"/>
        <v>0.182</v>
      </c>
      <c r="Q59" s="222">
        <f t="shared" si="13"/>
        <v>0.93199999999999994</v>
      </c>
      <c r="R59" s="224">
        <f t="shared" si="41"/>
        <v>1.0729613733905581</v>
      </c>
      <c r="S59" s="226">
        <v>1</v>
      </c>
      <c r="T59" s="293" t="s">
        <v>6354</v>
      </c>
      <c r="AA59" s="226"/>
    </row>
    <row r="60" spans="1:42" ht="14.25" customHeight="1">
      <c r="A60" s="113" t="s">
        <v>2990</v>
      </c>
      <c r="B60" s="3">
        <v>46.6</v>
      </c>
      <c r="C60" s="1" t="s">
        <v>2991</v>
      </c>
      <c r="D60" s="184"/>
      <c r="E60" s="184"/>
      <c r="H60" s="184"/>
      <c r="I60" s="184"/>
      <c r="L60" s="3"/>
      <c r="M60" s="3"/>
      <c r="N60" s="184">
        <v>50</v>
      </c>
      <c r="O60" s="6">
        <v>0.96</v>
      </c>
      <c r="P60" s="221">
        <f t="shared" si="40"/>
        <v>0.22922162162162163</v>
      </c>
      <c r="Q60" s="222">
        <f t="shared" si="13"/>
        <v>1.1892216216216216</v>
      </c>
      <c r="R60" s="224">
        <f t="shared" si="41"/>
        <v>0.84088615765024588</v>
      </c>
      <c r="S60" s="226">
        <v>1</v>
      </c>
      <c r="T60" s="293" t="s">
        <v>6355</v>
      </c>
      <c r="AA60" s="226"/>
    </row>
    <row r="61" spans="1:42" ht="14.25" customHeight="1">
      <c r="A61" s="9"/>
      <c r="C61" s="1"/>
      <c r="D61" s="184"/>
      <c r="E61" s="184"/>
      <c r="H61" s="184"/>
      <c r="I61" s="184"/>
      <c r="L61" s="3"/>
      <c r="M61" s="3"/>
      <c r="N61" s="184"/>
      <c r="O61" s="6"/>
      <c r="P61" s="222"/>
      <c r="Q61" s="222"/>
    </row>
    <row r="62" spans="1:42" ht="14.25" hidden="1" customHeight="1">
      <c r="A62" s="112" t="s">
        <v>5977</v>
      </c>
      <c r="B62" s="9">
        <f>70/1000</f>
        <v>7.0000000000000007E-2</v>
      </c>
      <c r="C62" s="211" t="s">
        <v>1702</v>
      </c>
      <c r="N62" s="183">
        <f>10*1000</f>
        <v>10000</v>
      </c>
      <c r="O62" s="104">
        <f>6/1000</f>
        <v>6.0000000000000001E-3</v>
      </c>
      <c r="P62" s="220"/>
      <c r="Q62" s="220"/>
      <c r="V62" s="112" t="s">
        <v>5977</v>
      </c>
      <c r="W62" s="211" t="s">
        <v>1702</v>
      </c>
      <c r="X62" s="103"/>
      <c r="AA62" s="9"/>
      <c r="AC62" s="126"/>
      <c r="AJ62" s="9"/>
      <c r="AK62" s="9"/>
      <c r="AL62" s="211" t="s">
        <v>1702</v>
      </c>
    </row>
    <row r="63" spans="1:42" ht="14.25" hidden="1" customHeight="1">
      <c r="A63" s="112">
        <v>105.02</v>
      </c>
      <c r="B63" s="107">
        <f>118/1000</f>
        <v>0.11799999999999999</v>
      </c>
      <c r="C63" s="7" t="s">
        <v>1701</v>
      </c>
      <c r="N63" s="183">
        <f>10*1000</f>
        <v>10000</v>
      </c>
      <c r="O63" s="104">
        <f>7/1000</f>
        <v>7.0000000000000001E-3</v>
      </c>
      <c r="P63" s="220"/>
      <c r="Q63" s="220"/>
      <c r="V63" s="112">
        <v>105.02</v>
      </c>
      <c r="W63" s="7" t="s">
        <v>1701</v>
      </c>
      <c r="X63" s="103"/>
      <c r="AA63" s="9"/>
      <c r="AC63" s="126"/>
      <c r="AJ63" s="9"/>
      <c r="AK63" s="9"/>
    </row>
    <row r="64" spans="1:42" ht="14.25" hidden="1" customHeight="1">
      <c r="A64" s="112">
        <v>105.03</v>
      </c>
      <c r="B64" s="107">
        <f>282/2000</f>
        <v>0.14099999999999999</v>
      </c>
      <c r="C64" s="7" t="s">
        <v>1706</v>
      </c>
      <c r="N64" s="183">
        <f>2*1000</f>
        <v>2000</v>
      </c>
      <c r="O64" s="104">
        <f>9/1000</f>
        <v>8.9999999999999993E-3</v>
      </c>
      <c r="P64" s="220"/>
      <c r="Q64" s="220"/>
      <c r="V64" s="112">
        <v>105.03</v>
      </c>
      <c r="W64" s="7" t="s">
        <v>1706</v>
      </c>
      <c r="X64" s="103"/>
      <c r="AA64" s="9"/>
      <c r="AC64" s="126"/>
      <c r="AJ64" s="9"/>
      <c r="AK64" s="9"/>
    </row>
    <row r="65" spans="1:38" ht="14.25" hidden="1" customHeight="1">
      <c r="A65" s="112">
        <v>105.04</v>
      </c>
      <c r="B65" s="107">
        <f>466/1000</f>
        <v>0.46600000000000003</v>
      </c>
      <c r="C65" s="7" t="s">
        <v>1705</v>
      </c>
      <c r="N65" s="183">
        <f>15*100</f>
        <v>1500</v>
      </c>
      <c r="O65" s="104">
        <f>2/100</f>
        <v>0.02</v>
      </c>
      <c r="P65" s="220"/>
      <c r="Q65" s="220"/>
      <c r="V65" s="116" t="s">
        <v>2755</v>
      </c>
      <c r="W65" s="7" t="s">
        <v>1684</v>
      </c>
      <c r="X65" s="103"/>
      <c r="AA65" s="9"/>
      <c r="AC65" s="126"/>
      <c r="AJ65" s="9"/>
      <c r="AK65" s="9"/>
    </row>
    <row r="66" spans="1:38" ht="14.25" hidden="1" customHeight="1">
      <c r="A66" s="112">
        <v>105.05</v>
      </c>
      <c r="B66" s="107">
        <f>290/1000</f>
        <v>0.28999999999999998</v>
      </c>
      <c r="C66" s="7" t="s">
        <v>1703</v>
      </c>
      <c r="N66" s="183">
        <f>15*100</f>
        <v>1500</v>
      </c>
      <c r="O66" s="104">
        <f>2.5/100</f>
        <v>2.5000000000000001E-2</v>
      </c>
      <c r="P66" s="220"/>
      <c r="Q66" s="220"/>
      <c r="V66" s="112">
        <v>105.04</v>
      </c>
      <c r="W66" s="7" t="s">
        <v>1705</v>
      </c>
      <c r="X66" s="103"/>
      <c r="AA66" s="9"/>
      <c r="AC66" s="126"/>
      <c r="AJ66" s="9"/>
      <c r="AK66" s="9"/>
    </row>
    <row r="67" spans="1:38" ht="14.25" hidden="1" customHeight="1">
      <c r="A67" s="112">
        <v>105.06</v>
      </c>
      <c r="B67" s="107">
        <f>360/1000</f>
        <v>0.36</v>
      </c>
      <c r="C67" s="7" t="s">
        <v>1704</v>
      </c>
      <c r="N67" s="183">
        <f>10*100</f>
        <v>1000</v>
      </c>
      <c r="O67" s="104">
        <f>1.5/100</f>
        <v>1.4999999999999999E-2</v>
      </c>
      <c r="P67" s="220"/>
      <c r="Q67" s="220"/>
      <c r="V67" s="112">
        <v>105.05</v>
      </c>
      <c r="W67" s="7" t="s">
        <v>1703</v>
      </c>
      <c r="X67" s="103"/>
      <c r="AA67" s="9"/>
      <c r="AC67" s="126"/>
      <c r="AJ67" s="9"/>
      <c r="AK67" s="9"/>
    </row>
    <row r="68" spans="1:38" ht="14.25" hidden="1" customHeight="1">
      <c r="A68" s="112">
        <v>105.07</v>
      </c>
      <c r="B68" s="202">
        <f>(169.4-41.1)/200</f>
        <v>0.64150000000000007</v>
      </c>
      <c r="C68" s="7" t="s">
        <v>1724</v>
      </c>
      <c r="N68" s="183">
        <f>10*200</f>
        <v>2000</v>
      </c>
      <c r="O68" s="106">
        <f>3.95/200</f>
        <v>1.975E-2</v>
      </c>
      <c r="P68" s="219"/>
      <c r="Q68" s="219"/>
      <c r="V68" s="116">
        <v>105.09</v>
      </c>
      <c r="W68" s="7" t="s">
        <v>1691</v>
      </c>
      <c r="X68" s="103"/>
      <c r="AA68" s="9"/>
      <c r="AC68" s="126"/>
      <c r="AJ68" s="9"/>
      <c r="AK68" s="9"/>
    </row>
    <row r="69" spans="1:38" ht="14.25" hidden="1" customHeight="1">
      <c r="A69" s="116" t="s">
        <v>2755</v>
      </c>
      <c r="B69" s="107">
        <v>0.24</v>
      </c>
      <c r="C69" s="7" t="s">
        <v>1684</v>
      </c>
      <c r="N69" s="183">
        <f>50*100</f>
        <v>5000</v>
      </c>
      <c r="O69" s="104">
        <f>0.77/100</f>
        <v>7.7000000000000002E-3</v>
      </c>
      <c r="P69" s="220"/>
      <c r="Q69" s="220"/>
      <c r="V69" s="112">
        <v>105.06</v>
      </c>
      <c r="W69" s="7" t="s">
        <v>1704</v>
      </c>
      <c r="X69" s="103"/>
      <c r="AA69" s="9"/>
      <c r="AC69" s="126"/>
      <c r="AJ69" s="9"/>
      <c r="AK69" s="9"/>
    </row>
    <row r="70" spans="1:38" ht="14.25" hidden="1" customHeight="1">
      <c r="A70" s="116">
        <v>105.09</v>
      </c>
      <c r="B70" s="107">
        <v>0.432</v>
      </c>
      <c r="C70" s="7" t="s">
        <v>1691</v>
      </c>
      <c r="N70" s="183">
        <f>50*100</f>
        <v>5000</v>
      </c>
      <c r="O70" s="104">
        <f>1.05/100</f>
        <v>1.0500000000000001E-2</v>
      </c>
      <c r="P70" s="220"/>
      <c r="Q70" s="220"/>
      <c r="V70" s="117" t="s">
        <v>2943</v>
      </c>
      <c r="W70" s="7" t="s">
        <v>1686</v>
      </c>
      <c r="X70" s="103"/>
      <c r="AA70" s="9"/>
      <c r="AC70" s="126"/>
      <c r="AJ70" s="9"/>
      <c r="AK70" s="9"/>
    </row>
    <row r="71" spans="1:38" ht="14.25" hidden="1" customHeight="1">
      <c r="A71" s="117" t="s">
        <v>2943</v>
      </c>
      <c r="B71" s="107">
        <v>0.624</v>
      </c>
      <c r="C71" s="7" t="s">
        <v>1686</v>
      </c>
      <c r="N71" s="183">
        <f>30*100</f>
        <v>3000</v>
      </c>
      <c r="O71" s="104">
        <f>1.41/100</f>
        <v>1.41E-2</v>
      </c>
      <c r="P71" s="220"/>
      <c r="Q71" s="220"/>
      <c r="V71" s="112">
        <v>105.07</v>
      </c>
      <c r="W71" s="7" t="s">
        <v>1724</v>
      </c>
      <c r="X71" s="103"/>
      <c r="AA71" s="9"/>
      <c r="AC71" s="126"/>
      <c r="AJ71" s="9"/>
      <c r="AK71" s="9"/>
    </row>
    <row r="72" spans="1:38" ht="14.25" hidden="1" customHeight="1">
      <c r="A72" s="117" t="s">
        <v>2944</v>
      </c>
      <c r="B72" s="122">
        <f>313/500</f>
        <v>0.626</v>
      </c>
      <c r="C72" s="7" t="s">
        <v>1689</v>
      </c>
      <c r="N72" s="183">
        <f>50*100</f>
        <v>5000</v>
      </c>
      <c r="O72" s="104">
        <f>1.45/100</f>
        <v>1.4499999999999999E-2</v>
      </c>
      <c r="P72" s="220"/>
      <c r="Q72" s="220"/>
      <c r="V72" s="117" t="s">
        <v>2944</v>
      </c>
      <c r="W72" s="7" t="s">
        <v>1689</v>
      </c>
      <c r="X72" s="103"/>
      <c r="AA72" s="9"/>
      <c r="AC72" s="126"/>
      <c r="AJ72" s="9"/>
      <c r="AK72" s="9"/>
    </row>
    <row r="73" spans="1:38" ht="14.25" hidden="1" customHeight="1">
      <c r="A73" s="117" t="s">
        <v>2945</v>
      </c>
      <c r="B73" s="122">
        <f>5.7/5</f>
        <v>1.1400000000000001</v>
      </c>
      <c r="C73" s="7" t="s">
        <v>1695</v>
      </c>
      <c r="N73" s="183">
        <f>30*100</f>
        <v>3000</v>
      </c>
      <c r="O73" s="104">
        <f>2.09/100</f>
        <v>2.0899999999999998E-2</v>
      </c>
      <c r="P73" s="220"/>
      <c r="Q73" s="220"/>
      <c r="V73" s="117" t="s">
        <v>2945</v>
      </c>
      <c r="W73" s="7" t="s">
        <v>1695</v>
      </c>
      <c r="X73" s="103"/>
      <c r="AA73" s="9"/>
      <c r="AC73" s="126"/>
      <c r="AJ73" s="9"/>
      <c r="AK73" s="9"/>
    </row>
    <row r="74" spans="1:38" ht="14.25" hidden="1" customHeight="1">
      <c r="A74" s="117" t="s">
        <v>2946</v>
      </c>
      <c r="B74" s="122">
        <f>6/5</f>
        <v>1.2</v>
      </c>
      <c r="C74" s="1" t="s">
        <v>1699</v>
      </c>
      <c r="N74" s="183">
        <f>10*100-22</f>
        <v>978</v>
      </c>
      <c r="O74" s="104">
        <f>2.44/100</f>
        <v>2.4399999999999998E-2</v>
      </c>
      <c r="P74" s="220"/>
      <c r="Q74" s="220"/>
      <c r="V74" s="117" t="s">
        <v>2946</v>
      </c>
      <c r="W74" s="1" t="s">
        <v>1699</v>
      </c>
      <c r="X74" s="103"/>
      <c r="AA74" s="9"/>
      <c r="AC74" s="126"/>
      <c r="AJ74" s="9"/>
      <c r="AK74" s="9"/>
    </row>
    <row r="75" spans="1:38" ht="14.25" hidden="1" customHeight="1">
      <c r="A75" s="117" t="s">
        <v>2947</v>
      </c>
      <c r="B75" s="107">
        <v>1.51</v>
      </c>
      <c r="C75" s="211" t="s">
        <v>1692</v>
      </c>
      <c r="N75" s="183">
        <f>7*100</f>
        <v>700</v>
      </c>
      <c r="O75" s="104">
        <f>2.94/100</f>
        <v>2.9399999999999999E-2</v>
      </c>
      <c r="P75" s="220"/>
      <c r="Q75" s="220"/>
      <c r="V75" s="117" t="s">
        <v>2947</v>
      </c>
      <c r="W75" s="211" t="s">
        <v>1692</v>
      </c>
      <c r="X75" s="103"/>
      <c r="AA75" s="9"/>
      <c r="AC75" s="126"/>
      <c r="AJ75" s="9"/>
      <c r="AK75" s="9"/>
      <c r="AL75" s="211" t="s">
        <v>1692</v>
      </c>
    </row>
    <row r="76" spans="1:38" ht="14.25" hidden="1" customHeight="1">
      <c r="A76" s="117" t="s">
        <v>2948</v>
      </c>
      <c r="B76" s="122">
        <f>18.1/10</f>
        <v>1.81</v>
      </c>
      <c r="C76" s="7" t="s">
        <v>1685</v>
      </c>
      <c r="D76" s="184"/>
      <c r="E76" s="184"/>
      <c r="H76" s="184"/>
      <c r="I76" s="184"/>
      <c r="L76" s="3"/>
      <c r="M76" s="3"/>
      <c r="N76" s="184">
        <f>20*100-30</f>
        <v>1970</v>
      </c>
      <c r="O76" s="105">
        <f>3.39/100/1970*2000</f>
        <v>3.4416243654822334E-2</v>
      </c>
      <c r="P76" s="223"/>
      <c r="Q76" s="223"/>
      <c r="V76" s="117" t="s">
        <v>2948</v>
      </c>
      <c r="W76" s="7" t="s">
        <v>1685</v>
      </c>
      <c r="X76" s="103"/>
      <c r="AA76" s="9"/>
      <c r="AC76" s="126"/>
      <c r="AJ76" s="9"/>
      <c r="AK76" s="9"/>
    </row>
    <row r="77" spans="1:38" ht="14.25" hidden="1" customHeight="1">
      <c r="A77" s="117" t="s">
        <v>2949</v>
      </c>
      <c r="B77" s="107">
        <v>2.3519999999999999</v>
      </c>
      <c r="C77" s="7" t="s">
        <v>1693</v>
      </c>
      <c r="N77" s="183">
        <f>5*100</f>
        <v>500</v>
      </c>
      <c r="O77" s="104">
        <f>4.25/100</f>
        <v>4.2500000000000003E-2</v>
      </c>
      <c r="P77" s="220"/>
      <c r="Q77" s="220"/>
      <c r="V77" s="117" t="s">
        <v>2949</v>
      </c>
      <c r="W77" s="7" t="s">
        <v>1693</v>
      </c>
      <c r="X77" s="103"/>
      <c r="AA77" s="9"/>
      <c r="AC77" s="126"/>
      <c r="AJ77" s="9"/>
      <c r="AK77" s="9"/>
    </row>
    <row r="78" spans="1:38" ht="14.25" hidden="1" customHeight="1">
      <c r="A78" s="117" t="s">
        <v>3124</v>
      </c>
      <c r="B78" s="107">
        <v>2.16</v>
      </c>
      <c r="C78" s="7" t="s">
        <v>1698</v>
      </c>
      <c r="N78" s="183">
        <f>10*100</f>
        <v>1000</v>
      </c>
      <c r="O78" s="104">
        <f>3.97/100</f>
        <v>3.9699999999999999E-2</v>
      </c>
      <c r="P78" s="220"/>
      <c r="Q78" s="220"/>
      <c r="V78" s="117" t="s">
        <v>3124</v>
      </c>
      <c r="W78" s="7" t="s">
        <v>1698</v>
      </c>
      <c r="X78" s="103"/>
      <c r="AA78" s="9"/>
      <c r="AC78" s="126"/>
      <c r="AJ78" s="9"/>
      <c r="AK78" s="9"/>
    </row>
    <row r="79" spans="1:38" ht="14.25" hidden="1" customHeight="1">
      <c r="A79" s="117" t="s">
        <v>2950</v>
      </c>
      <c r="B79" s="107">
        <v>3.5640000000000001</v>
      </c>
      <c r="C79" s="7" t="s">
        <v>1697</v>
      </c>
      <c r="N79" s="183">
        <f>4*100</f>
        <v>400</v>
      </c>
      <c r="O79" s="104">
        <f>6.16/100</f>
        <v>6.1600000000000002E-2</v>
      </c>
      <c r="P79" s="220"/>
      <c r="Q79" s="220"/>
      <c r="V79" s="117" t="s">
        <v>2950</v>
      </c>
      <c r="W79" s="7" t="s">
        <v>1697</v>
      </c>
      <c r="X79" s="103"/>
      <c r="AA79" s="9"/>
      <c r="AC79" s="126"/>
      <c r="AJ79" s="9"/>
      <c r="AK79" s="9"/>
    </row>
    <row r="80" spans="1:38" ht="14.25" hidden="1" customHeight="1">
      <c r="A80" s="117" t="s">
        <v>2951</v>
      </c>
      <c r="B80" s="107">
        <v>3.6</v>
      </c>
      <c r="C80" s="7" t="s">
        <v>1690</v>
      </c>
      <c r="N80" s="183">
        <f>4*100</f>
        <v>400</v>
      </c>
      <c r="O80" s="104">
        <f>6.02/100</f>
        <v>6.0199999999999997E-2</v>
      </c>
      <c r="P80" s="220"/>
      <c r="Q80" s="220"/>
      <c r="V80" s="117" t="s">
        <v>2951</v>
      </c>
      <c r="W80" s="7" t="s">
        <v>1690</v>
      </c>
      <c r="X80" s="103"/>
      <c r="AA80" s="9"/>
      <c r="AC80" s="126"/>
      <c r="AJ80" s="9"/>
      <c r="AK80" s="9"/>
    </row>
    <row r="81" spans="1:42" ht="14.25" hidden="1" customHeight="1">
      <c r="A81" s="117" t="s">
        <v>2952</v>
      </c>
      <c r="B81" s="107">
        <v>4.08</v>
      </c>
      <c r="C81" s="7" t="s">
        <v>1696</v>
      </c>
      <c r="N81" s="183">
        <f>3*100</f>
        <v>300</v>
      </c>
      <c r="O81" s="104">
        <f>6.77/100</f>
        <v>6.7699999999999996E-2</v>
      </c>
      <c r="P81" s="220"/>
      <c r="Q81" s="220"/>
      <c r="V81" s="117" t="s">
        <v>2952</v>
      </c>
      <c r="W81" s="7" t="s">
        <v>1696</v>
      </c>
      <c r="X81" s="103"/>
      <c r="AA81" s="9"/>
      <c r="AC81" s="126"/>
      <c r="AJ81" s="9"/>
      <c r="AK81" s="9"/>
    </row>
    <row r="82" spans="1:42" ht="14.25" hidden="1" customHeight="1">
      <c r="A82" s="117" t="s">
        <v>2953</v>
      </c>
      <c r="B82" s="107">
        <v>4.968</v>
      </c>
      <c r="C82" s="7" t="s">
        <v>1683</v>
      </c>
      <c r="N82" s="183">
        <f>3*100</f>
        <v>300</v>
      </c>
      <c r="O82" s="104">
        <f>8.4/100</f>
        <v>8.4000000000000005E-2</v>
      </c>
      <c r="P82" s="220"/>
      <c r="Q82" s="220"/>
      <c r="V82" s="117" t="s">
        <v>2953</v>
      </c>
      <c r="W82" s="7" t="s">
        <v>1683</v>
      </c>
      <c r="X82" s="103"/>
      <c r="AA82" s="9"/>
      <c r="AC82" s="126"/>
      <c r="AJ82" s="9"/>
      <c r="AK82" s="9"/>
    </row>
    <row r="83" spans="1:42" ht="14.25" hidden="1" customHeight="1">
      <c r="A83" s="117" t="s">
        <v>2954</v>
      </c>
      <c r="B83" s="122">
        <f>25.8/5</f>
        <v>5.16</v>
      </c>
      <c r="C83" s="7" t="s">
        <v>1694</v>
      </c>
      <c r="N83" s="183">
        <f>3*100</f>
        <v>300</v>
      </c>
      <c r="O83" s="104">
        <f>8.9/100</f>
        <v>8.900000000000001E-2</v>
      </c>
      <c r="P83" s="220"/>
      <c r="Q83" s="220"/>
      <c r="V83" s="117" t="s">
        <v>2954</v>
      </c>
      <c r="W83" s="7" t="s">
        <v>1694</v>
      </c>
      <c r="X83" s="103"/>
      <c r="AA83" s="9"/>
      <c r="AC83" s="126"/>
      <c r="AJ83" s="9"/>
      <c r="AK83" s="9"/>
    </row>
    <row r="84" spans="1:42" ht="14.25" hidden="1" customHeight="1">
      <c r="A84" s="117" t="s">
        <v>2955</v>
      </c>
      <c r="B84" s="107">
        <v>7.56</v>
      </c>
      <c r="C84" s="7" t="s">
        <v>1687</v>
      </c>
      <c r="N84" s="183">
        <f>2*100</f>
        <v>200</v>
      </c>
      <c r="O84" s="104">
        <f>12.39/100</f>
        <v>0.12390000000000001</v>
      </c>
      <c r="P84" s="220"/>
      <c r="Q84" s="220"/>
      <c r="V84" s="117" t="s">
        <v>2955</v>
      </c>
      <c r="W84" s="7" t="s">
        <v>1687</v>
      </c>
      <c r="X84" s="103"/>
      <c r="AA84" s="9"/>
      <c r="AC84" s="126"/>
      <c r="AJ84" s="9"/>
      <c r="AK84" s="9"/>
    </row>
    <row r="85" spans="1:42" ht="14.25" hidden="1" customHeight="1">
      <c r="A85" s="117" t="s">
        <v>2956</v>
      </c>
      <c r="B85" s="107">
        <v>15.36</v>
      </c>
      <c r="C85" s="7" t="s">
        <v>1688</v>
      </c>
      <c r="N85" s="183">
        <f>1*100</f>
        <v>100</v>
      </c>
      <c r="O85" s="104">
        <f>24.61/100</f>
        <v>0.24609999999999999</v>
      </c>
      <c r="P85" s="220"/>
      <c r="Q85" s="220"/>
      <c r="V85" s="117" t="s">
        <v>2956</v>
      </c>
      <c r="W85" s="7" t="s">
        <v>1688</v>
      </c>
      <c r="X85" s="103"/>
      <c r="AA85" s="9"/>
      <c r="AC85" s="126"/>
      <c r="AJ85" s="9"/>
      <c r="AK85" s="9"/>
    </row>
    <row r="86" spans="1:42" ht="14.25" hidden="1" customHeight="1">
      <c r="A86" s="107"/>
      <c r="B86" s="7"/>
      <c r="O86" s="104"/>
      <c r="P86" s="220"/>
      <c r="Q86" s="220"/>
      <c r="V86" s="7"/>
      <c r="W86" s="7"/>
      <c r="X86" s="103"/>
      <c r="AA86" s="9"/>
      <c r="AC86" s="126"/>
      <c r="AJ86" s="9"/>
      <c r="AK86" s="9"/>
    </row>
    <row r="87" spans="1:42" ht="14.25" hidden="1" customHeight="1">
      <c r="A87" s="112">
        <v>106.01</v>
      </c>
      <c r="B87" s="107">
        <f>294.7/1000</f>
        <v>0.29469999999999996</v>
      </c>
      <c r="C87" s="211" t="s">
        <v>1717</v>
      </c>
      <c r="N87" s="183">
        <f>20*100</f>
        <v>2000</v>
      </c>
      <c r="O87" s="104">
        <f>0.98/100</f>
        <v>9.7999999999999997E-3</v>
      </c>
      <c r="P87" s="220"/>
      <c r="Q87" s="220"/>
      <c r="V87" s="112">
        <v>106.17</v>
      </c>
      <c r="W87" s="1" t="s">
        <v>2344</v>
      </c>
      <c r="AJ87" s="211" t="s">
        <v>1717</v>
      </c>
    </row>
    <row r="88" spans="1:42" ht="14.25" hidden="1" customHeight="1">
      <c r="A88" s="112">
        <v>106.02</v>
      </c>
      <c r="B88" s="107">
        <f>388.3/1000</f>
        <v>0.38830000000000003</v>
      </c>
      <c r="C88" s="7" t="s">
        <v>1713</v>
      </c>
      <c r="N88" s="183">
        <f>20*100</f>
        <v>2000</v>
      </c>
      <c r="O88" s="104">
        <f>0.98/100</f>
        <v>9.7999999999999997E-3</v>
      </c>
      <c r="P88" s="220"/>
      <c r="Q88" s="220"/>
      <c r="V88" s="112">
        <v>106.16</v>
      </c>
      <c r="W88" s="1" t="s">
        <v>1731</v>
      </c>
    </row>
    <row r="89" spans="1:42" ht="14.25" hidden="1" customHeight="1">
      <c r="A89" s="112">
        <v>106.03</v>
      </c>
      <c r="B89" s="107">
        <f>416.8/1000</f>
        <v>0.4168</v>
      </c>
      <c r="C89" s="7" t="s">
        <v>1709</v>
      </c>
      <c r="N89" s="183">
        <f>8*100</f>
        <v>800</v>
      </c>
      <c r="O89" s="104">
        <f>1.38/100</f>
        <v>1.38E-2</v>
      </c>
      <c r="P89" s="220"/>
      <c r="Q89" s="220"/>
      <c r="V89" s="112">
        <v>106.18</v>
      </c>
      <c r="W89" s="1" t="s">
        <v>1732</v>
      </c>
    </row>
    <row r="90" spans="1:42" s="4" customFormat="1" ht="14.25" hidden="1" customHeight="1">
      <c r="A90" s="112">
        <v>106.04</v>
      </c>
      <c r="B90" s="107">
        <f>129/200</f>
        <v>0.64500000000000002</v>
      </c>
      <c r="C90" s="7" t="s">
        <v>1718</v>
      </c>
      <c r="D90" s="183"/>
      <c r="E90" s="183"/>
      <c r="F90" s="188"/>
      <c r="G90" s="188"/>
      <c r="H90" s="183"/>
      <c r="I90" s="183"/>
      <c r="J90" s="188"/>
      <c r="K90" s="188"/>
      <c r="L90" s="9"/>
      <c r="M90" s="9"/>
      <c r="N90" s="183">
        <f>20*100</f>
        <v>2000</v>
      </c>
      <c r="O90" s="104">
        <f>1.58/100</f>
        <v>1.5800000000000002E-2</v>
      </c>
      <c r="P90" s="220"/>
      <c r="Q90" s="220"/>
      <c r="R90" s="7"/>
      <c r="S90" s="126"/>
      <c r="T90" s="126"/>
      <c r="U90" s="236"/>
      <c r="V90" s="112">
        <v>106.19</v>
      </c>
      <c r="W90" s="1" t="s">
        <v>1733</v>
      </c>
      <c r="X90" s="9"/>
      <c r="Y90" s="9"/>
      <c r="Z90" s="9"/>
      <c r="AA90" s="126"/>
      <c r="AB90" s="9"/>
      <c r="AC90" s="9"/>
      <c r="AD90" s="9"/>
      <c r="AE90" s="9"/>
      <c r="AF90" s="9"/>
      <c r="AG90" s="9"/>
      <c r="AH90" s="9"/>
      <c r="AI90" s="9"/>
      <c r="AJ90" s="7"/>
      <c r="AK90" s="7"/>
      <c r="AL90" s="7"/>
      <c r="AM90" s="7"/>
      <c r="AN90" s="7"/>
      <c r="AO90" s="7"/>
      <c r="AP90" s="7"/>
    </row>
    <row r="91" spans="1:42" ht="14.25" hidden="1" customHeight="1">
      <c r="A91" s="112">
        <v>106.05</v>
      </c>
      <c r="B91" s="107">
        <f>85.3/100</f>
        <v>0.85299999999999998</v>
      </c>
      <c r="C91" s="211" t="s">
        <v>1708</v>
      </c>
      <c r="N91" s="183">
        <f>10*100</f>
        <v>1000</v>
      </c>
      <c r="O91" s="104">
        <f>1.88/100</f>
        <v>1.8799999999999997E-2</v>
      </c>
      <c r="P91" s="220"/>
      <c r="Q91" s="220"/>
      <c r="V91" s="112">
        <v>106.01</v>
      </c>
      <c r="W91" s="211" t="s">
        <v>1717</v>
      </c>
      <c r="AJ91" s="211" t="s">
        <v>1708</v>
      </c>
    </row>
    <row r="92" spans="1:42" ht="14.25" hidden="1" customHeight="1">
      <c r="A92" s="112">
        <v>106.06</v>
      </c>
      <c r="B92" s="107">
        <f>239/200</f>
        <v>1.1950000000000001</v>
      </c>
      <c r="C92" s="7" t="s">
        <v>1714</v>
      </c>
      <c r="N92" s="183">
        <f>10*100</f>
        <v>1000</v>
      </c>
      <c r="O92" s="104">
        <f>2.78/100</f>
        <v>2.7799999999999998E-2</v>
      </c>
      <c r="P92" s="220"/>
      <c r="Q92" s="220"/>
      <c r="V92" s="112">
        <v>106.12</v>
      </c>
      <c r="W92" s="7" t="s">
        <v>1726</v>
      </c>
    </row>
    <row r="93" spans="1:42" ht="14.25" hidden="1" customHeight="1">
      <c r="A93" s="112">
        <v>106.07</v>
      </c>
      <c r="B93" s="9">
        <f>15.3/10</f>
        <v>1.53</v>
      </c>
      <c r="C93" s="7" t="s">
        <v>1715</v>
      </c>
      <c r="N93" s="183">
        <f>5*100</f>
        <v>500</v>
      </c>
      <c r="O93" s="104">
        <f>3.18/100</f>
        <v>3.1800000000000002E-2</v>
      </c>
      <c r="P93" s="220"/>
      <c r="Q93" s="220"/>
      <c r="V93" s="112">
        <v>106.11</v>
      </c>
      <c r="W93" s="1" t="s">
        <v>1727</v>
      </c>
    </row>
    <row r="94" spans="1:42" ht="14.25" hidden="1" customHeight="1">
      <c r="A94" s="112">
        <v>106.08</v>
      </c>
      <c r="B94" s="9">
        <f>16.5/10</f>
        <v>1.65</v>
      </c>
      <c r="C94" s="7" t="s">
        <v>1719</v>
      </c>
      <c r="N94" s="183">
        <f>8*100</f>
        <v>800</v>
      </c>
      <c r="O94" s="104">
        <f>3.38/100</f>
        <v>3.3799999999999997E-2</v>
      </c>
      <c r="P94" s="220"/>
      <c r="Q94" s="220"/>
      <c r="V94" s="112">
        <v>106.13</v>
      </c>
      <c r="W94" s="7" t="s">
        <v>1725</v>
      </c>
    </row>
    <row r="95" spans="1:42" ht="14.25" hidden="1" customHeight="1">
      <c r="A95" s="299" t="s">
        <v>5932</v>
      </c>
      <c r="B95" s="3">
        <f>18.4/10</f>
        <v>1.8399999999999999</v>
      </c>
      <c r="C95" s="7" t="s">
        <v>1720</v>
      </c>
      <c r="N95" s="183">
        <f>3*100</f>
        <v>300</v>
      </c>
      <c r="O95" s="104">
        <f>3.88/100</f>
        <v>3.8800000000000001E-2</v>
      </c>
      <c r="P95" s="220"/>
      <c r="Q95" s="220"/>
      <c r="V95" s="112">
        <v>106.14</v>
      </c>
      <c r="W95" s="7" t="s">
        <v>2343</v>
      </c>
    </row>
    <row r="96" spans="1:42" ht="14.25" hidden="1" customHeight="1">
      <c r="A96" s="294" t="s">
        <v>2960</v>
      </c>
      <c r="B96" s="202">
        <f>197.6/400</f>
        <v>0.49399999999999999</v>
      </c>
      <c r="C96" s="120" t="s">
        <v>1709</v>
      </c>
      <c r="N96" s="183">
        <f>2*200</f>
        <v>400</v>
      </c>
      <c r="O96" s="104">
        <f>3.6/200</f>
        <v>1.8000000000000002E-2</v>
      </c>
      <c r="P96" s="220"/>
      <c r="Q96" s="220"/>
      <c r="V96" s="112">
        <v>106.02</v>
      </c>
      <c r="W96" s="7" t="s">
        <v>1713</v>
      </c>
    </row>
    <row r="97" spans="1:42" ht="14.25" hidden="1" customHeight="1">
      <c r="A97" s="112">
        <v>106.11</v>
      </c>
      <c r="B97" s="107">
        <f>208.5/400</f>
        <v>0.52124999999999999</v>
      </c>
      <c r="C97" s="1" t="s">
        <v>1727</v>
      </c>
      <c r="N97" s="183">
        <f>2*200</f>
        <v>400</v>
      </c>
      <c r="O97" s="104">
        <f>3.2/200</f>
        <v>1.6E-2</v>
      </c>
      <c r="P97" s="220"/>
      <c r="Q97" s="220"/>
      <c r="V97" s="112">
        <v>106.03</v>
      </c>
      <c r="W97" s="1" t="s">
        <v>6358</v>
      </c>
      <c r="X97" s="3"/>
    </row>
    <row r="98" spans="1:42" ht="14.25" hidden="1" customHeight="1">
      <c r="A98" s="112">
        <v>106.12</v>
      </c>
      <c r="B98" s="107">
        <f>257.9/800</f>
        <v>0.32237499999999997</v>
      </c>
      <c r="C98" s="7" t="s">
        <v>1726</v>
      </c>
      <c r="N98" s="183">
        <f>4*200</f>
        <v>800</v>
      </c>
      <c r="O98" s="104">
        <f>2.4/200</f>
        <v>1.2E-2</v>
      </c>
      <c r="P98" s="220"/>
      <c r="Q98" s="220"/>
      <c r="V98" s="294" t="s">
        <v>2960</v>
      </c>
      <c r="W98" s="1"/>
      <c r="X98" s="3"/>
    </row>
    <row r="99" spans="1:42" ht="14.25" hidden="1" customHeight="1">
      <c r="A99" s="112">
        <v>106.13</v>
      </c>
      <c r="B99" s="107">
        <f>311.5/400</f>
        <v>0.77875000000000005</v>
      </c>
      <c r="C99" s="7" t="s">
        <v>1725</v>
      </c>
      <c r="N99" s="183">
        <f>2*200</f>
        <v>400</v>
      </c>
      <c r="O99" s="104">
        <f>4/200</f>
        <v>0.02</v>
      </c>
      <c r="P99" s="220"/>
      <c r="Q99" s="220"/>
      <c r="V99" s="112">
        <v>106.15</v>
      </c>
      <c r="W99" s="1" t="s">
        <v>1728</v>
      </c>
    </row>
    <row r="100" spans="1:42" ht="14.25" hidden="1" customHeight="1">
      <c r="A100" s="112">
        <v>106.14</v>
      </c>
      <c r="B100" s="107">
        <f>396.2/400</f>
        <v>0.99049999999999994</v>
      </c>
      <c r="C100" s="7" t="s">
        <v>2343</v>
      </c>
      <c r="N100" s="183">
        <f>2*200</f>
        <v>400</v>
      </c>
      <c r="O100" s="104">
        <f>5/200</f>
        <v>2.5000000000000001E-2</v>
      </c>
      <c r="P100" s="220"/>
      <c r="Q100" s="220"/>
      <c r="V100" s="112">
        <v>106.04</v>
      </c>
      <c r="W100" s="7" t="s">
        <v>1718</v>
      </c>
    </row>
    <row r="101" spans="1:42" ht="14.25" hidden="1" customHeight="1">
      <c r="A101" s="112">
        <v>106.15</v>
      </c>
      <c r="B101" s="107">
        <f>358.5/400</f>
        <v>0.89624999999999999</v>
      </c>
      <c r="C101" s="1" t="s">
        <v>1728</v>
      </c>
      <c r="N101" s="183">
        <f>2*200</f>
        <v>400</v>
      </c>
      <c r="O101" s="104">
        <f>4.5/200</f>
        <v>2.2499999999999999E-2</v>
      </c>
      <c r="P101" s="220"/>
      <c r="Q101" s="220"/>
      <c r="V101" s="112">
        <v>106.05</v>
      </c>
      <c r="W101" s="211" t="s">
        <v>1708</v>
      </c>
    </row>
    <row r="102" spans="1:42" ht="14.25" hidden="1" customHeight="1">
      <c r="A102" s="112">
        <v>106.16</v>
      </c>
      <c r="B102" s="107">
        <f>260/2000</f>
        <v>0.13</v>
      </c>
      <c r="C102" s="1" t="s">
        <v>1731</v>
      </c>
      <c r="D102" s="184"/>
      <c r="E102" s="184"/>
      <c r="H102" s="184"/>
      <c r="I102" s="184"/>
      <c r="L102" s="3"/>
      <c r="M102" s="3"/>
      <c r="N102" s="184">
        <f>20*100</f>
        <v>2000</v>
      </c>
      <c r="O102" s="25">
        <f>0.7/100</f>
        <v>6.9999999999999993E-3</v>
      </c>
      <c r="P102" s="224"/>
      <c r="Q102" s="224"/>
      <c r="V102" s="112">
        <v>106.06</v>
      </c>
      <c r="W102" s="7" t="s">
        <v>1714</v>
      </c>
    </row>
    <row r="103" spans="1:42" ht="14.25" hidden="1" customHeight="1">
      <c r="A103" s="112">
        <v>106.17</v>
      </c>
      <c r="B103" s="107">
        <f>170.5/2000</f>
        <v>8.5250000000000006E-2</v>
      </c>
      <c r="C103" s="1" t="s">
        <v>2344</v>
      </c>
      <c r="D103" s="184"/>
      <c r="E103" s="184"/>
      <c r="H103" s="184"/>
      <c r="I103" s="184"/>
      <c r="L103" s="3"/>
      <c r="M103" s="3"/>
      <c r="N103" s="184">
        <f>10*100</f>
        <v>1000</v>
      </c>
      <c r="O103" s="25">
        <f>0.8/100</f>
        <v>8.0000000000000002E-3</v>
      </c>
      <c r="P103" s="224"/>
      <c r="Q103" s="224"/>
      <c r="V103" s="112">
        <v>106.07</v>
      </c>
      <c r="W103" s="7" t="s">
        <v>1715</v>
      </c>
    </row>
    <row r="104" spans="1:42" ht="14.25" hidden="1" customHeight="1">
      <c r="A104" s="112">
        <v>106.18</v>
      </c>
      <c r="B104" s="107">
        <f>445/1000</f>
        <v>0.44500000000000001</v>
      </c>
      <c r="C104" s="1" t="s">
        <v>1732</v>
      </c>
      <c r="D104" s="184"/>
      <c r="E104" s="184"/>
      <c r="H104" s="184"/>
      <c r="I104" s="184"/>
      <c r="L104" s="3"/>
      <c r="M104" s="3"/>
      <c r="N104" s="184">
        <f>10*100</f>
        <v>1000</v>
      </c>
      <c r="O104" s="25">
        <f>1.1/100</f>
        <v>1.1000000000000001E-2</v>
      </c>
      <c r="P104" s="224"/>
      <c r="Q104" s="224"/>
      <c r="V104" s="112">
        <v>106.08</v>
      </c>
      <c r="W104" s="7" t="s">
        <v>1719</v>
      </c>
    </row>
    <row r="105" spans="1:42" s="4" customFormat="1" ht="14.25" hidden="1" customHeight="1">
      <c r="A105" s="112">
        <v>106.19</v>
      </c>
      <c r="B105" s="9">
        <f>3.4/5</f>
        <v>0.67999999999999994</v>
      </c>
      <c r="C105" s="1" t="s">
        <v>1733</v>
      </c>
      <c r="D105" s="184"/>
      <c r="E105" s="184"/>
      <c r="F105" s="188"/>
      <c r="G105" s="188"/>
      <c r="H105" s="184"/>
      <c r="I105" s="184"/>
      <c r="J105" s="188"/>
      <c r="K105" s="188"/>
      <c r="L105" s="3"/>
      <c r="M105" s="3"/>
      <c r="N105" s="184">
        <f>10*100</f>
        <v>1000</v>
      </c>
      <c r="O105" s="25">
        <f>1.5/100</f>
        <v>1.4999999999999999E-2</v>
      </c>
      <c r="P105" s="224"/>
      <c r="Q105" s="224"/>
      <c r="R105" s="7"/>
      <c r="S105" s="126"/>
      <c r="T105" s="126"/>
      <c r="U105" s="236"/>
      <c r="V105" s="299" t="s">
        <v>5932</v>
      </c>
      <c r="W105" s="7" t="s">
        <v>1720</v>
      </c>
      <c r="X105" s="9"/>
      <c r="Y105" s="9"/>
      <c r="Z105" s="9"/>
      <c r="AA105" s="126"/>
      <c r="AB105" s="9"/>
      <c r="AC105" s="9"/>
      <c r="AD105" s="9"/>
      <c r="AE105" s="9"/>
      <c r="AF105" s="9"/>
      <c r="AG105" s="9"/>
      <c r="AH105" s="9"/>
      <c r="AI105" s="9"/>
      <c r="AJ105" s="7"/>
      <c r="AK105" s="7"/>
      <c r="AL105" s="7"/>
      <c r="AM105" s="7"/>
      <c r="AN105" s="7"/>
      <c r="AO105" s="7"/>
      <c r="AP105" s="7"/>
    </row>
    <row r="106" spans="1:42" ht="14.25" hidden="1" customHeight="1">
      <c r="A106" s="114" t="s">
        <v>2962</v>
      </c>
      <c r="B106" s="9">
        <f>43.4-41.1</f>
        <v>2.2999999999999972</v>
      </c>
      <c r="C106" s="1" t="s">
        <v>1734</v>
      </c>
      <c r="D106" s="184"/>
      <c r="E106" s="184"/>
      <c r="H106" s="184"/>
      <c r="I106" s="184"/>
      <c r="L106" s="3"/>
      <c r="M106" s="3"/>
      <c r="N106" s="184">
        <f>2*100</f>
        <v>200</v>
      </c>
      <c r="O106" s="25">
        <f>4.7/100</f>
        <v>4.7E-2</v>
      </c>
      <c r="P106" s="224"/>
      <c r="Q106" s="224"/>
      <c r="V106" s="114" t="s">
        <v>2962</v>
      </c>
      <c r="W106" s="1" t="s">
        <v>1734</v>
      </c>
    </row>
    <row r="107" spans="1:42" s="4" customFormat="1" ht="14.25" hidden="1" customHeight="1">
      <c r="A107" s="112">
        <v>106.21</v>
      </c>
      <c r="B107" s="9">
        <f>44.2-41.1</f>
        <v>3.1000000000000014</v>
      </c>
      <c r="C107" s="1" t="s">
        <v>1735</v>
      </c>
      <c r="D107" s="184"/>
      <c r="E107" s="184"/>
      <c r="F107" s="188"/>
      <c r="G107" s="188"/>
      <c r="H107" s="184"/>
      <c r="I107" s="184"/>
      <c r="J107" s="188"/>
      <c r="K107" s="188"/>
      <c r="L107" s="3"/>
      <c r="M107" s="3"/>
      <c r="N107" s="184">
        <f>2*100</f>
        <v>200</v>
      </c>
      <c r="O107" s="25">
        <f>6/100</f>
        <v>0.06</v>
      </c>
      <c r="P107" s="224"/>
      <c r="Q107" s="224"/>
      <c r="R107" s="7"/>
      <c r="S107" s="126"/>
      <c r="T107" s="126"/>
      <c r="U107" s="236"/>
      <c r="V107" s="112">
        <v>106.21</v>
      </c>
      <c r="W107" s="1" t="s">
        <v>1735</v>
      </c>
      <c r="X107" s="9"/>
      <c r="Y107" s="9"/>
      <c r="Z107" s="9"/>
      <c r="AA107" s="126"/>
      <c r="AB107" s="9"/>
      <c r="AC107" s="9"/>
      <c r="AD107" s="9"/>
      <c r="AE107" s="9"/>
      <c r="AF107" s="9"/>
      <c r="AG107" s="9"/>
      <c r="AH107" s="9"/>
      <c r="AI107" s="9"/>
      <c r="AJ107" s="7"/>
      <c r="AK107" s="7"/>
      <c r="AL107" s="7"/>
      <c r="AM107" s="7"/>
      <c r="AN107" s="7"/>
      <c r="AO107" s="7"/>
      <c r="AP107" s="7"/>
    </row>
    <row r="108" spans="1:42" ht="14.25" hidden="1" customHeight="1">
      <c r="A108" s="112">
        <v>106.22</v>
      </c>
      <c r="B108" s="9">
        <f>44.9-41.1</f>
        <v>3.7999999999999972</v>
      </c>
      <c r="C108" s="1" t="s">
        <v>1736</v>
      </c>
      <c r="D108" s="184"/>
      <c r="E108" s="184"/>
      <c r="H108" s="184"/>
      <c r="I108" s="184"/>
      <c r="L108" s="3"/>
      <c r="M108" s="3"/>
      <c r="N108" s="184">
        <f>2*100</f>
        <v>200</v>
      </c>
      <c r="O108" s="25">
        <f>7.7/100</f>
        <v>7.6999999999999999E-2</v>
      </c>
      <c r="P108" s="224"/>
      <c r="Q108" s="224"/>
      <c r="V108" s="112">
        <v>106.22</v>
      </c>
      <c r="W108" s="1" t="s">
        <v>1736</v>
      </c>
    </row>
    <row r="109" spans="1:42" ht="14.25" hidden="1" customHeight="1">
      <c r="A109" s="107"/>
      <c r="B109" s="7"/>
      <c r="O109" s="104"/>
      <c r="P109" s="220"/>
      <c r="Q109" s="220"/>
      <c r="V109" s="7"/>
      <c r="W109" s="7"/>
      <c r="X109" s="7"/>
      <c r="Y109" s="7"/>
      <c r="Z109" s="7"/>
      <c r="AA109" s="7"/>
      <c r="AB109" s="103"/>
      <c r="AC109" s="295" t="s">
        <v>6361</v>
      </c>
      <c r="AD109"/>
      <c r="AJ109" s="9"/>
      <c r="AK109" s="9"/>
    </row>
    <row r="110" spans="1:42" ht="14.25" customHeight="1">
      <c r="A110" s="112">
        <v>107.01</v>
      </c>
      <c r="B110" s="107">
        <f>3.4/100</f>
        <v>3.4000000000000002E-2</v>
      </c>
      <c r="C110" s="211" t="s">
        <v>6359</v>
      </c>
      <c r="D110" s="184"/>
      <c r="E110" s="184"/>
      <c r="H110" s="184"/>
      <c r="I110" s="184"/>
      <c r="L110" s="3"/>
      <c r="M110" s="3"/>
      <c r="N110" s="184">
        <v>5000</v>
      </c>
      <c r="O110" s="105">
        <f>0.78/100</f>
        <v>7.8000000000000005E-3</v>
      </c>
      <c r="P110" s="221">
        <f>2.874/1000*B110*4</f>
        <v>3.9086400000000004E-4</v>
      </c>
      <c r="Q110" s="296">
        <f>O110+P110</f>
        <v>8.1908640000000008E-3</v>
      </c>
      <c r="R110" s="107">
        <f>2/Q110</f>
        <v>244.17448513368063</v>
      </c>
      <c r="S110" s="226">
        <v>100</v>
      </c>
      <c r="T110" s="226" t="s">
        <v>6391</v>
      </c>
      <c r="V110" s="234" t="s">
        <v>6427</v>
      </c>
      <c r="W110" s="293" t="s">
        <v>6421</v>
      </c>
      <c r="X110" s="293" t="s">
        <v>6408</v>
      </c>
      <c r="Y110" s="293" t="s">
        <v>6455</v>
      </c>
      <c r="Z110" s="293">
        <v>100</v>
      </c>
      <c r="AA110" s="226"/>
      <c r="AB110" s="9">
        <v>107.01</v>
      </c>
      <c r="AC110" s="298" t="s">
        <v>6362</v>
      </c>
      <c r="AD110" s="298" t="s">
        <v>6363</v>
      </c>
      <c r="AE110">
        <v>40</v>
      </c>
      <c r="AF110" s="9">
        <v>7</v>
      </c>
      <c r="AG110" s="9">
        <f>(AE110+AF110)/25.4</f>
        <v>1.8503937007874016</v>
      </c>
      <c r="AH110"/>
      <c r="AJ110" s="211" t="s">
        <v>1772</v>
      </c>
    </row>
    <row r="111" spans="1:42" ht="14.25" customHeight="1">
      <c r="A111" s="110" t="s">
        <v>2756</v>
      </c>
      <c r="B111" s="9">
        <f>51/100</f>
        <v>0.51</v>
      </c>
      <c r="C111" s="1" t="s">
        <v>3995</v>
      </c>
      <c r="D111" s="184"/>
      <c r="E111" s="184"/>
      <c r="H111" s="184"/>
      <c r="I111" s="184"/>
      <c r="L111" s="3"/>
      <c r="M111" s="3"/>
      <c r="N111" s="184">
        <v>50000</v>
      </c>
      <c r="O111" s="25">
        <f>0.014</f>
        <v>1.4E-2</v>
      </c>
      <c r="P111" s="221">
        <f t="shared" ref="P111:P128" si="42">2.874/1000*B111*4</f>
        <v>5.8629600000000004E-3</v>
      </c>
      <c r="Q111" s="296">
        <f t="shared" ref="Q111:Q128" si="43">O111+P111</f>
        <v>1.9862959999999999E-2</v>
      </c>
      <c r="R111" s="107">
        <f t="shared" ref="R111:R128" si="44">2/Q111</f>
        <v>100.68992738242437</v>
      </c>
      <c r="S111" s="226">
        <v>70</v>
      </c>
      <c r="T111" s="293" t="s">
        <v>6398</v>
      </c>
      <c r="V111" s="201" t="s">
        <v>5941</v>
      </c>
      <c r="W111" s="196"/>
      <c r="X111" s="196"/>
      <c r="Y111" s="196"/>
      <c r="Z111" s="293"/>
      <c r="AA111" s="196"/>
      <c r="AB111" s="9" t="s">
        <v>6400</v>
      </c>
      <c r="AC111" s="298" t="s">
        <v>6364</v>
      </c>
      <c r="AD111" s="298" t="s">
        <v>6365</v>
      </c>
      <c r="AE111" s="126">
        <v>85</v>
      </c>
      <c r="AF111" s="9">
        <v>10</v>
      </c>
      <c r="AG111" s="9">
        <f t="shared" ref="AG111:AG126" si="45">(AE111+AF111)/25.4</f>
        <v>3.7401574803149606</v>
      </c>
      <c r="AH111" s="297"/>
    </row>
    <row r="112" spans="1:42" ht="14.25" customHeight="1">
      <c r="A112" s="110" t="s">
        <v>3286</v>
      </c>
      <c r="B112" s="107">
        <f>132.6/100</f>
        <v>1.3259999999999998</v>
      </c>
      <c r="C112" s="1" t="s">
        <v>3996</v>
      </c>
      <c r="D112" s="184"/>
      <c r="E112" s="184"/>
      <c r="H112" s="184"/>
      <c r="I112" s="184"/>
      <c r="L112" s="3"/>
      <c r="M112" s="3"/>
      <c r="N112" s="184">
        <v>30000</v>
      </c>
      <c r="O112" s="25">
        <f>0.027</f>
        <v>2.7E-2</v>
      </c>
      <c r="P112" s="221">
        <f t="shared" si="42"/>
        <v>1.5243695999999999E-2</v>
      </c>
      <c r="Q112" s="296">
        <f t="shared" si="43"/>
        <v>4.2243695999999997E-2</v>
      </c>
      <c r="R112" s="107">
        <f t="shared" si="44"/>
        <v>47.344342218540731</v>
      </c>
      <c r="S112" s="226">
        <v>30</v>
      </c>
      <c r="T112" s="226" t="s">
        <v>6392</v>
      </c>
      <c r="V112" s="234" t="s">
        <v>6428</v>
      </c>
      <c r="W112" s="293" t="s">
        <v>6429</v>
      </c>
      <c r="X112" s="293" t="s">
        <v>6409</v>
      </c>
      <c r="Y112" s="293" t="s">
        <v>6441</v>
      </c>
      <c r="Z112" s="293">
        <v>100</v>
      </c>
      <c r="AA112" s="226"/>
      <c r="AB112" s="9" t="s">
        <v>6401</v>
      </c>
      <c r="AC112" s="298" t="s">
        <v>6366</v>
      </c>
      <c r="AD112" s="298" t="s">
        <v>6365</v>
      </c>
      <c r="AE112" s="126">
        <v>130</v>
      </c>
      <c r="AF112" s="9">
        <v>10</v>
      </c>
      <c r="AG112" s="9">
        <f t="shared" si="45"/>
        <v>5.5118110236220472</v>
      </c>
      <c r="AH112" s="297"/>
    </row>
    <row r="113" spans="1:42" s="4" customFormat="1" ht="14.25" customHeight="1">
      <c r="A113" s="116" t="s">
        <v>2801</v>
      </c>
      <c r="B113" s="107">
        <f>27.8/100</f>
        <v>0.27800000000000002</v>
      </c>
      <c r="C113" s="1" t="s">
        <v>1765</v>
      </c>
      <c r="D113" s="184"/>
      <c r="E113" s="184"/>
      <c r="F113" s="188"/>
      <c r="G113" s="188"/>
      <c r="H113" s="184"/>
      <c r="I113" s="184"/>
      <c r="J113" s="188"/>
      <c r="K113" s="188"/>
      <c r="L113" s="3"/>
      <c r="M113" s="3"/>
      <c r="N113" s="184">
        <f>50*100+100</f>
        <v>5100</v>
      </c>
      <c r="O113" s="25">
        <f>0.65/100</f>
        <v>6.5000000000000006E-3</v>
      </c>
      <c r="P113" s="221">
        <f t="shared" si="42"/>
        <v>3.1958880000000005E-3</v>
      </c>
      <c r="Q113" s="296">
        <f t="shared" si="43"/>
        <v>9.6958880000000015E-3</v>
      </c>
      <c r="R113" s="107">
        <f t="shared" si="44"/>
        <v>206.27300975423805</v>
      </c>
      <c r="S113" s="226">
        <v>100</v>
      </c>
      <c r="T113" s="226" t="s">
        <v>6393</v>
      </c>
      <c r="U113" s="236"/>
      <c r="V113" s="110" t="s">
        <v>2801</v>
      </c>
      <c r="W113" s="293" t="s">
        <v>6430</v>
      </c>
      <c r="X113" s="293" t="s">
        <v>6410</v>
      </c>
      <c r="Y113" s="293" t="s">
        <v>6444</v>
      </c>
      <c r="Z113" s="293">
        <v>100</v>
      </c>
      <c r="AA113" s="226"/>
      <c r="AB113" s="9" t="s">
        <v>6402</v>
      </c>
      <c r="AC113" s="298" t="s">
        <v>6367</v>
      </c>
      <c r="AD113" s="298" t="s">
        <v>6368</v>
      </c>
      <c r="AE113" s="126">
        <v>50</v>
      </c>
      <c r="AF113" s="9">
        <v>8</v>
      </c>
      <c r="AG113" s="9">
        <f t="shared" si="45"/>
        <v>2.2834645669291338</v>
      </c>
      <c r="AH113" s="297"/>
      <c r="AI113" s="9"/>
      <c r="AJ113" s="7"/>
      <c r="AK113" s="7"/>
      <c r="AL113" s="7"/>
      <c r="AM113" s="7"/>
      <c r="AN113" s="7"/>
      <c r="AO113" s="7"/>
      <c r="AP113" s="7"/>
    </row>
    <row r="114" spans="1:42" ht="14.25" customHeight="1">
      <c r="A114" s="116" t="s">
        <v>2802</v>
      </c>
      <c r="B114" s="107">
        <f>36.5/100</f>
        <v>0.36499999999999999</v>
      </c>
      <c r="C114" s="1" t="s">
        <v>1764</v>
      </c>
      <c r="D114" s="184"/>
      <c r="E114" s="184"/>
      <c r="H114" s="184"/>
      <c r="I114" s="184"/>
      <c r="L114" s="3"/>
      <c r="M114" s="3"/>
      <c r="N114" s="184">
        <f>100*100+100</f>
        <v>10100</v>
      </c>
      <c r="O114" s="25">
        <f>1/100</f>
        <v>0.01</v>
      </c>
      <c r="P114" s="221">
        <f t="shared" si="42"/>
        <v>4.1960399999999998E-3</v>
      </c>
      <c r="Q114" s="296">
        <f t="shared" si="43"/>
        <v>1.419604E-2</v>
      </c>
      <c r="R114" s="107">
        <f t="shared" si="44"/>
        <v>140.88435930019921</v>
      </c>
      <c r="S114" s="226">
        <v>100</v>
      </c>
      <c r="T114" s="226" t="s">
        <v>6394</v>
      </c>
      <c r="V114" s="234" t="s">
        <v>6431</v>
      </c>
      <c r="W114" s="293" t="s">
        <v>6432</v>
      </c>
      <c r="X114" s="293" t="s">
        <v>6411</v>
      </c>
      <c r="Y114" s="293" t="s">
        <v>6445</v>
      </c>
      <c r="Z114" s="293">
        <v>100</v>
      </c>
      <c r="AA114" s="226"/>
      <c r="AB114" s="9" t="s">
        <v>2802</v>
      </c>
      <c r="AC114" s="298" t="s">
        <v>6369</v>
      </c>
      <c r="AD114" s="298" t="s">
        <v>6368</v>
      </c>
      <c r="AE114" s="126">
        <v>58</v>
      </c>
      <c r="AF114" s="9">
        <v>8</v>
      </c>
      <c r="AG114" s="9">
        <f t="shared" si="45"/>
        <v>2.598425196850394</v>
      </c>
      <c r="AH114" s="297"/>
    </row>
    <row r="115" spans="1:42" ht="14.25" customHeight="1">
      <c r="A115" s="116" t="s">
        <v>2803</v>
      </c>
      <c r="B115" s="107">
        <f>98.6/100</f>
        <v>0.98599999999999999</v>
      </c>
      <c r="C115" s="1" t="s">
        <v>1763</v>
      </c>
      <c r="D115" s="184"/>
      <c r="E115" s="184"/>
      <c r="H115" s="184"/>
      <c r="I115" s="184"/>
      <c r="L115" s="3"/>
      <c r="M115" s="3"/>
      <c r="N115" s="184">
        <f>100*100+100</f>
        <v>10100</v>
      </c>
      <c r="O115" s="25">
        <f>2.2/100</f>
        <v>2.2000000000000002E-2</v>
      </c>
      <c r="P115" s="221">
        <f t="shared" si="42"/>
        <v>1.1335056000000001E-2</v>
      </c>
      <c r="Q115" s="296">
        <f t="shared" si="43"/>
        <v>3.3335056000000002E-2</v>
      </c>
      <c r="R115" s="107">
        <f t="shared" si="44"/>
        <v>59.996899360241059</v>
      </c>
      <c r="S115" s="226">
        <v>40</v>
      </c>
      <c r="T115" s="226" t="s">
        <v>6395</v>
      </c>
      <c r="V115" s="234" t="s">
        <v>6433</v>
      </c>
      <c r="W115" s="293" t="s">
        <v>6434</v>
      </c>
      <c r="X115" s="293" t="s">
        <v>6412</v>
      </c>
      <c r="Y115" s="293" t="s">
        <v>6442</v>
      </c>
      <c r="Z115" s="293">
        <v>70</v>
      </c>
      <c r="AA115" s="293"/>
      <c r="AB115" s="3" t="s">
        <v>2803</v>
      </c>
      <c r="AC115" s="298" t="s">
        <v>6370</v>
      </c>
      <c r="AD115" s="298" t="s">
        <v>6365</v>
      </c>
      <c r="AE115" s="126">
        <v>110</v>
      </c>
      <c r="AF115" s="9">
        <v>10</v>
      </c>
      <c r="AG115" s="9">
        <f t="shared" si="45"/>
        <v>4.7244094488188981</v>
      </c>
      <c r="AH115" s="297"/>
      <c r="AI115" s="3"/>
    </row>
    <row r="116" spans="1:42" ht="14.25" customHeight="1">
      <c r="A116" s="116" t="s">
        <v>2804</v>
      </c>
      <c r="B116" s="107">
        <f>172.7/100</f>
        <v>1.7269999999999999</v>
      </c>
      <c r="C116" s="1" t="s">
        <v>1758</v>
      </c>
      <c r="D116" s="184"/>
      <c r="E116" s="184"/>
      <c r="H116" s="184"/>
      <c r="I116" s="184"/>
      <c r="L116" s="3"/>
      <c r="M116" s="3"/>
      <c r="N116" s="184">
        <f>5*100+100</f>
        <v>600</v>
      </c>
      <c r="O116" s="25">
        <f>4.62/100</f>
        <v>4.6199999999999998E-2</v>
      </c>
      <c r="P116" s="221">
        <f t="shared" si="42"/>
        <v>1.9853592E-2</v>
      </c>
      <c r="Q116" s="296">
        <f t="shared" si="43"/>
        <v>6.6053591999999994E-2</v>
      </c>
      <c r="R116" s="107">
        <f t="shared" si="44"/>
        <v>30.278444206334761</v>
      </c>
      <c r="S116" s="226">
        <v>20</v>
      </c>
      <c r="T116" s="293" t="s">
        <v>6399</v>
      </c>
      <c r="V116" s="110" t="s">
        <v>2803</v>
      </c>
      <c r="W116" s="293" t="s">
        <v>6435</v>
      </c>
      <c r="X116" s="293" t="s">
        <v>6413</v>
      </c>
      <c r="Y116" s="293" t="s">
        <v>6446</v>
      </c>
      <c r="Z116" s="293">
        <v>40</v>
      </c>
      <c r="AA116" s="226"/>
      <c r="AB116" s="3" t="s">
        <v>2804</v>
      </c>
      <c r="AC116" s="298" t="s">
        <v>6371</v>
      </c>
      <c r="AD116" s="298" t="s">
        <v>6372</v>
      </c>
      <c r="AE116" s="126">
        <v>195</v>
      </c>
      <c r="AF116" s="9">
        <v>12</v>
      </c>
      <c r="AG116" s="9">
        <f t="shared" si="45"/>
        <v>8.1496062992125982</v>
      </c>
      <c r="AH116" s="297"/>
      <c r="AI116" s="3"/>
    </row>
    <row r="117" spans="1:42" ht="14.25" customHeight="1">
      <c r="A117" s="125" t="s">
        <v>2805</v>
      </c>
      <c r="B117" s="107">
        <v>2.1</v>
      </c>
      <c r="C117" s="211" t="s">
        <v>1762</v>
      </c>
      <c r="D117" s="184"/>
      <c r="E117" s="184"/>
      <c r="H117" s="184"/>
      <c r="I117" s="184"/>
      <c r="L117" s="3"/>
      <c r="M117" s="3"/>
      <c r="N117" s="184">
        <f>50*100+400+200</f>
        <v>5600</v>
      </c>
      <c r="O117" s="25">
        <f>3/100</f>
        <v>0.03</v>
      </c>
      <c r="P117" s="221">
        <f t="shared" si="42"/>
        <v>2.4141600000000003E-2</v>
      </c>
      <c r="Q117" s="296">
        <f t="shared" si="43"/>
        <v>5.4141599999999998E-2</v>
      </c>
      <c r="R117" s="107">
        <f t="shared" si="44"/>
        <v>36.940171697918053</v>
      </c>
      <c r="S117" s="226">
        <v>20</v>
      </c>
      <c r="T117" s="226" t="s">
        <v>6396</v>
      </c>
      <c r="V117" s="110" t="s">
        <v>3286</v>
      </c>
      <c r="W117" s="293" t="s">
        <v>6436</v>
      </c>
      <c r="X117" s="293" t="s">
        <v>6414</v>
      </c>
      <c r="Y117" s="293" t="s">
        <v>6443</v>
      </c>
      <c r="Z117" s="293">
        <v>30</v>
      </c>
      <c r="AA117" s="226"/>
      <c r="AB117" s="9" t="s">
        <v>2805</v>
      </c>
      <c r="AC117" s="298" t="s">
        <v>6373</v>
      </c>
      <c r="AD117" s="298" t="s">
        <v>6374</v>
      </c>
      <c r="AE117" s="126">
        <v>135</v>
      </c>
      <c r="AF117" s="9">
        <v>14</v>
      </c>
      <c r="AG117" s="9">
        <f t="shared" si="45"/>
        <v>5.8661417322834648</v>
      </c>
      <c r="AH117" s="297"/>
      <c r="AJ117" s="211" t="s">
        <v>1762</v>
      </c>
    </row>
    <row r="118" spans="1:42" ht="14.25" customHeight="1">
      <c r="A118" s="116" t="s">
        <v>2806</v>
      </c>
      <c r="B118" s="107">
        <f>227/100</f>
        <v>2.27</v>
      </c>
      <c r="C118" s="196" t="s">
        <v>6390</v>
      </c>
      <c r="D118" s="184"/>
      <c r="E118" s="184"/>
      <c r="H118" s="184"/>
      <c r="I118" s="184"/>
      <c r="L118" s="3"/>
      <c r="M118" s="3"/>
      <c r="N118" s="184">
        <f>50*100+100</f>
        <v>5100</v>
      </c>
      <c r="O118" s="25">
        <f>4/100</f>
        <v>0.04</v>
      </c>
      <c r="P118" s="221">
        <f t="shared" si="42"/>
        <v>2.6095920000000002E-2</v>
      </c>
      <c r="Q118" s="296">
        <f t="shared" si="43"/>
        <v>6.6095920000000002E-2</v>
      </c>
      <c r="R118" s="107">
        <f t="shared" si="44"/>
        <v>30.259053811490936</v>
      </c>
      <c r="S118" s="226">
        <v>15</v>
      </c>
      <c r="T118" s="293" t="s">
        <v>6419</v>
      </c>
      <c r="V118" s="110" t="s">
        <v>2804</v>
      </c>
      <c r="W118" s="293" t="s">
        <v>6437</v>
      </c>
      <c r="X118" s="293" t="s">
        <v>6415</v>
      </c>
      <c r="Y118" s="293" t="s">
        <v>6447</v>
      </c>
      <c r="Z118" s="293">
        <v>20</v>
      </c>
      <c r="AA118" s="293"/>
      <c r="AB118" s="9" t="s">
        <v>2806</v>
      </c>
      <c r="AC118" s="298" t="s">
        <v>6375</v>
      </c>
      <c r="AD118" s="298" t="s">
        <v>6372</v>
      </c>
      <c r="AE118" s="126">
        <v>160</v>
      </c>
      <c r="AF118" s="9">
        <v>12</v>
      </c>
      <c r="AG118" s="9">
        <f t="shared" si="45"/>
        <v>6.771653543307087</v>
      </c>
      <c r="AH118" s="297"/>
    </row>
    <row r="119" spans="1:42" ht="14.25" customHeight="1">
      <c r="A119" s="294" t="s">
        <v>2994</v>
      </c>
      <c r="B119" s="168">
        <f>37.1/10</f>
        <v>3.71</v>
      </c>
      <c r="C119" s="120" t="s">
        <v>1766</v>
      </c>
      <c r="D119" s="186"/>
      <c r="E119" s="186"/>
      <c r="F119" s="186"/>
      <c r="G119" s="186"/>
      <c r="H119" s="186"/>
      <c r="I119" s="186"/>
      <c r="J119" s="186"/>
      <c r="K119" s="186"/>
      <c r="L119" s="168"/>
      <c r="M119" s="168"/>
      <c r="N119" s="186">
        <v>300</v>
      </c>
      <c r="O119" s="300">
        <f>6.6/100</f>
        <v>6.6000000000000003E-2</v>
      </c>
      <c r="P119" s="221">
        <f t="shared" si="42"/>
        <v>4.2650160000000006E-2</v>
      </c>
      <c r="Q119" s="296">
        <f t="shared" si="43"/>
        <v>0.10865016000000001</v>
      </c>
      <c r="R119" s="107">
        <f t="shared" si="44"/>
        <v>18.407704139598135</v>
      </c>
      <c r="S119" s="226">
        <v>10</v>
      </c>
      <c r="T119" s="301" t="s">
        <v>6397</v>
      </c>
      <c r="V119" s="110" t="s">
        <v>2805</v>
      </c>
      <c r="W119" s="293" t="s">
        <v>6438</v>
      </c>
      <c r="X119" s="293" t="s">
        <v>6416</v>
      </c>
      <c r="Y119" s="293" t="s">
        <v>6448</v>
      </c>
      <c r="Z119" s="293">
        <v>20</v>
      </c>
      <c r="AA119" s="226"/>
      <c r="AB119" s="9" t="s">
        <v>2807</v>
      </c>
      <c r="AC119" s="298" t="s">
        <v>6376</v>
      </c>
      <c r="AD119" s="298" t="s">
        <v>6377</v>
      </c>
      <c r="AE119" s="126">
        <v>208</v>
      </c>
      <c r="AF119" s="9">
        <v>13</v>
      </c>
      <c r="AG119" s="9">
        <f t="shared" si="45"/>
        <v>8.7007874015748037</v>
      </c>
      <c r="AH119" s="297"/>
    </row>
    <row r="120" spans="1:42" ht="14.25" customHeight="1">
      <c r="A120" s="116" t="s">
        <v>2808</v>
      </c>
      <c r="B120" s="107">
        <f>329.4/100</f>
        <v>3.2939999999999996</v>
      </c>
      <c r="C120" s="1" t="s">
        <v>1759</v>
      </c>
      <c r="D120" s="184"/>
      <c r="E120" s="184"/>
      <c r="H120" s="184"/>
      <c r="I120" s="184"/>
      <c r="L120" s="3"/>
      <c r="M120" s="3"/>
      <c r="N120" s="184">
        <f>5*100+300</f>
        <v>800</v>
      </c>
      <c r="O120" s="25">
        <f>6.1/100</f>
        <v>6.0999999999999999E-2</v>
      </c>
      <c r="P120" s="221">
        <f t="shared" si="42"/>
        <v>3.7867824000000001E-2</v>
      </c>
      <c r="Q120" s="296">
        <f t="shared" si="43"/>
        <v>9.8867823999999993E-2</v>
      </c>
      <c r="R120" s="107">
        <f t="shared" si="44"/>
        <v>20.229028202340128</v>
      </c>
      <c r="S120" s="226">
        <v>10</v>
      </c>
      <c r="T120" s="226" t="s">
        <v>6397</v>
      </c>
      <c r="V120" s="110" t="s">
        <v>2806</v>
      </c>
      <c r="W120" s="293" t="s">
        <v>6419</v>
      </c>
      <c r="X120" s="293" t="s">
        <v>6417</v>
      </c>
      <c r="Y120" s="293" t="s">
        <v>6449</v>
      </c>
      <c r="Z120" s="293">
        <v>15</v>
      </c>
      <c r="AA120" s="226"/>
      <c r="AB120" s="9" t="s">
        <v>2808</v>
      </c>
      <c r="AC120" s="298" t="s">
        <v>6378</v>
      </c>
      <c r="AD120" s="298" t="s">
        <v>6377</v>
      </c>
      <c r="AE120" s="126">
        <v>210</v>
      </c>
      <c r="AF120" s="9">
        <v>13</v>
      </c>
      <c r="AG120" s="9">
        <f t="shared" si="45"/>
        <v>8.7795275590551185</v>
      </c>
      <c r="AH120" s="297"/>
    </row>
    <row r="121" spans="1:42" ht="14.25" customHeight="1">
      <c r="A121" s="116" t="s">
        <v>2809</v>
      </c>
      <c r="B121" s="107">
        <f>43.9/100</f>
        <v>0.439</v>
      </c>
      <c r="C121" s="1" t="s">
        <v>5939</v>
      </c>
      <c r="D121" s="184"/>
      <c r="E121" s="184"/>
      <c r="H121" s="184"/>
      <c r="I121" s="184"/>
      <c r="L121" s="3"/>
      <c r="M121" s="3"/>
      <c r="N121" s="184">
        <f t="shared" ref="N121:N126" si="46">5*100</f>
        <v>500</v>
      </c>
      <c r="O121" s="25">
        <f>1.9/100</f>
        <v>1.9E-2</v>
      </c>
      <c r="P121" s="221">
        <f t="shared" si="42"/>
        <v>5.0467440000000006E-3</v>
      </c>
      <c r="Q121" s="296">
        <f t="shared" si="43"/>
        <v>2.4046744000000002E-2</v>
      </c>
      <c r="R121" s="107">
        <f t="shared" si="44"/>
        <v>83.171343280404187</v>
      </c>
      <c r="S121" s="226">
        <v>70</v>
      </c>
      <c r="T121" s="293" t="s">
        <v>6461</v>
      </c>
      <c r="V121" s="201" t="s">
        <v>5944</v>
      </c>
      <c r="W121" s="1"/>
      <c r="X121" s="1"/>
      <c r="Y121" s="1"/>
      <c r="Z121" s="293"/>
      <c r="AA121" s="1"/>
      <c r="AB121" s="103" t="s">
        <v>2809</v>
      </c>
      <c r="AC121" s="298" t="s">
        <v>6379</v>
      </c>
      <c r="AD121" s="298" t="s">
        <v>6368</v>
      </c>
      <c r="AE121" s="126">
        <v>40</v>
      </c>
      <c r="AF121" s="9">
        <v>8</v>
      </c>
      <c r="AG121" s="9">
        <f t="shared" si="45"/>
        <v>1.8897637795275593</v>
      </c>
      <c r="AH121" s="297"/>
      <c r="AJ121" s="9"/>
      <c r="AK121" s="9"/>
    </row>
    <row r="122" spans="1:42" ht="14.25" customHeight="1">
      <c r="A122" s="116" t="s">
        <v>2810</v>
      </c>
      <c r="B122" s="107">
        <f>22.7/100</f>
        <v>0.22699999999999998</v>
      </c>
      <c r="C122" s="1" t="s">
        <v>5937</v>
      </c>
      <c r="D122" s="184"/>
      <c r="E122" s="184"/>
      <c r="H122" s="184"/>
      <c r="I122" s="184"/>
      <c r="L122" s="3"/>
      <c r="M122" s="3"/>
      <c r="N122" s="184">
        <f t="shared" si="46"/>
        <v>500</v>
      </c>
      <c r="O122" s="25">
        <f>1.7/100</f>
        <v>1.7000000000000001E-2</v>
      </c>
      <c r="P122" s="221">
        <f t="shared" si="42"/>
        <v>2.609592E-3</v>
      </c>
      <c r="Q122" s="296">
        <f t="shared" si="43"/>
        <v>1.9609592000000002E-2</v>
      </c>
      <c r="R122" s="107">
        <f t="shared" si="44"/>
        <v>101.99090322735934</v>
      </c>
      <c r="S122" s="226">
        <v>100</v>
      </c>
      <c r="T122" s="293" t="s">
        <v>6460</v>
      </c>
      <c r="V122" s="110" t="s">
        <v>2808</v>
      </c>
      <c r="W122" s="293" t="s">
        <v>6439</v>
      </c>
      <c r="X122" s="225" t="s">
        <v>6418</v>
      </c>
      <c r="Y122" s="225" t="s">
        <v>6456</v>
      </c>
      <c r="Z122" s="293">
        <v>10</v>
      </c>
      <c r="AB122" s="9" t="s">
        <v>2810</v>
      </c>
      <c r="AC122" s="298" t="s">
        <v>6380</v>
      </c>
      <c r="AD122" s="298" t="s">
        <v>6381</v>
      </c>
      <c r="AE122" s="126">
        <v>23</v>
      </c>
      <c r="AF122" s="9">
        <v>5</v>
      </c>
      <c r="AG122" s="9">
        <f t="shared" si="45"/>
        <v>1.1023622047244095</v>
      </c>
      <c r="AH122" s="297"/>
    </row>
    <row r="123" spans="1:42" ht="14.25" customHeight="1">
      <c r="A123" s="116" t="s">
        <v>2811</v>
      </c>
      <c r="B123" s="107">
        <f>11.7/100</f>
        <v>0.11699999999999999</v>
      </c>
      <c r="C123" s="1" t="s">
        <v>5934</v>
      </c>
      <c r="D123" s="184"/>
      <c r="E123" s="184"/>
      <c r="H123" s="184"/>
      <c r="I123" s="184"/>
      <c r="L123" s="3"/>
      <c r="M123" s="3"/>
      <c r="N123" s="184">
        <f t="shared" si="46"/>
        <v>500</v>
      </c>
      <c r="O123" s="25">
        <f>1.4/100</f>
        <v>1.3999999999999999E-2</v>
      </c>
      <c r="P123" s="221">
        <f t="shared" si="42"/>
        <v>1.3450320000000001E-3</v>
      </c>
      <c r="Q123" s="296">
        <f t="shared" si="43"/>
        <v>1.5345031999999998E-2</v>
      </c>
      <c r="R123" s="107">
        <f t="shared" si="44"/>
        <v>130.33534240919147</v>
      </c>
      <c r="S123" s="226">
        <v>100</v>
      </c>
      <c r="T123" s="293" t="s">
        <v>6457</v>
      </c>
      <c r="V123" s="294" t="s">
        <v>2994</v>
      </c>
      <c r="W123" s="226"/>
      <c r="AA123" s="2"/>
      <c r="AB123" s="9" t="s">
        <v>2811</v>
      </c>
      <c r="AC123" s="298" t="s">
        <v>6382</v>
      </c>
      <c r="AD123" s="298" t="s">
        <v>6383</v>
      </c>
      <c r="AE123" s="126">
        <v>13</v>
      </c>
      <c r="AF123" s="9">
        <v>4</v>
      </c>
      <c r="AG123" s="9">
        <f t="shared" si="45"/>
        <v>0.6692913385826772</v>
      </c>
      <c r="AH123" s="297"/>
    </row>
    <row r="124" spans="1:42" ht="14.25" customHeight="1">
      <c r="A124" s="116" t="s">
        <v>2812</v>
      </c>
      <c r="B124" s="107">
        <f>32.1/100</f>
        <v>0.32100000000000001</v>
      </c>
      <c r="C124" s="196" t="s">
        <v>6440</v>
      </c>
      <c r="D124" s="184"/>
      <c r="E124" s="184"/>
      <c r="H124" s="184"/>
      <c r="I124" s="184"/>
      <c r="L124" s="3"/>
      <c r="M124" s="3"/>
      <c r="N124" s="184">
        <f t="shared" si="46"/>
        <v>500</v>
      </c>
      <c r="O124" s="25">
        <f>1.8/100</f>
        <v>1.8000000000000002E-2</v>
      </c>
      <c r="P124" s="221">
        <f t="shared" si="42"/>
        <v>3.6902160000000005E-3</v>
      </c>
      <c r="Q124" s="296">
        <f t="shared" si="43"/>
        <v>2.1690216000000002E-2</v>
      </c>
      <c r="R124" s="107">
        <f t="shared" si="44"/>
        <v>92.207472714886748</v>
      </c>
      <c r="S124" s="226">
        <v>100</v>
      </c>
      <c r="T124" s="293" t="s">
        <v>6421</v>
      </c>
      <c r="V124" s="110" t="s">
        <v>2811</v>
      </c>
      <c r="W124" s="293" t="s">
        <v>6457</v>
      </c>
      <c r="X124" s="293" t="s">
        <v>6404</v>
      </c>
      <c r="Y124" s="293" t="s">
        <v>6452</v>
      </c>
      <c r="Z124" s="293">
        <v>100</v>
      </c>
      <c r="AA124" s="293"/>
      <c r="AB124" s="3" t="s">
        <v>2812</v>
      </c>
      <c r="AC124" s="298" t="s">
        <v>6384</v>
      </c>
      <c r="AD124" s="298" t="s">
        <v>6381</v>
      </c>
      <c r="AE124" s="126">
        <v>30</v>
      </c>
      <c r="AF124" s="9">
        <v>5</v>
      </c>
      <c r="AG124" s="9">
        <f t="shared" si="45"/>
        <v>1.3779527559055118</v>
      </c>
      <c r="AH124" s="297"/>
    </row>
    <row r="125" spans="1:42" ht="14.25" customHeight="1">
      <c r="A125" s="116" t="s">
        <v>2813</v>
      </c>
      <c r="B125" s="107">
        <f>15.1/100</f>
        <v>0.151</v>
      </c>
      <c r="C125" s="1" t="s">
        <v>5935</v>
      </c>
      <c r="D125" s="184"/>
      <c r="E125" s="184"/>
      <c r="H125" s="184"/>
      <c r="I125" s="184"/>
      <c r="L125" s="3"/>
      <c r="M125" s="3"/>
      <c r="N125" s="184">
        <f t="shared" si="46"/>
        <v>500</v>
      </c>
      <c r="O125" s="25">
        <f>1.5/100</f>
        <v>1.4999999999999999E-2</v>
      </c>
      <c r="P125" s="221">
        <f t="shared" si="42"/>
        <v>1.735896E-3</v>
      </c>
      <c r="Q125" s="296">
        <f t="shared" si="43"/>
        <v>1.6735896E-2</v>
      </c>
      <c r="R125" s="107">
        <f t="shared" si="44"/>
        <v>119.50361068209315</v>
      </c>
      <c r="S125" s="226">
        <v>100</v>
      </c>
      <c r="T125" s="293" t="s">
        <v>6458</v>
      </c>
      <c r="V125" s="234" t="s">
        <v>6423</v>
      </c>
      <c r="W125" s="293" t="s">
        <v>6458</v>
      </c>
      <c r="X125" s="293" t="s">
        <v>6405</v>
      </c>
      <c r="Y125" s="293" t="s">
        <v>6453</v>
      </c>
      <c r="Z125" s="293">
        <v>100</v>
      </c>
      <c r="AA125" s="226"/>
      <c r="AB125" s="9" t="s">
        <v>2813</v>
      </c>
      <c r="AC125" s="298" t="s">
        <v>6385</v>
      </c>
      <c r="AD125" s="298" t="s">
        <v>6381</v>
      </c>
      <c r="AE125" s="126">
        <v>23</v>
      </c>
      <c r="AF125" s="9">
        <v>5</v>
      </c>
      <c r="AG125" s="9">
        <f t="shared" si="45"/>
        <v>1.1023622047244095</v>
      </c>
      <c r="AH125" s="297"/>
    </row>
    <row r="126" spans="1:42" ht="14.25" customHeight="1">
      <c r="A126" s="116" t="s">
        <v>2814</v>
      </c>
      <c r="B126" s="107">
        <f>22.4/100</f>
        <v>0.22399999999999998</v>
      </c>
      <c r="C126" s="1" t="s">
        <v>5936</v>
      </c>
      <c r="D126" s="184"/>
      <c r="E126" s="184"/>
      <c r="H126" s="184"/>
      <c r="I126" s="184"/>
      <c r="L126" s="3"/>
      <c r="M126" s="3"/>
      <c r="N126" s="184">
        <f t="shared" si="46"/>
        <v>500</v>
      </c>
      <c r="O126" s="25">
        <f>1.6/100</f>
        <v>1.6E-2</v>
      </c>
      <c r="P126" s="221">
        <f t="shared" si="42"/>
        <v>2.5751039999999999E-3</v>
      </c>
      <c r="Q126" s="296">
        <f t="shared" si="43"/>
        <v>1.8575104000000002E-2</v>
      </c>
      <c r="R126" s="107">
        <f t="shared" si="44"/>
        <v>107.67099877341197</v>
      </c>
      <c r="S126" s="226">
        <v>100</v>
      </c>
      <c r="T126" s="293" t="s">
        <v>6459</v>
      </c>
      <c r="V126" s="234" t="s">
        <v>6424</v>
      </c>
      <c r="W126" s="293" t="s">
        <v>6459</v>
      </c>
      <c r="X126" s="293" t="s">
        <v>6406</v>
      </c>
      <c r="Y126" s="293" t="s">
        <v>6454</v>
      </c>
      <c r="Z126" s="293">
        <v>100</v>
      </c>
      <c r="AA126" s="293"/>
      <c r="AB126" s="9" t="s">
        <v>2814</v>
      </c>
      <c r="AC126" s="298" t="s">
        <v>6386</v>
      </c>
      <c r="AD126" s="298" t="s">
        <v>6387</v>
      </c>
      <c r="AE126" s="126">
        <v>27</v>
      </c>
      <c r="AF126" s="9">
        <v>6</v>
      </c>
      <c r="AG126" s="9">
        <f t="shared" si="45"/>
        <v>1.299212598425197</v>
      </c>
      <c r="AH126" s="297"/>
    </row>
    <row r="127" spans="1:42" ht="14.25" customHeight="1">
      <c r="A127" s="201" t="s">
        <v>5944</v>
      </c>
      <c r="B127" s="202">
        <f>276.7/100</f>
        <v>2.7669999999999999</v>
      </c>
      <c r="C127" s="204" t="s">
        <v>6388</v>
      </c>
      <c r="D127" s="186"/>
      <c r="E127" s="186"/>
      <c r="H127" s="186"/>
      <c r="I127" s="186"/>
      <c r="L127" s="168"/>
      <c r="M127" s="168"/>
      <c r="N127" s="186">
        <f>5*100+200</f>
        <v>700</v>
      </c>
      <c r="O127" s="203">
        <f>5/100</f>
        <v>0.05</v>
      </c>
      <c r="P127" s="221">
        <f t="shared" si="42"/>
        <v>3.1809431999999999E-2</v>
      </c>
      <c r="Q127" s="296">
        <f t="shared" si="43"/>
        <v>8.1809432000000001E-2</v>
      </c>
      <c r="R127" s="107">
        <f t="shared" si="44"/>
        <v>24.447058867246504</v>
      </c>
      <c r="S127" s="226">
        <v>15</v>
      </c>
      <c r="T127" s="302" t="s">
        <v>6420</v>
      </c>
      <c r="V127" s="234" t="s">
        <v>6425</v>
      </c>
      <c r="W127" s="293" t="s">
        <v>6460</v>
      </c>
      <c r="X127" s="226" t="s">
        <v>6407</v>
      </c>
      <c r="Y127" s="293" t="s">
        <v>6451</v>
      </c>
      <c r="Z127" s="293">
        <v>100</v>
      </c>
      <c r="AA127" s="226"/>
      <c r="AB127" s="3"/>
      <c r="AC127" s="3"/>
      <c r="AD127" s="297"/>
    </row>
    <row r="128" spans="1:42" s="120" customFormat="1" ht="14.25" customHeight="1">
      <c r="A128" s="201" t="s">
        <v>5941</v>
      </c>
      <c r="B128" s="168">
        <f>2.4/10</f>
        <v>0.24</v>
      </c>
      <c r="C128" s="204" t="s">
        <v>6389</v>
      </c>
      <c r="D128" s="186"/>
      <c r="E128" s="186"/>
      <c r="F128" s="188"/>
      <c r="G128" s="188"/>
      <c r="H128" s="186"/>
      <c r="I128" s="186"/>
      <c r="J128" s="188"/>
      <c r="K128" s="188"/>
      <c r="L128" s="168"/>
      <c r="M128" s="168"/>
      <c r="N128" s="186">
        <v>10000</v>
      </c>
      <c r="O128" s="203">
        <v>1.2999999999999999E-2</v>
      </c>
      <c r="P128" s="221">
        <f t="shared" si="42"/>
        <v>2.7590399999999999E-3</v>
      </c>
      <c r="Q128" s="296">
        <f t="shared" si="43"/>
        <v>1.5759039999999998E-2</v>
      </c>
      <c r="R128" s="107">
        <f t="shared" si="44"/>
        <v>126.91128393607734</v>
      </c>
      <c r="S128" s="226">
        <v>100</v>
      </c>
      <c r="T128" s="302" t="s">
        <v>6422</v>
      </c>
      <c r="U128" s="236"/>
      <c r="V128" s="234" t="s">
        <v>6426</v>
      </c>
      <c r="W128" s="293" t="s">
        <v>6461</v>
      </c>
      <c r="X128" s="226" t="s">
        <v>6403</v>
      </c>
      <c r="Y128" s="293" t="s">
        <v>6450</v>
      </c>
      <c r="Z128" s="293">
        <v>70</v>
      </c>
      <c r="AA128" s="226"/>
      <c r="AB128" s="3"/>
      <c r="AC128" s="3"/>
      <c r="AD128" s="3"/>
      <c r="AE128" s="3"/>
      <c r="AF128" s="3"/>
      <c r="AG128" s="3"/>
      <c r="AH128" s="3"/>
      <c r="AI128" s="3"/>
      <c r="AJ128" s="1"/>
    </row>
    <row r="129" spans="1:42" s="120" customFormat="1" ht="14.25" customHeight="1">
      <c r="A129" s="107"/>
      <c r="B129" s="7"/>
      <c r="C129" s="7"/>
      <c r="D129" s="183"/>
      <c r="E129" s="183"/>
      <c r="F129" s="188"/>
      <c r="G129" s="188"/>
      <c r="H129" s="183"/>
      <c r="I129" s="183"/>
      <c r="J129" s="188"/>
      <c r="K129" s="188"/>
      <c r="L129" s="9"/>
      <c r="M129" s="9"/>
      <c r="N129" s="183"/>
      <c r="O129" s="104"/>
      <c r="P129" s="220"/>
      <c r="Q129" s="220"/>
      <c r="R129" s="7"/>
      <c r="S129" s="126"/>
      <c r="T129" s="126"/>
      <c r="U129" s="236"/>
      <c r="V129" s="9"/>
      <c r="W129" s="9"/>
      <c r="X129" s="9"/>
      <c r="Y129" s="9"/>
      <c r="Z129" s="9"/>
      <c r="AA129" s="303">
        <f>256/768</f>
        <v>0.33333333333333331</v>
      </c>
      <c r="AB129" s="9"/>
      <c r="AC129" s="126"/>
      <c r="AD129" s="3"/>
      <c r="AE129" s="3"/>
      <c r="AF129" s="3"/>
      <c r="AG129" s="3"/>
      <c r="AH129" s="3"/>
      <c r="AI129" s="3"/>
      <c r="AJ129" s="1"/>
    </row>
    <row r="130" spans="1:42" ht="14.25" customHeight="1">
      <c r="A130" s="148" t="s">
        <v>3235</v>
      </c>
      <c r="B130" s="9">
        <f t="shared" ref="B130:B135" si="47">52/50</f>
        <v>1.04</v>
      </c>
      <c r="C130" s="211" t="s">
        <v>1796</v>
      </c>
      <c r="D130" s="184"/>
      <c r="E130" s="184"/>
      <c r="H130" s="184"/>
      <c r="I130" s="184"/>
      <c r="L130" s="3"/>
      <c r="M130" s="3"/>
      <c r="N130" s="184">
        <v>100</v>
      </c>
      <c r="O130" s="6">
        <f t="shared" ref="O130:O135" si="48">6/100</f>
        <v>0.06</v>
      </c>
      <c r="P130" s="222"/>
      <c r="Q130" s="222"/>
      <c r="V130" s="7"/>
      <c r="W130" s="7"/>
      <c r="X130" s="304"/>
      <c r="AA130" s="9">
        <f>10/2/2.54</f>
        <v>1.9685039370078741</v>
      </c>
      <c r="AJ130" s="9"/>
      <c r="AK130" s="9"/>
    </row>
    <row r="131" spans="1:42" s="4" customFormat="1" ht="14.25" customHeight="1">
      <c r="A131" s="148" t="s">
        <v>3236</v>
      </c>
      <c r="B131" s="9">
        <f t="shared" si="47"/>
        <v>1.04</v>
      </c>
      <c r="C131" s="1" t="s">
        <v>1797</v>
      </c>
      <c r="D131" s="184"/>
      <c r="E131" s="184"/>
      <c r="F131" s="188"/>
      <c r="G131" s="188"/>
      <c r="H131" s="184"/>
      <c r="I131" s="184"/>
      <c r="J131" s="188"/>
      <c r="K131" s="188"/>
      <c r="L131" s="3"/>
      <c r="M131" s="3"/>
      <c r="N131" s="184">
        <v>100</v>
      </c>
      <c r="O131" s="6">
        <f t="shared" si="48"/>
        <v>0.06</v>
      </c>
      <c r="P131" s="222"/>
      <c r="Q131" s="222"/>
      <c r="R131" s="7"/>
      <c r="S131" s="126"/>
      <c r="T131" s="126"/>
      <c r="U131" s="236"/>
      <c r="V131" s="103"/>
      <c r="W131" s="9"/>
      <c r="X131" s="9"/>
      <c r="Y131" s="9"/>
      <c r="Z131" s="9"/>
      <c r="AA131" s="126"/>
      <c r="AB131" s="9"/>
      <c r="AC131" s="9"/>
      <c r="AD131" s="9"/>
      <c r="AE131" s="9"/>
      <c r="AF131" s="9"/>
      <c r="AG131" s="9"/>
      <c r="AH131" s="9"/>
      <c r="AI131" s="9"/>
      <c r="AJ131" s="211" t="s">
        <v>1796</v>
      </c>
      <c r="AK131" s="7"/>
      <c r="AL131" s="7"/>
      <c r="AM131" s="7"/>
      <c r="AN131" s="7"/>
      <c r="AO131" s="7"/>
      <c r="AP131" s="7"/>
    </row>
    <row r="132" spans="1:42" ht="14.25" customHeight="1">
      <c r="A132" s="148" t="s">
        <v>3237</v>
      </c>
      <c r="B132" s="9">
        <f t="shared" si="47"/>
        <v>1.04</v>
      </c>
      <c r="C132" s="1" t="s">
        <v>1798</v>
      </c>
      <c r="D132" s="184"/>
      <c r="E132" s="184"/>
      <c r="H132" s="184"/>
      <c r="I132" s="184"/>
      <c r="L132" s="3"/>
      <c r="M132" s="3"/>
      <c r="N132" s="184">
        <v>100</v>
      </c>
      <c r="O132" s="6">
        <f t="shared" si="48"/>
        <v>0.06</v>
      </c>
      <c r="P132" s="222"/>
      <c r="Q132" s="222"/>
    </row>
    <row r="133" spans="1:42" ht="14.25" customHeight="1">
      <c r="A133" s="148" t="s">
        <v>3238</v>
      </c>
      <c r="B133" s="9">
        <f t="shared" si="47"/>
        <v>1.04</v>
      </c>
      <c r="C133" s="1" t="s">
        <v>1799</v>
      </c>
      <c r="D133" s="184"/>
      <c r="E133" s="184"/>
      <c r="H133" s="184"/>
      <c r="I133" s="184"/>
      <c r="L133" s="3"/>
      <c r="M133" s="3"/>
      <c r="N133" s="184">
        <v>100</v>
      </c>
      <c r="O133" s="6">
        <f t="shared" si="48"/>
        <v>0.06</v>
      </c>
      <c r="P133" s="222"/>
      <c r="Q133" s="222"/>
    </row>
    <row r="134" spans="1:42" ht="14.25" customHeight="1">
      <c r="A134" s="148" t="s">
        <v>3239</v>
      </c>
      <c r="B134" s="9">
        <f t="shared" si="47"/>
        <v>1.04</v>
      </c>
      <c r="C134" s="1" t="s">
        <v>1800</v>
      </c>
      <c r="D134" s="184"/>
      <c r="E134" s="184"/>
      <c r="H134" s="184"/>
      <c r="I134" s="184"/>
      <c r="L134" s="3"/>
      <c r="M134" s="3"/>
      <c r="N134" s="184">
        <v>100</v>
      </c>
      <c r="O134" s="6">
        <f t="shared" si="48"/>
        <v>0.06</v>
      </c>
      <c r="P134" s="222"/>
      <c r="Q134" s="222"/>
    </row>
    <row r="135" spans="1:42" ht="14.25" customHeight="1">
      <c r="A135" s="148" t="s">
        <v>3240</v>
      </c>
      <c r="B135" s="9">
        <f t="shared" si="47"/>
        <v>1.04</v>
      </c>
      <c r="C135" s="1" t="s">
        <v>1801</v>
      </c>
      <c r="D135" s="184"/>
      <c r="E135" s="184"/>
      <c r="H135" s="184"/>
      <c r="I135" s="184"/>
      <c r="L135" s="3"/>
      <c r="M135" s="3"/>
      <c r="N135" s="184">
        <v>100</v>
      </c>
      <c r="O135" s="6">
        <f t="shared" si="48"/>
        <v>0.06</v>
      </c>
      <c r="P135" s="222"/>
      <c r="Q135" s="222"/>
    </row>
    <row r="136" spans="1:42" ht="14.25" customHeight="1">
      <c r="A136" s="148" t="s">
        <v>3241</v>
      </c>
      <c r="B136" s="9">
        <v>2</v>
      </c>
      <c r="C136" s="211" t="s">
        <v>3231</v>
      </c>
      <c r="D136" s="184"/>
      <c r="E136" s="184"/>
      <c r="H136" s="184"/>
      <c r="I136" s="184"/>
      <c r="L136" s="3"/>
      <c r="M136" s="3"/>
      <c r="N136" s="184">
        <v>100</v>
      </c>
      <c r="O136" s="6">
        <f t="shared" ref="O136:O141" si="49">9/100</f>
        <v>0.09</v>
      </c>
      <c r="P136" s="222"/>
      <c r="Q136" s="222"/>
    </row>
    <row r="137" spans="1:42" s="4" customFormat="1" ht="14.25" customHeight="1">
      <c r="A137" s="148" t="s">
        <v>3242</v>
      </c>
      <c r="B137" s="9">
        <v>2</v>
      </c>
      <c r="C137" s="1" t="s">
        <v>1791</v>
      </c>
      <c r="D137" s="184"/>
      <c r="E137" s="184"/>
      <c r="F137" s="188"/>
      <c r="G137" s="188"/>
      <c r="H137" s="184"/>
      <c r="I137" s="184"/>
      <c r="J137" s="188"/>
      <c r="K137" s="188"/>
      <c r="L137" s="3"/>
      <c r="M137" s="3"/>
      <c r="N137" s="184">
        <v>100</v>
      </c>
      <c r="O137" s="6">
        <f t="shared" si="49"/>
        <v>0.09</v>
      </c>
      <c r="P137" s="222"/>
      <c r="Q137" s="222"/>
      <c r="R137" s="7"/>
      <c r="S137" s="126"/>
      <c r="T137" s="126"/>
      <c r="U137" s="236"/>
      <c r="V137" s="103"/>
      <c r="W137" s="9"/>
      <c r="X137" s="9"/>
      <c r="Y137" s="9"/>
      <c r="Z137" s="9"/>
      <c r="AA137" s="126"/>
      <c r="AB137" s="9"/>
      <c r="AC137" s="9"/>
      <c r="AD137" s="9"/>
      <c r="AE137" s="9"/>
      <c r="AF137" s="9"/>
      <c r="AG137" s="9"/>
      <c r="AH137" s="9"/>
      <c r="AI137" s="9"/>
      <c r="AJ137" s="211" t="s">
        <v>3231</v>
      </c>
      <c r="AK137" s="7"/>
      <c r="AL137" s="7"/>
      <c r="AM137" s="7"/>
      <c r="AN137" s="7"/>
      <c r="AO137" s="7"/>
      <c r="AP137" s="7"/>
    </row>
    <row r="138" spans="1:42" ht="14.25" customHeight="1">
      <c r="A138" s="148" t="s">
        <v>3243</v>
      </c>
      <c r="B138" s="9">
        <v>2</v>
      </c>
      <c r="C138" s="1" t="s">
        <v>1792</v>
      </c>
      <c r="D138" s="184"/>
      <c r="E138" s="184"/>
      <c r="H138" s="184"/>
      <c r="I138" s="184"/>
      <c r="L138" s="3"/>
      <c r="M138" s="3"/>
      <c r="N138" s="184">
        <v>100</v>
      </c>
      <c r="O138" s="6">
        <f t="shared" si="49"/>
        <v>0.09</v>
      </c>
      <c r="P138" s="222"/>
      <c r="Q138" s="222"/>
    </row>
    <row r="139" spans="1:42" ht="14.25" customHeight="1">
      <c r="A139" s="148" t="s">
        <v>3244</v>
      </c>
      <c r="B139" s="9">
        <v>2</v>
      </c>
      <c r="C139" s="1" t="s">
        <v>1793</v>
      </c>
      <c r="D139" s="184"/>
      <c r="E139" s="184"/>
      <c r="H139" s="184"/>
      <c r="I139" s="184"/>
      <c r="L139" s="3"/>
      <c r="M139" s="3"/>
      <c r="N139" s="184">
        <v>100</v>
      </c>
      <c r="O139" s="6">
        <f t="shared" si="49"/>
        <v>0.09</v>
      </c>
      <c r="P139" s="222"/>
      <c r="Q139" s="222"/>
    </row>
    <row r="140" spans="1:42" ht="14.25" customHeight="1">
      <c r="A140" s="148" t="s">
        <v>3245</v>
      </c>
      <c r="B140" s="9">
        <v>2</v>
      </c>
      <c r="C140" s="1" t="s">
        <v>1794</v>
      </c>
      <c r="D140" s="184"/>
      <c r="E140" s="184"/>
      <c r="H140" s="184"/>
      <c r="I140" s="184"/>
      <c r="L140" s="3"/>
      <c r="M140" s="3"/>
      <c r="N140" s="184">
        <v>100</v>
      </c>
      <c r="O140" s="6">
        <f t="shared" si="49"/>
        <v>0.09</v>
      </c>
      <c r="P140" s="222"/>
      <c r="Q140" s="222"/>
    </row>
    <row r="141" spans="1:42" ht="14.25" customHeight="1">
      <c r="A141" s="148" t="s">
        <v>3246</v>
      </c>
      <c r="B141" s="9">
        <v>2</v>
      </c>
      <c r="C141" s="1" t="s">
        <v>1795</v>
      </c>
      <c r="D141" s="184"/>
      <c r="E141" s="184"/>
      <c r="H141" s="184"/>
      <c r="I141" s="184"/>
      <c r="L141" s="3"/>
      <c r="M141" s="3"/>
      <c r="N141" s="184">
        <v>100</v>
      </c>
      <c r="O141" s="6">
        <f t="shared" si="49"/>
        <v>0.09</v>
      </c>
      <c r="P141" s="222"/>
      <c r="Q141" s="222"/>
    </row>
    <row r="142" spans="1:42" ht="14.25" customHeight="1">
      <c r="A142" s="148" t="s">
        <v>3247</v>
      </c>
      <c r="B142" s="9">
        <v>4.9000000000000004</v>
      </c>
      <c r="C142" s="212" t="s">
        <v>6040</v>
      </c>
      <c r="D142" s="184"/>
      <c r="E142" s="184"/>
      <c r="H142" s="184"/>
      <c r="I142" s="184"/>
      <c r="L142" s="3"/>
      <c r="M142" s="3"/>
      <c r="N142" s="184">
        <v>100</v>
      </c>
      <c r="O142" s="6">
        <f>18/100</f>
        <v>0.18</v>
      </c>
      <c r="P142" s="222"/>
      <c r="Q142" s="222"/>
    </row>
    <row r="143" spans="1:42" ht="14.25" customHeight="1">
      <c r="A143" s="148" t="s">
        <v>3248</v>
      </c>
      <c r="B143" s="9">
        <v>5</v>
      </c>
      <c r="C143" s="1" t="s">
        <v>3233</v>
      </c>
      <c r="D143" s="184"/>
      <c r="E143" s="184"/>
      <c r="H143" s="184"/>
      <c r="I143" s="184"/>
      <c r="L143" s="3"/>
      <c r="M143" s="3"/>
      <c r="N143" s="184">
        <v>100</v>
      </c>
      <c r="O143" s="6">
        <f>18/100</f>
        <v>0.18</v>
      </c>
      <c r="P143" s="222"/>
      <c r="Q143" s="222"/>
      <c r="AJ143" s="212" t="s">
        <v>6040</v>
      </c>
    </row>
    <row r="144" spans="1:42" s="4" customFormat="1" ht="14.25" customHeight="1">
      <c r="A144" s="107"/>
      <c r="B144" s="7"/>
      <c r="C144" s="7"/>
      <c r="D144" s="183"/>
      <c r="E144" s="183"/>
      <c r="F144" s="188"/>
      <c r="G144" s="188"/>
      <c r="H144" s="183"/>
      <c r="I144" s="183"/>
      <c r="J144" s="188"/>
      <c r="K144" s="188"/>
      <c r="L144" s="9"/>
      <c r="M144" s="9"/>
      <c r="N144" s="183"/>
      <c r="O144" s="104"/>
      <c r="P144" s="220"/>
      <c r="Q144" s="220"/>
      <c r="R144" s="7"/>
      <c r="S144" s="126"/>
      <c r="T144" s="126"/>
      <c r="U144" s="236"/>
      <c r="V144" s="103"/>
      <c r="W144" s="9"/>
      <c r="X144" s="9"/>
      <c r="Y144" s="9"/>
      <c r="Z144" s="9"/>
      <c r="AA144" s="126"/>
      <c r="AB144" s="9"/>
      <c r="AC144" s="126"/>
      <c r="AD144" s="9"/>
      <c r="AE144" s="9"/>
      <c r="AF144" s="9"/>
      <c r="AG144" s="9"/>
      <c r="AH144" s="9"/>
      <c r="AI144" s="9"/>
      <c r="AJ144" s="7"/>
      <c r="AK144" s="7"/>
      <c r="AL144" s="7"/>
      <c r="AM144" s="7"/>
      <c r="AN144" s="7"/>
      <c r="AO144" s="7"/>
      <c r="AP144" s="7"/>
    </row>
    <row r="145" spans="1:37" ht="14.25" customHeight="1">
      <c r="A145" s="148" t="s">
        <v>3249</v>
      </c>
      <c r="B145" s="107">
        <f>27.2/100</f>
        <v>0.27200000000000002</v>
      </c>
      <c r="C145" s="211" t="s">
        <v>3256</v>
      </c>
      <c r="D145" s="184"/>
      <c r="E145" s="184"/>
      <c r="H145" s="184"/>
      <c r="I145" s="184"/>
      <c r="L145" s="3"/>
      <c r="M145" s="3"/>
      <c r="N145" s="184">
        <f>100+100</f>
        <v>200</v>
      </c>
      <c r="O145" s="6">
        <v>0.05</v>
      </c>
      <c r="P145" s="222"/>
      <c r="Q145" s="222"/>
      <c r="V145" s="7"/>
      <c r="W145" s="7"/>
      <c r="X145" s="103"/>
      <c r="AA145" s="9"/>
      <c r="AJ145" s="9"/>
      <c r="AK145" s="9"/>
    </row>
    <row r="146" spans="1:37" ht="14.25" customHeight="1">
      <c r="A146" s="148" t="s">
        <v>3250</v>
      </c>
      <c r="B146" s="107">
        <f>28.3/100</f>
        <v>0.28300000000000003</v>
      </c>
      <c r="C146" s="211" t="s">
        <v>3261</v>
      </c>
      <c r="D146" s="184"/>
      <c r="E146" s="184"/>
      <c r="H146" s="184"/>
      <c r="I146" s="184"/>
      <c r="L146" s="3"/>
      <c r="M146" s="3"/>
      <c r="N146" s="184">
        <v>200</v>
      </c>
      <c r="O146" s="6">
        <v>0.05</v>
      </c>
      <c r="P146" s="222"/>
      <c r="Q146" s="222"/>
      <c r="AJ146" s="211" t="s">
        <v>3256</v>
      </c>
    </row>
    <row r="147" spans="1:37" ht="14.25" customHeight="1">
      <c r="A147" s="148" t="s">
        <v>3251</v>
      </c>
      <c r="B147" s="107">
        <f>29.2/100</f>
        <v>0.29199999999999998</v>
      </c>
      <c r="C147" s="211" t="s">
        <v>3262</v>
      </c>
      <c r="D147" s="184"/>
      <c r="E147" s="184"/>
      <c r="H147" s="184"/>
      <c r="I147" s="184"/>
      <c r="L147" s="3"/>
      <c r="M147" s="3"/>
      <c r="N147" s="184">
        <v>200</v>
      </c>
      <c r="O147" s="6">
        <v>0.05</v>
      </c>
      <c r="P147" s="222"/>
      <c r="Q147" s="222"/>
      <c r="AJ147" s="211" t="s">
        <v>3261</v>
      </c>
    </row>
    <row r="148" spans="1:37" ht="14.25" customHeight="1">
      <c r="A148" s="125" t="s">
        <v>3254</v>
      </c>
      <c r="B148" s="107">
        <f>23.7/100</f>
        <v>0.23699999999999999</v>
      </c>
      <c r="C148" s="211" t="s">
        <v>3257</v>
      </c>
      <c r="D148" s="184"/>
      <c r="E148" s="184"/>
      <c r="H148" s="184"/>
      <c r="I148" s="184"/>
      <c r="L148" s="3"/>
      <c r="M148" s="3"/>
      <c r="N148" s="184">
        <v>100</v>
      </c>
      <c r="O148" s="6">
        <v>0.05</v>
      </c>
      <c r="P148" s="222"/>
      <c r="Q148" s="222"/>
      <c r="AJ148" s="211" t="s">
        <v>3262</v>
      </c>
    </row>
    <row r="149" spans="1:37" ht="14.25" customHeight="1">
      <c r="A149" s="125" t="s">
        <v>3252</v>
      </c>
      <c r="B149" s="107">
        <f>18/100</f>
        <v>0.18</v>
      </c>
      <c r="C149" s="211" t="s">
        <v>3258</v>
      </c>
      <c r="D149" s="184"/>
      <c r="E149" s="184"/>
      <c r="H149" s="184"/>
      <c r="I149" s="184"/>
      <c r="L149" s="3"/>
      <c r="M149" s="3"/>
      <c r="N149" s="184">
        <v>100</v>
      </c>
      <c r="O149" s="6">
        <v>0.05</v>
      </c>
      <c r="P149" s="222"/>
      <c r="Q149" s="222"/>
      <c r="AJ149" s="211" t="s">
        <v>3257</v>
      </c>
    </row>
    <row r="150" spans="1:37" ht="14.25" customHeight="1">
      <c r="A150" s="125" t="s">
        <v>3253</v>
      </c>
      <c r="B150" s="107">
        <f>21.2/100</f>
        <v>0.21199999999999999</v>
      </c>
      <c r="C150" s="211" t="s">
        <v>3259</v>
      </c>
      <c r="D150" s="184"/>
      <c r="E150" s="184"/>
      <c r="H150" s="184"/>
      <c r="I150" s="184"/>
      <c r="L150" s="3"/>
      <c r="M150" s="3"/>
      <c r="N150" s="184">
        <v>200</v>
      </c>
      <c r="O150" s="6">
        <f>0.05*100/200</f>
        <v>2.5000000000000001E-2</v>
      </c>
      <c r="P150" s="222"/>
      <c r="Q150" s="222"/>
      <c r="AJ150" s="211" t="s">
        <v>3258</v>
      </c>
    </row>
    <row r="151" spans="1:37" ht="14.25" customHeight="1">
      <c r="A151" s="125" t="s">
        <v>3255</v>
      </c>
      <c r="B151" s="107">
        <f>37.5/100</f>
        <v>0.375</v>
      </c>
      <c r="C151" s="211" t="s">
        <v>3260</v>
      </c>
      <c r="D151" s="184"/>
      <c r="E151" s="184"/>
      <c r="H151" s="184"/>
      <c r="I151" s="184"/>
      <c r="L151" s="3"/>
      <c r="M151" s="3"/>
      <c r="N151" s="184">
        <v>100</v>
      </c>
      <c r="O151" s="6">
        <v>0.05</v>
      </c>
      <c r="P151" s="222"/>
      <c r="Q151" s="222"/>
      <c r="AJ151" s="211" t="s">
        <v>3259</v>
      </c>
    </row>
    <row r="152" spans="1:37" ht="14.25" customHeight="1">
      <c r="A152" s="107"/>
      <c r="B152" s="7"/>
      <c r="O152" s="104"/>
      <c r="P152" s="220"/>
      <c r="Q152" s="220"/>
      <c r="AC152" s="126"/>
      <c r="AJ152" s="211" t="s">
        <v>3260</v>
      </c>
    </row>
    <row r="153" spans="1:37" ht="14.25" customHeight="1">
      <c r="A153" s="125">
        <v>201.01</v>
      </c>
      <c r="B153" s="9">
        <v>118</v>
      </c>
      <c r="C153" s="211" t="s">
        <v>1564</v>
      </c>
      <c r="N153" s="183">
        <f>60*3+60*2</f>
        <v>300</v>
      </c>
      <c r="O153" s="56">
        <v>1.42</v>
      </c>
      <c r="P153" s="107"/>
      <c r="Q153" s="107"/>
      <c r="V153" s="7"/>
      <c r="W153" s="7"/>
      <c r="X153" s="103"/>
      <c r="AA153" s="9"/>
      <c r="AJ153" s="9"/>
      <c r="AK153" s="9"/>
    </row>
    <row r="154" spans="1:37" ht="14.25" customHeight="1">
      <c r="A154" s="125" t="s">
        <v>4075</v>
      </c>
      <c r="B154" s="9">
        <v>101</v>
      </c>
      <c r="C154" s="211" t="s">
        <v>1403</v>
      </c>
      <c r="N154" s="183">
        <f>72*2</f>
        <v>144</v>
      </c>
      <c r="O154" s="7">
        <v>1.2250000000000001</v>
      </c>
      <c r="AJ154" s="211" t="s">
        <v>1564</v>
      </c>
    </row>
    <row r="155" spans="1:37" ht="14.25" customHeight="1">
      <c r="A155" s="125">
        <v>201.11</v>
      </c>
      <c r="B155" s="9">
        <v>62</v>
      </c>
      <c r="C155" s="211" t="s">
        <v>2907</v>
      </c>
      <c r="N155" s="183">
        <v>30</v>
      </c>
      <c r="O155" s="7">
        <v>1.35</v>
      </c>
      <c r="AJ155" s="211" t="s">
        <v>1403</v>
      </c>
    </row>
    <row r="156" spans="1:37" ht="14.25" customHeight="1">
      <c r="A156" s="133" t="s">
        <v>2430</v>
      </c>
      <c r="B156" s="9">
        <v>39.4</v>
      </c>
      <c r="C156" s="212" t="s">
        <v>6041</v>
      </c>
      <c r="N156" s="183">
        <v>12</v>
      </c>
      <c r="O156" s="7">
        <v>0.88</v>
      </c>
      <c r="AJ156" s="211" t="s">
        <v>2907</v>
      </c>
    </row>
    <row r="157" spans="1:37" ht="14.25" customHeight="1">
      <c r="A157" s="133" t="s">
        <v>2431</v>
      </c>
      <c r="B157" s="9">
        <f>201.5/5</f>
        <v>40.299999999999997</v>
      </c>
      <c r="C157" s="7" t="s">
        <v>1475</v>
      </c>
      <c r="N157" s="183">
        <v>5</v>
      </c>
      <c r="O157" s="7">
        <v>0.88</v>
      </c>
      <c r="AJ157" s="212" t="s">
        <v>6041</v>
      </c>
    </row>
    <row r="158" spans="1:37" ht="14.25" customHeight="1">
      <c r="A158" s="133" t="s">
        <v>2432</v>
      </c>
      <c r="B158" s="9">
        <f>201.5/5</f>
        <v>40.299999999999997</v>
      </c>
      <c r="C158" s="7" t="s">
        <v>1476</v>
      </c>
      <c r="N158" s="183">
        <v>5</v>
      </c>
      <c r="O158" s="7">
        <v>0.88</v>
      </c>
    </row>
    <row r="159" spans="1:37" ht="14.25" customHeight="1">
      <c r="A159" s="133" t="s">
        <v>2433</v>
      </c>
      <c r="B159" s="9">
        <f>201.5/5</f>
        <v>40.299999999999997</v>
      </c>
      <c r="C159" s="7" t="s">
        <v>1477</v>
      </c>
      <c r="N159" s="183">
        <v>5</v>
      </c>
      <c r="O159" s="7">
        <v>0.88</v>
      </c>
    </row>
    <row r="160" spans="1:37" ht="14.25" customHeight="1">
      <c r="A160" s="133" t="s">
        <v>2434</v>
      </c>
      <c r="B160" s="9">
        <f>201.5/5</f>
        <v>40.299999999999997</v>
      </c>
      <c r="C160" s="7" t="s">
        <v>1478</v>
      </c>
      <c r="N160" s="183">
        <v>5</v>
      </c>
      <c r="O160" s="7">
        <v>0.88</v>
      </c>
    </row>
    <row r="161" spans="1:42" ht="14.25" customHeight="1">
      <c r="A161" s="133" t="s">
        <v>2435</v>
      </c>
      <c r="B161" s="9">
        <f>201.5/5</f>
        <v>40.299999999999997</v>
      </c>
      <c r="C161" s="7" t="s">
        <v>1479</v>
      </c>
      <c r="N161" s="183">
        <v>5</v>
      </c>
      <c r="O161" s="7">
        <v>0.88</v>
      </c>
    </row>
    <row r="162" spans="1:42" ht="14.25" customHeight="1">
      <c r="A162" s="133" t="s">
        <v>2436</v>
      </c>
      <c r="B162" s="9">
        <f>161/5</f>
        <v>32.200000000000003</v>
      </c>
      <c r="C162" s="211" t="s">
        <v>1480</v>
      </c>
      <c r="N162" s="183">
        <v>5</v>
      </c>
      <c r="O162" s="7">
        <v>0.9</v>
      </c>
      <c r="AP162" s="4"/>
    </row>
    <row r="163" spans="1:42" ht="14.25" customHeight="1">
      <c r="A163" s="133" t="s">
        <v>2437</v>
      </c>
      <c r="B163" s="9">
        <f>189.4/5</f>
        <v>37.880000000000003</v>
      </c>
      <c r="C163" s="1" t="s">
        <v>1481</v>
      </c>
      <c r="N163" s="183">
        <v>5</v>
      </c>
      <c r="O163" s="7">
        <v>1.05</v>
      </c>
      <c r="AJ163" s="211" t="s">
        <v>1480</v>
      </c>
    </row>
    <row r="164" spans="1:42" ht="14.25" customHeight="1">
      <c r="A164" s="133" t="s">
        <v>2438</v>
      </c>
      <c r="B164" s="9">
        <f t="shared" ref="B164:B170" si="50">232.2/3</f>
        <v>77.399999999999991</v>
      </c>
      <c r="C164" s="211" t="s">
        <v>1482</v>
      </c>
      <c r="N164" s="183">
        <v>10</v>
      </c>
      <c r="O164" s="7">
        <v>1.65</v>
      </c>
      <c r="AJ164" s="1" t="s">
        <v>1481</v>
      </c>
      <c r="AP164" s="4"/>
    </row>
    <row r="165" spans="1:42" ht="14.25" customHeight="1">
      <c r="A165" s="133" t="s">
        <v>2439</v>
      </c>
      <c r="B165" s="9">
        <f t="shared" si="50"/>
        <v>77.399999999999991</v>
      </c>
      <c r="C165" s="7" t="s">
        <v>1483</v>
      </c>
      <c r="N165" s="183">
        <v>3</v>
      </c>
      <c r="O165" s="7">
        <v>1.65</v>
      </c>
      <c r="AJ165" s="211" t="s">
        <v>1482</v>
      </c>
    </row>
    <row r="166" spans="1:42" ht="14.25" customHeight="1">
      <c r="A166" s="133" t="s">
        <v>2440</v>
      </c>
      <c r="B166" s="9">
        <f t="shared" si="50"/>
        <v>77.399999999999991</v>
      </c>
      <c r="C166" s="7" t="s">
        <v>1484</v>
      </c>
      <c r="N166" s="183">
        <v>3</v>
      </c>
      <c r="O166" s="7">
        <v>1.65</v>
      </c>
    </row>
    <row r="167" spans="1:42" ht="14.25" customHeight="1">
      <c r="A167" s="133" t="s">
        <v>2441</v>
      </c>
      <c r="B167" s="9">
        <f t="shared" si="50"/>
        <v>77.399999999999991</v>
      </c>
      <c r="C167" s="7" t="s">
        <v>1485</v>
      </c>
      <c r="N167" s="183">
        <v>3</v>
      </c>
      <c r="O167" s="7">
        <v>1.65</v>
      </c>
    </row>
    <row r="168" spans="1:42" ht="14.25" customHeight="1">
      <c r="A168" s="133" t="s">
        <v>2442</v>
      </c>
      <c r="B168" s="9">
        <f t="shared" si="50"/>
        <v>77.399999999999991</v>
      </c>
      <c r="C168" s="7" t="s">
        <v>1486</v>
      </c>
      <c r="N168" s="183">
        <v>3</v>
      </c>
      <c r="O168" s="7">
        <v>1.65</v>
      </c>
    </row>
    <row r="169" spans="1:42" ht="14.25" customHeight="1">
      <c r="A169" s="133" t="s">
        <v>2443</v>
      </c>
      <c r="B169" s="9">
        <f t="shared" si="50"/>
        <v>77.399999999999991</v>
      </c>
      <c r="C169" s="7" t="s">
        <v>1487</v>
      </c>
      <c r="N169" s="183">
        <v>3</v>
      </c>
      <c r="O169" s="7">
        <v>1.65</v>
      </c>
    </row>
    <row r="170" spans="1:42" ht="14.25" customHeight="1">
      <c r="A170" s="133" t="s">
        <v>2444</v>
      </c>
      <c r="B170" s="9">
        <f t="shared" si="50"/>
        <v>77.399999999999991</v>
      </c>
      <c r="C170" s="7" t="s">
        <v>1488</v>
      </c>
      <c r="N170" s="183">
        <v>4</v>
      </c>
      <c r="O170" s="7">
        <v>1.7</v>
      </c>
    </row>
    <row r="171" spans="1:42" ht="14.25" customHeight="1">
      <c r="A171" s="125">
        <v>203.01</v>
      </c>
      <c r="B171" s="9">
        <v>25</v>
      </c>
      <c r="C171" s="211" t="s">
        <v>1489</v>
      </c>
      <c r="N171" s="183">
        <v>10</v>
      </c>
      <c r="O171" s="7">
        <v>1.3</v>
      </c>
    </row>
    <row r="172" spans="1:42" ht="14.25" customHeight="1">
      <c r="A172" s="125">
        <v>203.02</v>
      </c>
      <c r="B172" s="9">
        <v>53</v>
      </c>
      <c r="C172" s="7" t="s">
        <v>1490</v>
      </c>
      <c r="N172" s="183">
        <v>10</v>
      </c>
      <c r="O172" s="7">
        <v>2.5</v>
      </c>
      <c r="AJ172" s="211" t="s">
        <v>1489</v>
      </c>
    </row>
    <row r="173" spans="1:42" ht="14.25" customHeight="1">
      <c r="A173" s="112">
        <v>204.01</v>
      </c>
      <c r="B173" s="121">
        <f>25.3/3</f>
        <v>8.4333333333333336</v>
      </c>
      <c r="C173" s="211" t="s">
        <v>1504</v>
      </c>
      <c r="N173" s="183">
        <v>3</v>
      </c>
      <c r="O173" s="7">
        <v>0.65</v>
      </c>
    </row>
    <row r="174" spans="1:42" ht="14.25" customHeight="1">
      <c r="A174" s="112">
        <v>204.02</v>
      </c>
      <c r="B174" s="121">
        <f>49.5/3</f>
        <v>16.5</v>
      </c>
      <c r="C174" s="7" t="s">
        <v>1505</v>
      </c>
      <c r="N174" s="183">
        <v>3</v>
      </c>
      <c r="O174" s="7">
        <v>1.3</v>
      </c>
      <c r="AJ174" s="211" t="s">
        <v>1504</v>
      </c>
    </row>
    <row r="175" spans="1:42" ht="14.25" customHeight="1">
      <c r="A175" s="112">
        <v>204.03</v>
      </c>
      <c r="B175" s="121">
        <f>80.2/3</f>
        <v>26.733333333333334</v>
      </c>
      <c r="C175" s="7" t="s">
        <v>1506</v>
      </c>
      <c r="N175" s="183">
        <v>3</v>
      </c>
      <c r="O175" s="7">
        <v>2.2000000000000002</v>
      </c>
    </row>
    <row r="176" spans="1:42" ht="14.25" customHeight="1">
      <c r="A176" s="112">
        <v>204.04</v>
      </c>
      <c r="B176" s="121">
        <f>96.5/3</f>
        <v>32.166666666666664</v>
      </c>
      <c r="C176" s="7" t="s">
        <v>1507</v>
      </c>
      <c r="N176" s="183">
        <v>3</v>
      </c>
      <c r="O176" s="7">
        <v>2.6</v>
      </c>
    </row>
    <row r="177" spans="1:36" ht="14.25" customHeight="1">
      <c r="A177" s="125" t="s">
        <v>2512</v>
      </c>
      <c r="B177" s="121">
        <f>165/3</f>
        <v>55</v>
      </c>
      <c r="C177" s="211" t="s">
        <v>1508</v>
      </c>
      <c r="N177" s="183">
        <v>3</v>
      </c>
      <c r="O177" s="7">
        <v>3.3</v>
      </c>
    </row>
    <row r="178" spans="1:36" ht="14.25" customHeight="1">
      <c r="A178" s="125" t="s">
        <v>2513</v>
      </c>
      <c r="B178" s="121">
        <f>134/3</f>
        <v>44.666666666666664</v>
      </c>
      <c r="C178" s="7" t="s">
        <v>1509</v>
      </c>
      <c r="N178" s="183">
        <v>3</v>
      </c>
      <c r="O178" s="7">
        <v>2.64</v>
      </c>
      <c r="AJ178" s="211" t="s">
        <v>1508</v>
      </c>
    </row>
    <row r="179" spans="1:36" ht="14.25" customHeight="1">
      <c r="A179" s="125" t="s">
        <v>2514</v>
      </c>
      <c r="B179" s="121">
        <f>126.7/3</f>
        <v>42.233333333333334</v>
      </c>
      <c r="C179" s="7" t="s">
        <v>1510</v>
      </c>
      <c r="N179" s="183">
        <v>3</v>
      </c>
      <c r="O179" s="7">
        <v>2.8</v>
      </c>
    </row>
    <row r="180" spans="1:36" ht="14.25" customHeight="1">
      <c r="A180" s="125" t="s">
        <v>2515</v>
      </c>
      <c r="B180" s="121">
        <f>202/3</f>
        <v>67.333333333333329</v>
      </c>
      <c r="C180" s="7" t="s">
        <v>1511</v>
      </c>
      <c r="N180" s="183">
        <v>3</v>
      </c>
      <c r="O180" s="7">
        <v>3.3</v>
      </c>
    </row>
    <row r="181" spans="1:36" ht="14.25" customHeight="1">
      <c r="A181" s="125" t="s">
        <v>2516</v>
      </c>
      <c r="B181" s="121">
        <f>74/3</f>
        <v>24.666666666666668</v>
      </c>
      <c r="C181" s="211" t="s">
        <v>1512</v>
      </c>
      <c r="N181" s="183">
        <v>3</v>
      </c>
      <c r="O181" s="7">
        <v>2</v>
      </c>
    </row>
    <row r="182" spans="1:36" ht="14.25" customHeight="1">
      <c r="A182" s="125" t="s">
        <v>2517</v>
      </c>
      <c r="B182" s="121">
        <f>131/3</f>
        <v>43.666666666666664</v>
      </c>
      <c r="C182" s="7" t="s">
        <v>1513</v>
      </c>
      <c r="N182" s="183">
        <v>3</v>
      </c>
      <c r="O182" s="7">
        <v>3</v>
      </c>
      <c r="AJ182" s="211" t="s">
        <v>1512</v>
      </c>
    </row>
    <row r="183" spans="1:36" ht="14.25" customHeight="1">
      <c r="A183" s="125">
        <v>206.01</v>
      </c>
      <c r="B183" s="9">
        <v>120</v>
      </c>
      <c r="C183" s="211" t="s">
        <v>1491</v>
      </c>
      <c r="N183" s="183">
        <v>8</v>
      </c>
      <c r="O183" s="7">
        <v>1.9</v>
      </c>
    </row>
    <row r="184" spans="1:36" ht="14.25" customHeight="1">
      <c r="A184" s="125">
        <v>206.02</v>
      </c>
      <c r="B184" s="9">
        <v>168</v>
      </c>
      <c r="C184" s="7" t="s">
        <v>1492</v>
      </c>
      <c r="N184" s="183">
        <v>3</v>
      </c>
      <c r="O184" s="7">
        <v>2.8</v>
      </c>
      <c r="AJ184" s="211" t="s">
        <v>1491</v>
      </c>
    </row>
    <row r="185" spans="1:36" ht="14.25" customHeight="1">
      <c r="A185" s="125" t="s">
        <v>2518</v>
      </c>
      <c r="B185" s="9">
        <v>18</v>
      </c>
      <c r="C185" s="211" t="s">
        <v>1514</v>
      </c>
      <c r="N185" s="183">
        <v>3</v>
      </c>
      <c r="O185" s="7">
        <v>1</v>
      </c>
    </row>
    <row r="186" spans="1:36" ht="14.25" customHeight="1">
      <c r="A186" s="125" t="s">
        <v>2519</v>
      </c>
      <c r="B186" s="9">
        <v>18</v>
      </c>
      <c r="C186" s="7" t="s">
        <v>1515</v>
      </c>
      <c r="N186" s="183">
        <v>3</v>
      </c>
      <c r="O186" s="7">
        <v>1</v>
      </c>
      <c r="AJ186" s="211" t="s">
        <v>1514</v>
      </c>
    </row>
    <row r="187" spans="1:36" ht="14.25" customHeight="1">
      <c r="A187" s="125" t="s">
        <v>2520</v>
      </c>
      <c r="B187" s="9">
        <v>18</v>
      </c>
      <c r="C187" s="7" t="s">
        <v>1516</v>
      </c>
      <c r="N187" s="183">
        <v>3</v>
      </c>
      <c r="O187" s="7">
        <v>1</v>
      </c>
    </row>
    <row r="188" spans="1:36" ht="14.25" customHeight="1">
      <c r="A188" s="125" t="s">
        <v>2521</v>
      </c>
      <c r="B188" s="9">
        <v>18</v>
      </c>
      <c r="C188" s="7" t="s">
        <v>1517</v>
      </c>
      <c r="N188" s="183">
        <v>3</v>
      </c>
      <c r="O188" s="7">
        <v>1</v>
      </c>
    </row>
    <row r="189" spans="1:36" ht="14.25" customHeight="1">
      <c r="A189" s="125" t="s">
        <v>2522</v>
      </c>
      <c r="B189" s="9">
        <v>18</v>
      </c>
      <c r="C189" s="7" t="s">
        <v>1518</v>
      </c>
      <c r="N189" s="183">
        <v>3</v>
      </c>
      <c r="O189" s="7">
        <v>1</v>
      </c>
    </row>
    <row r="190" spans="1:36" ht="14.25" customHeight="1">
      <c r="A190" s="125" t="s">
        <v>2523</v>
      </c>
      <c r="B190" s="9">
        <v>18</v>
      </c>
      <c r="C190" s="211" t="s">
        <v>1519</v>
      </c>
      <c r="N190" s="183">
        <v>3</v>
      </c>
      <c r="O190" s="7">
        <v>1</v>
      </c>
    </row>
    <row r="191" spans="1:36" ht="14.25" customHeight="1">
      <c r="A191" s="125" t="s">
        <v>2524</v>
      </c>
      <c r="B191" s="9">
        <v>18</v>
      </c>
      <c r="C191" s="7" t="s">
        <v>1521</v>
      </c>
      <c r="N191" s="183">
        <v>3</v>
      </c>
      <c r="O191" s="7">
        <v>1</v>
      </c>
      <c r="AJ191" s="211" t="s">
        <v>1519</v>
      </c>
    </row>
    <row r="192" spans="1:36" ht="14.25" customHeight="1">
      <c r="A192" s="125" t="s">
        <v>2525</v>
      </c>
      <c r="B192" s="9">
        <v>18</v>
      </c>
      <c r="C192" s="7" t="s">
        <v>1520</v>
      </c>
      <c r="N192" s="183">
        <v>3</v>
      </c>
      <c r="O192" s="7">
        <v>1</v>
      </c>
    </row>
    <row r="193" spans="1:42" ht="14.25" customHeight="1">
      <c r="A193" s="125" t="s">
        <v>2526</v>
      </c>
      <c r="B193" s="9">
        <v>18</v>
      </c>
      <c r="C193" s="7" t="s">
        <v>1522</v>
      </c>
      <c r="N193" s="183">
        <v>3</v>
      </c>
      <c r="O193" s="7">
        <v>1</v>
      </c>
      <c r="AP193" s="4"/>
    </row>
    <row r="194" spans="1:42" ht="14.25" customHeight="1">
      <c r="A194" s="125" t="s">
        <v>2527</v>
      </c>
      <c r="B194" s="9">
        <v>18</v>
      </c>
      <c r="C194" s="7" t="s">
        <v>1523</v>
      </c>
      <c r="N194" s="183">
        <v>3</v>
      </c>
      <c r="O194" s="7">
        <v>1</v>
      </c>
    </row>
    <row r="195" spans="1:42" ht="14.25" customHeight="1">
      <c r="A195" s="125" t="s">
        <v>2528</v>
      </c>
      <c r="B195" s="9">
        <v>52</v>
      </c>
      <c r="C195" s="211" t="s">
        <v>1328</v>
      </c>
      <c r="N195" s="183">
        <v>3</v>
      </c>
      <c r="O195" s="7">
        <v>2.5</v>
      </c>
    </row>
    <row r="196" spans="1:42" ht="14.25" customHeight="1">
      <c r="A196" s="125" t="s">
        <v>2529</v>
      </c>
      <c r="B196" s="9">
        <v>52</v>
      </c>
      <c r="C196" s="7" t="s">
        <v>1329</v>
      </c>
      <c r="N196" s="183">
        <v>3</v>
      </c>
      <c r="O196" s="7">
        <v>2.5</v>
      </c>
      <c r="AJ196" s="211" t="s">
        <v>1328</v>
      </c>
      <c r="AP196" s="4"/>
    </row>
    <row r="197" spans="1:42" ht="14.25" customHeight="1">
      <c r="A197" s="125" t="s">
        <v>2530</v>
      </c>
      <c r="B197" s="9">
        <v>52</v>
      </c>
      <c r="C197" s="7" t="s">
        <v>1330</v>
      </c>
      <c r="N197" s="183">
        <v>3</v>
      </c>
      <c r="O197" s="7">
        <v>2.5</v>
      </c>
    </row>
    <row r="198" spans="1:42" ht="14.25" customHeight="1">
      <c r="A198" s="125" t="s">
        <v>2531</v>
      </c>
      <c r="B198" s="9">
        <v>52</v>
      </c>
      <c r="C198" s="7" t="s">
        <v>1331</v>
      </c>
      <c r="N198" s="183">
        <v>3</v>
      </c>
      <c r="O198" s="7">
        <v>2.5</v>
      </c>
    </row>
    <row r="199" spans="1:42" ht="14.25" customHeight="1">
      <c r="A199" s="125" t="s">
        <v>2532</v>
      </c>
      <c r="B199" s="9">
        <v>52</v>
      </c>
      <c r="C199" s="7" t="s">
        <v>1332</v>
      </c>
      <c r="N199" s="183">
        <v>3</v>
      </c>
      <c r="O199" s="7">
        <v>2.5</v>
      </c>
    </row>
    <row r="200" spans="1:42" ht="14.25" customHeight="1">
      <c r="A200" s="125" t="s">
        <v>2533</v>
      </c>
      <c r="B200" s="9">
        <v>52</v>
      </c>
      <c r="C200" s="211" t="s">
        <v>1333</v>
      </c>
      <c r="N200" s="183">
        <v>3</v>
      </c>
      <c r="O200" s="7">
        <v>2.5</v>
      </c>
    </row>
    <row r="201" spans="1:42" ht="14.25" customHeight="1">
      <c r="A201" s="125" t="s">
        <v>2534</v>
      </c>
      <c r="B201" s="9">
        <v>52</v>
      </c>
      <c r="C201" s="7" t="s">
        <v>1334</v>
      </c>
      <c r="N201" s="183">
        <v>3</v>
      </c>
      <c r="O201" s="7">
        <v>2.5</v>
      </c>
      <c r="AJ201" s="211" t="s">
        <v>1333</v>
      </c>
      <c r="AP201" s="4"/>
    </row>
    <row r="202" spans="1:42" ht="14.25" customHeight="1">
      <c r="A202" s="125" t="s">
        <v>2535</v>
      </c>
      <c r="B202" s="9">
        <v>52</v>
      </c>
      <c r="C202" s="7" t="s">
        <v>1335</v>
      </c>
      <c r="N202" s="183">
        <v>3</v>
      </c>
      <c r="O202" s="7">
        <v>2.5</v>
      </c>
    </row>
    <row r="203" spans="1:42" ht="14.25" customHeight="1">
      <c r="A203" s="125" t="s">
        <v>2536</v>
      </c>
      <c r="B203" s="9">
        <v>52</v>
      </c>
      <c r="C203" s="7" t="s">
        <v>1336</v>
      </c>
      <c r="N203" s="183">
        <v>3</v>
      </c>
      <c r="O203" s="7">
        <v>2.5</v>
      </c>
    </row>
    <row r="204" spans="1:42" ht="14.25" customHeight="1">
      <c r="A204" s="125" t="s">
        <v>2537</v>
      </c>
      <c r="B204" s="9">
        <v>52</v>
      </c>
      <c r="C204" s="7" t="s">
        <v>1337</v>
      </c>
      <c r="N204" s="183">
        <v>3</v>
      </c>
      <c r="O204" s="7">
        <v>2.5</v>
      </c>
    </row>
    <row r="205" spans="1:42" ht="14.25" customHeight="1">
      <c r="A205" s="116" t="s">
        <v>2538</v>
      </c>
      <c r="B205" s="9">
        <v>173</v>
      </c>
      <c r="C205" s="211" t="s">
        <v>1524</v>
      </c>
      <c r="N205" s="183">
        <v>6</v>
      </c>
      <c r="O205" s="7">
        <v>2.8</v>
      </c>
    </row>
    <row r="206" spans="1:42" ht="14.25" customHeight="1">
      <c r="A206" s="116" t="s">
        <v>2539</v>
      </c>
      <c r="B206" s="9">
        <v>187.2</v>
      </c>
      <c r="C206" s="7" t="s">
        <v>1525</v>
      </c>
      <c r="N206" s="183">
        <v>3</v>
      </c>
      <c r="O206" s="7">
        <v>2.8</v>
      </c>
      <c r="AJ206" s="211" t="s">
        <v>1524</v>
      </c>
    </row>
    <row r="207" spans="1:42" ht="14.25" customHeight="1">
      <c r="A207" s="116" t="s">
        <v>2540</v>
      </c>
      <c r="B207" s="9">
        <v>170</v>
      </c>
      <c r="C207" s="7" t="s">
        <v>1526</v>
      </c>
      <c r="N207" s="183">
        <v>3</v>
      </c>
      <c r="O207" s="7">
        <v>2.8</v>
      </c>
    </row>
    <row r="208" spans="1:42" ht="14.25" customHeight="1">
      <c r="A208" s="116" t="s">
        <v>2541</v>
      </c>
      <c r="B208" s="9">
        <v>174</v>
      </c>
      <c r="C208" s="7" t="s">
        <v>1527</v>
      </c>
      <c r="N208" s="183">
        <v>3</v>
      </c>
      <c r="O208" s="7">
        <v>2.8</v>
      </c>
    </row>
    <row r="209" spans="1:42" ht="14.25" customHeight="1">
      <c r="A209" s="116" t="s">
        <v>2542</v>
      </c>
      <c r="B209" s="9">
        <v>175</v>
      </c>
      <c r="C209" s="7" t="s">
        <v>1528</v>
      </c>
      <c r="N209" s="183">
        <v>3</v>
      </c>
      <c r="O209" s="7">
        <v>2.8</v>
      </c>
    </row>
    <row r="210" spans="1:42" ht="14.25" customHeight="1">
      <c r="A210" s="116" t="s">
        <v>2543</v>
      </c>
      <c r="B210" s="9">
        <v>189</v>
      </c>
      <c r="C210" s="7" t="s">
        <v>1529</v>
      </c>
      <c r="N210" s="183">
        <v>3</v>
      </c>
      <c r="O210" s="7">
        <v>2.8</v>
      </c>
    </row>
    <row r="211" spans="1:42" ht="14.25" customHeight="1">
      <c r="A211" s="116" t="s">
        <v>2544</v>
      </c>
      <c r="B211" s="9">
        <v>184</v>
      </c>
      <c r="C211" s="7" t="s">
        <v>1530</v>
      </c>
      <c r="N211" s="183">
        <v>3</v>
      </c>
      <c r="O211" s="7">
        <v>2.8</v>
      </c>
    </row>
    <row r="212" spans="1:42" s="4" customFormat="1" ht="14.25" customHeight="1">
      <c r="A212" s="116" t="s">
        <v>2545</v>
      </c>
      <c r="B212" s="9">
        <v>190.3</v>
      </c>
      <c r="C212" s="7" t="s">
        <v>1531</v>
      </c>
      <c r="D212" s="183"/>
      <c r="E212" s="183"/>
      <c r="F212" s="188"/>
      <c r="G212" s="188"/>
      <c r="H212" s="183"/>
      <c r="I212" s="183"/>
      <c r="J212" s="188"/>
      <c r="K212" s="188"/>
      <c r="L212" s="9"/>
      <c r="M212" s="9"/>
      <c r="N212" s="183">
        <v>3</v>
      </c>
      <c r="O212" s="7">
        <v>2.8</v>
      </c>
      <c r="P212" s="9"/>
      <c r="Q212" s="9"/>
      <c r="R212" s="7"/>
      <c r="S212" s="126"/>
      <c r="T212" s="126"/>
      <c r="U212" s="236"/>
      <c r="V212" s="103"/>
      <c r="W212" s="9"/>
      <c r="X212" s="9"/>
      <c r="Y212" s="9"/>
      <c r="Z212" s="9"/>
      <c r="AA212" s="126"/>
      <c r="AB212" s="9"/>
      <c r="AC212" s="9"/>
      <c r="AD212" s="9"/>
      <c r="AE212" s="9"/>
      <c r="AF212" s="9"/>
      <c r="AG212" s="9"/>
      <c r="AH212" s="9"/>
      <c r="AI212" s="9"/>
      <c r="AJ212" s="7"/>
      <c r="AK212" s="7"/>
      <c r="AL212" s="7"/>
      <c r="AM212" s="7"/>
      <c r="AN212" s="7"/>
      <c r="AO212" s="7"/>
      <c r="AP212" s="7"/>
    </row>
    <row r="213" spans="1:42" ht="14.25" customHeight="1">
      <c r="A213" s="116" t="s">
        <v>2546</v>
      </c>
      <c r="B213" s="9">
        <v>173</v>
      </c>
      <c r="C213" s="7" t="s">
        <v>1532</v>
      </c>
      <c r="N213" s="183">
        <v>3</v>
      </c>
      <c r="O213" s="7">
        <v>2.8</v>
      </c>
    </row>
    <row r="214" spans="1:42" s="4" customFormat="1" ht="14.25" customHeight="1">
      <c r="A214" s="112">
        <v>209.01</v>
      </c>
      <c r="B214" s="168"/>
      <c r="C214" s="212" t="s">
        <v>1882</v>
      </c>
      <c r="D214" s="184"/>
      <c r="E214" s="184"/>
      <c r="F214" s="188"/>
      <c r="G214" s="188"/>
      <c r="H214" s="184"/>
      <c r="I214" s="184"/>
      <c r="J214" s="188"/>
      <c r="K214" s="188"/>
      <c r="L214" s="3"/>
      <c r="M214" s="3"/>
      <c r="N214" s="184">
        <v>3</v>
      </c>
      <c r="O214" s="6">
        <v>3.4</v>
      </c>
      <c r="P214" s="222"/>
      <c r="Q214" s="222"/>
      <c r="R214" s="7"/>
      <c r="S214" s="126"/>
      <c r="T214" s="126"/>
      <c r="U214" s="236"/>
      <c r="V214" s="103"/>
      <c r="W214" s="9"/>
      <c r="X214" s="9"/>
      <c r="Y214" s="9"/>
      <c r="Z214" s="9"/>
      <c r="AA214" s="126"/>
      <c r="AB214" s="9"/>
      <c r="AC214" s="9"/>
      <c r="AD214" s="9"/>
      <c r="AE214" s="9"/>
      <c r="AF214" s="9"/>
      <c r="AG214" s="9"/>
      <c r="AH214" s="9"/>
      <c r="AI214" s="9"/>
      <c r="AJ214" s="7"/>
      <c r="AK214" s="7"/>
      <c r="AL214" s="7"/>
      <c r="AM214" s="7"/>
      <c r="AN214" s="7"/>
      <c r="AO214" s="7"/>
      <c r="AP214" s="7"/>
    </row>
    <row r="215" spans="1:42" ht="14.25" customHeight="1">
      <c r="A215" s="112">
        <v>209.02</v>
      </c>
      <c r="B215" s="168"/>
      <c r="C215" s="1" t="s">
        <v>1883</v>
      </c>
      <c r="D215" s="184"/>
      <c r="E215" s="184"/>
      <c r="H215" s="184"/>
      <c r="I215" s="184"/>
      <c r="L215" s="3"/>
      <c r="M215" s="3"/>
      <c r="N215" s="184">
        <v>3</v>
      </c>
      <c r="O215" s="6">
        <v>3.4</v>
      </c>
      <c r="P215" s="222"/>
      <c r="Q215" s="222"/>
      <c r="AJ215" s="212" t="s">
        <v>1882</v>
      </c>
    </row>
    <row r="216" spans="1:42" ht="14.25" customHeight="1">
      <c r="A216" s="112">
        <v>209.03</v>
      </c>
      <c r="B216" s="168"/>
      <c r="C216" s="1" t="s">
        <v>1884</v>
      </c>
      <c r="D216" s="184"/>
      <c r="E216" s="184"/>
      <c r="H216" s="184"/>
      <c r="I216" s="184"/>
      <c r="L216" s="3"/>
      <c r="M216" s="3"/>
      <c r="N216" s="184">
        <v>3</v>
      </c>
      <c r="O216" s="6">
        <v>3.4</v>
      </c>
      <c r="P216" s="222"/>
      <c r="Q216" s="222"/>
    </row>
    <row r="217" spans="1:42" ht="14.25" customHeight="1">
      <c r="A217" s="112">
        <v>209.04</v>
      </c>
      <c r="B217" s="168"/>
      <c r="C217" s="1" t="s">
        <v>1885</v>
      </c>
      <c r="D217" s="184"/>
      <c r="E217" s="184"/>
      <c r="H217" s="184"/>
      <c r="I217" s="184"/>
      <c r="L217" s="3"/>
      <c r="M217" s="3"/>
      <c r="N217" s="184">
        <v>3</v>
      </c>
      <c r="O217" s="6">
        <v>3.4</v>
      </c>
      <c r="P217" s="222"/>
      <c r="Q217" s="222"/>
    </row>
    <row r="218" spans="1:42" ht="14.25" customHeight="1">
      <c r="A218" s="112">
        <v>209.05</v>
      </c>
      <c r="B218" s="168"/>
      <c r="C218" s="1" t="s">
        <v>1886</v>
      </c>
      <c r="D218" s="184"/>
      <c r="E218" s="184"/>
      <c r="H218" s="184"/>
      <c r="I218" s="184"/>
      <c r="L218" s="3"/>
      <c r="M218" s="3"/>
      <c r="N218" s="184">
        <v>3</v>
      </c>
      <c r="O218" s="6">
        <v>3.4</v>
      </c>
      <c r="P218" s="222"/>
      <c r="Q218" s="222"/>
    </row>
    <row r="219" spans="1:42" ht="14.25" customHeight="1">
      <c r="A219" s="112">
        <v>209.06</v>
      </c>
      <c r="B219" s="168"/>
      <c r="C219" s="1" t="s">
        <v>1870</v>
      </c>
      <c r="D219" s="184"/>
      <c r="E219" s="184"/>
      <c r="H219" s="184"/>
      <c r="I219" s="184"/>
      <c r="L219" s="3"/>
      <c r="M219" s="3"/>
      <c r="N219" s="184">
        <v>3</v>
      </c>
      <c r="O219" s="6">
        <v>3.4</v>
      </c>
      <c r="P219" s="222"/>
      <c r="Q219" s="222"/>
    </row>
    <row r="220" spans="1:42" ht="14.25" customHeight="1">
      <c r="A220" s="112">
        <v>209.07</v>
      </c>
      <c r="B220" s="168"/>
      <c r="C220" s="1" t="s">
        <v>1887</v>
      </c>
      <c r="D220" s="184"/>
      <c r="E220" s="184"/>
      <c r="H220" s="184"/>
      <c r="I220" s="184"/>
      <c r="L220" s="3"/>
      <c r="M220" s="3"/>
      <c r="N220" s="184">
        <v>3</v>
      </c>
      <c r="O220" s="6">
        <v>3.4</v>
      </c>
      <c r="P220" s="222"/>
      <c r="Q220" s="222"/>
    </row>
    <row r="221" spans="1:42" ht="14.25" customHeight="1">
      <c r="A221" s="112">
        <v>209.08</v>
      </c>
      <c r="B221" s="168"/>
      <c r="C221" s="1" t="s">
        <v>1888</v>
      </c>
      <c r="D221" s="184"/>
      <c r="E221" s="184"/>
      <c r="H221" s="184"/>
      <c r="I221" s="184"/>
      <c r="L221" s="3"/>
      <c r="M221" s="3"/>
      <c r="N221" s="184">
        <v>3</v>
      </c>
      <c r="O221" s="6">
        <v>3.4</v>
      </c>
      <c r="P221" s="222"/>
      <c r="Q221" s="222"/>
    </row>
    <row r="222" spans="1:42" ht="14.25" customHeight="1">
      <c r="A222" s="112">
        <v>209.09</v>
      </c>
      <c r="B222" s="168"/>
      <c r="C222" s="1" t="s">
        <v>1889</v>
      </c>
      <c r="D222" s="184"/>
      <c r="E222" s="184"/>
      <c r="H222" s="184"/>
      <c r="I222" s="184"/>
      <c r="L222" s="3"/>
      <c r="M222" s="3"/>
      <c r="N222" s="184">
        <v>3</v>
      </c>
      <c r="O222" s="6">
        <v>3.4</v>
      </c>
      <c r="P222" s="222"/>
      <c r="Q222" s="222"/>
      <c r="AP222" s="4"/>
    </row>
    <row r="223" spans="1:42" ht="14.25" customHeight="1">
      <c r="A223" s="114" t="s">
        <v>2999</v>
      </c>
      <c r="B223" s="168"/>
      <c r="C223" s="1" t="s">
        <v>1890</v>
      </c>
      <c r="D223" s="184"/>
      <c r="E223" s="184"/>
      <c r="H223" s="184"/>
      <c r="I223" s="184"/>
      <c r="L223" s="3"/>
      <c r="M223" s="3"/>
      <c r="N223" s="184">
        <v>3</v>
      </c>
      <c r="O223" s="6">
        <v>3.4</v>
      </c>
      <c r="P223" s="222"/>
      <c r="Q223" s="222"/>
    </row>
    <row r="224" spans="1:42" ht="14.25" customHeight="1">
      <c r="A224" s="112">
        <v>211.01</v>
      </c>
      <c r="B224" s="9">
        <f>118.2</f>
        <v>118.2</v>
      </c>
      <c r="C224" s="212" t="s">
        <v>6042</v>
      </c>
      <c r="D224" s="184"/>
      <c r="E224" s="184"/>
      <c r="H224" s="184"/>
      <c r="I224" s="184"/>
      <c r="L224" s="3"/>
      <c r="M224" s="3"/>
      <c r="N224" s="184">
        <v>5</v>
      </c>
      <c r="O224" s="6">
        <v>3</v>
      </c>
      <c r="P224" s="222"/>
      <c r="Q224" s="222"/>
    </row>
    <row r="225" spans="1:42" ht="14.25" customHeight="1">
      <c r="A225" s="112">
        <v>211.02</v>
      </c>
      <c r="B225" s="9">
        <f>118.2</f>
        <v>118.2</v>
      </c>
      <c r="C225" s="1" t="s">
        <v>1898</v>
      </c>
      <c r="D225" s="184"/>
      <c r="E225" s="184"/>
      <c r="H225" s="184"/>
      <c r="I225" s="184"/>
      <c r="L225" s="3"/>
      <c r="M225" s="3"/>
      <c r="N225" s="184">
        <v>5</v>
      </c>
      <c r="O225" s="6">
        <v>3</v>
      </c>
      <c r="P225" s="222"/>
      <c r="Q225" s="222"/>
      <c r="AJ225" s="212" t="s">
        <v>6042</v>
      </c>
    </row>
    <row r="226" spans="1:42" ht="14.25" customHeight="1">
      <c r="A226" s="112">
        <v>211.03</v>
      </c>
      <c r="B226" s="9">
        <f>118.2</f>
        <v>118.2</v>
      </c>
      <c r="C226" s="1" t="s">
        <v>1899</v>
      </c>
      <c r="D226" s="184"/>
      <c r="E226" s="184"/>
      <c r="H226" s="184"/>
      <c r="I226" s="184"/>
      <c r="L226" s="3"/>
      <c r="M226" s="3"/>
      <c r="N226" s="184">
        <v>5</v>
      </c>
      <c r="O226" s="6">
        <v>3</v>
      </c>
      <c r="P226" s="222"/>
      <c r="Q226" s="222"/>
    </row>
    <row r="227" spans="1:42" ht="14.25" customHeight="1">
      <c r="A227" s="112">
        <v>211.04</v>
      </c>
      <c r="B227" s="9">
        <f>118.2</f>
        <v>118.2</v>
      </c>
      <c r="C227" s="1" t="s">
        <v>1900</v>
      </c>
      <c r="D227" s="184"/>
      <c r="E227" s="184"/>
      <c r="H227" s="184"/>
      <c r="I227" s="184"/>
      <c r="L227" s="3"/>
      <c r="M227" s="3"/>
      <c r="N227" s="184">
        <v>5</v>
      </c>
      <c r="O227" s="6">
        <v>3</v>
      </c>
      <c r="P227" s="222"/>
      <c r="Q227" s="222"/>
    </row>
    <row r="228" spans="1:42" ht="14.25" customHeight="1">
      <c r="A228" s="125">
        <v>212.01</v>
      </c>
      <c r="B228" s="121">
        <f t="shared" ref="B228:B238" si="51">262/30</f>
        <v>8.7333333333333325</v>
      </c>
      <c r="C228" s="211" t="s">
        <v>1963</v>
      </c>
      <c r="N228" s="183">
        <f>10</f>
        <v>10</v>
      </c>
      <c r="O228" s="7">
        <v>0.31</v>
      </c>
    </row>
    <row r="229" spans="1:42" ht="14.25" customHeight="1">
      <c r="A229" s="125">
        <v>212.02</v>
      </c>
      <c r="B229" s="121">
        <f t="shared" si="51"/>
        <v>8.7333333333333325</v>
      </c>
      <c r="C229" s="7" t="s">
        <v>1964</v>
      </c>
      <c r="N229" s="183">
        <f>10</f>
        <v>10</v>
      </c>
      <c r="O229" s="7">
        <v>0.31</v>
      </c>
      <c r="AJ229" s="211" t="s">
        <v>1963</v>
      </c>
    </row>
    <row r="230" spans="1:42" ht="14.25" customHeight="1">
      <c r="A230" s="125">
        <v>212.03</v>
      </c>
      <c r="B230" s="121">
        <f t="shared" si="51"/>
        <v>8.7333333333333325</v>
      </c>
      <c r="C230" s="7" t="s">
        <v>5737</v>
      </c>
      <c r="N230" s="183">
        <f>10</f>
        <v>10</v>
      </c>
      <c r="O230" s="7">
        <v>0.31</v>
      </c>
    </row>
    <row r="231" spans="1:42" ht="14.25" customHeight="1">
      <c r="A231" s="125">
        <v>212.04</v>
      </c>
      <c r="B231" s="121">
        <f t="shared" si="51"/>
        <v>8.7333333333333325</v>
      </c>
      <c r="C231" s="7" t="s">
        <v>1966</v>
      </c>
      <c r="N231" s="183">
        <f>10</f>
        <v>10</v>
      </c>
      <c r="O231" s="7">
        <v>0.31</v>
      </c>
    </row>
    <row r="232" spans="1:42" ht="14.25" customHeight="1">
      <c r="A232" s="133" t="s">
        <v>2345</v>
      </c>
      <c r="B232" s="121">
        <f t="shared" si="51"/>
        <v>8.7333333333333325</v>
      </c>
      <c r="C232" s="131" t="s">
        <v>3303</v>
      </c>
      <c r="N232" s="183">
        <f>10</f>
        <v>10</v>
      </c>
      <c r="O232" s="7">
        <v>0.31</v>
      </c>
    </row>
    <row r="233" spans="1:42" ht="14.25" customHeight="1">
      <c r="A233" s="133" t="s">
        <v>2346</v>
      </c>
      <c r="B233" s="121">
        <f t="shared" si="51"/>
        <v>8.7333333333333325</v>
      </c>
      <c r="C233" s="7" t="s">
        <v>5738</v>
      </c>
      <c r="N233" s="183">
        <f>10</f>
        <v>10</v>
      </c>
      <c r="O233" s="7">
        <v>0.31</v>
      </c>
    </row>
    <row r="234" spans="1:42" ht="14.25" customHeight="1">
      <c r="A234" s="133" t="s">
        <v>2347</v>
      </c>
      <c r="B234" s="121">
        <f t="shared" si="51"/>
        <v>8.7333333333333325</v>
      </c>
      <c r="C234" s="7" t="s">
        <v>5739</v>
      </c>
      <c r="N234" s="183">
        <f>10</f>
        <v>10</v>
      </c>
      <c r="O234" s="7">
        <v>0.31</v>
      </c>
      <c r="AP234" s="4"/>
    </row>
    <row r="235" spans="1:42" s="4" customFormat="1" ht="14.25" customHeight="1">
      <c r="A235" s="133" t="s">
        <v>2348</v>
      </c>
      <c r="B235" s="121">
        <f t="shared" si="51"/>
        <v>8.7333333333333325</v>
      </c>
      <c r="C235" s="7" t="s">
        <v>5740</v>
      </c>
      <c r="D235" s="183"/>
      <c r="E235" s="183"/>
      <c r="F235" s="188"/>
      <c r="G235" s="188"/>
      <c r="H235" s="183"/>
      <c r="I235" s="183"/>
      <c r="J235" s="188"/>
      <c r="K235" s="188"/>
      <c r="L235" s="9"/>
      <c r="M235" s="9"/>
      <c r="N235" s="183">
        <f>10</f>
        <v>10</v>
      </c>
      <c r="O235" s="7">
        <v>0.31</v>
      </c>
      <c r="P235" s="9"/>
      <c r="Q235" s="9"/>
      <c r="R235" s="7"/>
      <c r="S235" s="126"/>
      <c r="T235" s="126"/>
      <c r="U235" s="236"/>
      <c r="V235" s="103"/>
      <c r="W235" s="9"/>
      <c r="X235" s="9"/>
      <c r="Y235" s="9"/>
      <c r="Z235" s="9"/>
      <c r="AA235" s="126"/>
      <c r="AB235" s="9"/>
      <c r="AC235" s="9"/>
      <c r="AD235" s="9"/>
      <c r="AE235" s="9"/>
      <c r="AF235" s="9"/>
      <c r="AG235" s="9"/>
      <c r="AH235" s="9"/>
      <c r="AI235" s="9"/>
      <c r="AJ235" s="7"/>
      <c r="AK235" s="7"/>
      <c r="AL235" s="7"/>
      <c r="AM235" s="7"/>
      <c r="AN235" s="7"/>
      <c r="AO235" s="7"/>
      <c r="AP235" s="7"/>
    </row>
    <row r="236" spans="1:42" ht="14.25" customHeight="1">
      <c r="A236" s="133" t="s">
        <v>2349</v>
      </c>
      <c r="B236" s="121">
        <f t="shared" si="51"/>
        <v>8.7333333333333325</v>
      </c>
      <c r="C236" s="7" t="s">
        <v>5741</v>
      </c>
      <c r="N236" s="183">
        <f>10</f>
        <v>10</v>
      </c>
      <c r="O236" s="7">
        <v>0.31</v>
      </c>
    </row>
    <row r="237" spans="1:42" ht="14.25" customHeight="1">
      <c r="A237" s="133" t="s">
        <v>2350</v>
      </c>
      <c r="B237" s="121">
        <f t="shared" si="51"/>
        <v>8.7333333333333325</v>
      </c>
      <c r="C237" s="7" t="s">
        <v>1971</v>
      </c>
      <c r="N237" s="183">
        <f>10</f>
        <v>10</v>
      </c>
      <c r="O237" s="7">
        <v>0.31</v>
      </c>
      <c r="AP237" s="4"/>
    </row>
    <row r="238" spans="1:42" s="4" customFormat="1" ht="14.25" customHeight="1">
      <c r="A238" s="133" t="s">
        <v>2351</v>
      </c>
      <c r="B238" s="121">
        <f t="shared" si="51"/>
        <v>8.7333333333333325</v>
      </c>
      <c r="C238" s="131" t="s">
        <v>3309</v>
      </c>
      <c r="D238" s="183"/>
      <c r="E238" s="183"/>
      <c r="F238" s="188"/>
      <c r="G238" s="188"/>
      <c r="H238" s="183"/>
      <c r="I238" s="183"/>
      <c r="J238" s="188"/>
      <c r="K238" s="188"/>
      <c r="L238" s="9"/>
      <c r="M238" s="9"/>
      <c r="N238" s="183">
        <f>10</f>
        <v>10</v>
      </c>
      <c r="O238" s="7">
        <v>0.31</v>
      </c>
      <c r="P238" s="9"/>
      <c r="Q238" s="9"/>
      <c r="R238" s="7"/>
      <c r="S238" s="126"/>
      <c r="T238" s="126"/>
      <c r="U238" s="236"/>
      <c r="V238" s="103"/>
      <c r="W238" s="9"/>
      <c r="X238" s="9"/>
      <c r="Y238" s="9"/>
      <c r="Z238" s="9"/>
      <c r="AA238" s="126"/>
      <c r="AB238" s="9"/>
      <c r="AC238" s="9"/>
      <c r="AD238" s="9"/>
      <c r="AE238" s="9"/>
      <c r="AF238" s="9"/>
      <c r="AG238" s="9"/>
      <c r="AH238" s="9"/>
      <c r="AI238" s="9"/>
      <c r="AJ238" s="7"/>
      <c r="AK238" s="7"/>
      <c r="AL238" s="7"/>
      <c r="AM238" s="7"/>
      <c r="AN238" s="7"/>
      <c r="AO238" s="7"/>
      <c r="AP238" s="7"/>
    </row>
    <row r="239" spans="1:42" ht="14.25" customHeight="1">
      <c r="A239" s="133" t="s">
        <v>2352</v>
      </c>
      <c r="B239" s="9">
        <f t="shared" ref="B239:B249" si="52">189/10</f>
        <v>18.899999999999999</v>
      </c>
      <c r="C239" s="211" t="s">
        <v>1972</v>
      </c>
      <c r="N239" s="183">
        <f>10</f>
        <v>10</v>
      </c>
      <c r="O239" s="7">
        <v>0.49</v>
      </c>
    </row>
    <row r="240" spans="1:42" ht="14.25" customHeight="1">
      <c r="A240" s="133" t="s">
        <v>2353</v>
      </c>
      <c r="B240" s="9">
        <f t="shared" si="52"/>
        <v>18.899999999999999</v>
      </c>
      <c r="C240" s="7" t="s">
        <v>1973</v>
      </c>
      <c r="N240" s="183">
        <f>10</f>
        <v>10</v>
      </c>
      <c r="O240" s="7">
        <v>0.49</v>
      </c>
      <c r="AJ240" s="211" t="s">
        <v>1972</v>
      </c>
      <c r="AP240" s="4"/>
    </row>
    <row r="241" spans="1:42" ht="14.25" customHeight="1">
      <c r="A241" s="133" t="s">
        <v>2354</v>
      </c>
      <c r="B241" s="9">
        <f t="shared" si="52"/>
        <v>18.899999999999999</v>
      </c>
      <c r="C241" s="7" t="s">
        <v>5742</v>
      </c>
      <c r="N241" s="183">
        <f>10</f>
        <v>10</v>
      </c>
      <c r="O241" s="7">
        <v>0.49</v>
      </c>
    </row>
    <row r="242" spans="1:42" ht="14.25" customHeight="1">
      <c r="A242" s="133" t="s">
        <v>2355</v>
      </c>
      <c r="B242" s="9">
        <f t="shared" si="52"/>
        <v>18.899999999999999</v>
      </c>
      <c r="C242" s="7" t="s">
        <v>1975</v>
      </c>
      <c r="N242" s="183">
        <f>10</f>
        <v>10</v>
      </c>
      <c r="O242" s="7">
        <v>0.49</v>
      </c>
    </row>
    <row r="243" spans="1:42" s="4" customFormat="1" ht="14.25" customHeight="1">
      <c r="A243" s="133" t="s">
        <v>2356</v>
      </c>
      <c r="B243" s="9">
        <f t="shared" si="52"/>
        <v>18.899999999999999</v>
      </c>
      <c r="C243" s="131" t="s">
        <v>3304</v>
      </c>
      <c r="D243" s="183"/>
      <c r="E243" s="183"/>
      <c r="F243" s="188"/>
      <c r="G243" s="188"/>
      <c r="H243" s="183"/>
      <c r="I243" s="183"/>
      <c r="J243" s="188"/>
      <c r="K243" s="188"/>
      <c r="L243" s="9"/>
      <c r="M243" s="9"/>
      <c r="N243" s="183">
        <f>10</f>
        <v>10</v>
      </c>
      <c r="O243" s="7">
        <v>0.49</v>
      </c>
      <c r="P243" s="9"/>
      <c r="Q243" s="9"/>
      <c r="R243" s="7"/>
      <c r="S243" s="126"/>
      <c r="T243" s="126"/>
      <c r="U243" s="236"/>
      <c r="V243" s="103"/>
      <c r="W243" s="9"/>
      <c r="X243" s="9"/>
      <c r="Y243" s="9"/>
      <c r="Z243" s="9"/>
      <c r="AA243" s="126"/>
      <c r="AB243" s="9"/>
      <c r="AC243" s="9"/>
      <c r="AD243" s="9"/>
      <c r="AE243" s="9"/>
      <c r="AF243" s="9"/>
      <c r="AG243" s="9"/>
      <c r="AH243" s="9"/>
      <c r="AI243" s="9"/>
      <c r="AJ243" s="7"/>
      <c r="AK243" s="7"/>
      <c r="AL243" s="7"/>
      <c r="AM243" s="7"/>
      <c r="AN243" s="7"/>
      <c r="AO243" s="7"/>
      <c r="AP243" s="7"/>
    </row>
    <row r="244" spans="1:42" ht="14.25" customHeight="1">
      <c r="A244" s="133" t="s">
        <v>2357</v>
      </c>
      <c r="B244" s="9">
        <f t="shared" si="52"/>
        <v>18.899999999999999</v>
      </c>
      <c r="C244" s="7" t="s">
        <v>5743</v>
      </c>
      <c r="N244" s="183">
        <f>10</f>
        <v>10</v>
      </c>
      <c r="O244" s="7">
        <v>0.49</v>
      </c>
    </row>
    <row r="245" spans="1:42" ht="14.25" customHeight="1">
      <c r="A245" s="133" t="s">
        <v>2358</v>
      </c>
      <c r="B245" s="9">
        <f t="shared" si="52"/>
        <v>18.899999999999999</v>
      </c>
      <c r="C245" s="7" t="s">
        <v>5744</v>
      </c>
      <c r="N245" s="183">
        <f>10</f>
        <v>10</v>
      </c>
      <c r="O245" s="7">
        <v>0.49</v>
      </c>
    </row>
    <row r="246" spans="1:42" ht="14.25" customHeight="1">
      <c r="A246" s="133" t="s">
        <v>2359</v>
      </c>
      <c r="B246" s="9">
        <f t="shared" si="52"/>
        <v>18.899999999999999</v>
      </c>
      <c r="C246" s="7" t="s">
        <v>5745</v>
      </c>
      <c r="N246" s="183">
        <f>10</f>
        <v>10</v>
      </c>
      <c r="O246" s="7">
        <v>0.49</v>
      </c>
    </row>
    <row r="247" spans="1:42" ht="14.25" customHeight="1">
      <c r="A247" s="133" t="s">
        <v>2360</v>
      </c>
      <c r="B247" s="9">
        <f t="shared" si="52"/>
        <v>18.899999999999999</v>
      </c>
      <c r="C247" s="7" t="s">
        <v>5746</v>
      </c>
      <c r="N247" s="183">
        <f>10</f>
        <v>10</v>
      </c>
      <c r="O247" s="7">
        <v>0.49</v>
      </c>
    </row>
    <row r="248" spans="1:42" ht="14.25" customHeight="1">
      <c r="A248" s="133" t="s">
        <v>2361</v>
      </c>
      <c r="B248" s="9">
        <f t="shared" si="52"/>
        <v>18.899999999999999</v>
      </c>
      <c r="C248" s="7" t="s">
        <v>1980</v>
      </c>
      <c r="N248" s="183">
        <f>10</f>
        <v>10</v>
      </c>
      <c r="O248" s="7">
        <v>0.49</v>
      </c>
    </row>
    <row r="249" spans="1:42" ht="14.25" customHeight="1">
      <c r="A249" s="133" t="s">
        <v>2362</v>
      </c>
      <c r="B249" s="9">
        <f t="shared" si="52"/>
        <v>18.899999999999999</v>
      </c>
      <c r="C249" s="131" t="s">
        <v>3310</v>
      </c>
      <c r="N249" s="183">
        <f>10</f>
        <v>10</v>
      </c>
      <c r="O249" s="7">
        <v>0.49</v>
      </c>
    </row>
    <row r="250" spans="1:42" ht="14.25" customHeight="1">
      <c r="A250" s="133" t="s">
        <v>2363</v>
      </c>
      <c r="B250" s="121">
        <f t="shared" ref="B250:B260" si="53">343.2/20</f>
        <v>17.16</v>
      </c>
      <c r="C250" s="211" t="s">
        <v>1981</v>
      </c>
      <c r="N250" s="183">
        <f>10</f>
        <v>10</v>
      </c>
      <c r="O250" s="7">
        <v>0.57999999999999996</v>
      </c>
    </row>
    <row r="251" spans="1:42" ht="14.25" customHeight="1">
      <c r="A251" s="133" t="s">
        <v>2364</v>
      </c>
      <c r="B251" s="121">
        <f t="shared" si="53"/>
        <v>17.16</v>
      </c>
      <c r="C251" s="7" t="s">
        <v>1982</v>
      </c>
      <c r="N251" s="183">
        <f>10</f>
        <v>10</v>
      </c>
      <c r="O251" s="7">
        <v>0.57999999999999996</v>
      </c>
      <c r="AJ251" s="211" t="s">
        <v>1981</v>
      </c>
    </row>
    <row r="252" spans="1:42" ht="14.25" customHeight="1">
      <c r="A252" s="133" t="s">
        <v>2365</v>
      </c>
      <c r="B252" s="121">
        <f t="shared" si="53"/>
        <v>17.16</v>
      </c>
      <c r="C252" s="7" t="s">
        <v>5747</v>
      </c>
      <c r="N252" s="183">
        <f>10</f>
        <v>10</v>
      </c>
      <c r="O252" s="7">
        <v>0.57999999999999996</v>
      </c>
    </row>
    <row r="253" spans="1:42" ht="14.25" customHeight="1">
      <c r="A253" s="133" t="s">
        <v>2366</v>
      </c>
      <c r="B253" s="121">
        <f t="shared" si="53"/>
        <v>17.16</v>
      </c>
      <c r="C253" s="7" t="s">
        <v>1984</v>
      </c>
      <c r="N253" s="183">
        <f>10</f>
        <v>10</v>
      </c>
      <c r="O253" s="7">
        <v>0.57999999999999996</v>
      </c>
    </row>
    <row r="254" spans="1:42" ht="14.25" customHeight="1">
      <c r="A254" s="133" t="s">
        <v>2367</v>
      </c>
      <c r="B254" s="121">
        <f t="shared" si="53"/>
        <v>17.16</v>
      </c>
      <c r="C254" s="131" t="s">
        <v>3305</v>
      </c>
      <c r="N254" s="183">
        <f>10</f>
        <v>10</v>
      </c>
      <c r="O254" s="7">
        <v>0.57999999999999996</v>
      </c>
    </row>
    <row r="255" spans="1:42" ht="14.25" customHeight="1">
      <c r="A255" s="133" t="s">
        <v>2368</v>
      </c>
      <c r="B255" s="121">
        <f t="shared" si="53"/>
        <v>17.16</v>
      </c>
      <c r="C255" s="7" t="s">
        <v>5748</v>
      </c>
      <c r="N255" s="183">
        <f>10</f>
        <v>10</v>
      </c>
      <c r="O255" s="7">
        <v>0.57999999999999996</v>
      </c>
    </row>
    <row r="256" spans="1:42" ht="14.25" customHeight="1">
      <c r="A256" s="133" t="s">
        <v>2369</v>
      </c>
      <c r="B256" s="121">
        <f t="shared" si="53"/>
        <v>17.16</v>
      </c>
      <c r="C256" s="7" t="s">
        <v>5749</v>
      </c>
      <c r="N256" s="183">
        <f>10</f>
        <v>10</v>
      </c>
      <c r="O256" s="7">
        <v>0.57999999999999996</v>
      </c>
    </row>
    <row r="257" spans="1:42" ht="14.25" customHeight="1">
      <c r="A257" s="133" t="s">
        <v>2370</v>
      </c>
      <c r="B257" s="121">
        <f t="shared" si="53"/>
        <v>17.16</v>
      </c>
      <c r="C257" s="7" t="s">
        <v>5960</v>
      </c>
      <c r="N257" s="183">
        <f>10</f>
        <v>10</v>
      </c>
      <c r="O257" s="7">
        <v>0.57999999999999996</v>
      </c>
    </row>
    <row r="258" spans="1:42" ht="14.25" customHeight="1">
      <c r="A258" s="133" t="s">
        <v>2371</v>
      </c>
      <c r="B258" s="121">
        <f t="shared" si="53"/>
        <v>17.16</v>
      </c>
      <c r="C258" s="7" t="s">
        <v>5750</v>
      </c>
      <c r="N258" s="183">
        <f>10</f>
        <v>10</v>
      </c>
      <c r="O258" s="7">
        <v>0.57999999999999996</v>
      </c>
    </row>
    <row r="259" spans="1:42" s="4" customFormat="1" ht="14.25" customHeight="1">
      <c r="A259" s="133" t="s">
        <v>2372</v>
      </c>
      <c r="B259" s="121">
        <f t="shared" si="53"/>
        <v>17.16</v>
      </c>
      <c r="C259" s="7" t="s">
        <v>1989</v>
      </c>
      <c r="D259" s="183"/>
      <c r="E259" s="183"/>
      <c r="F259" s="188"/>
      <c r="G259" s="188"/>
      <c r="H259" s="183"/>
      <c r="I259" s="183"/>
      <c r="J259" s="188"/>
      <c r="K259" s="188"/>
      <c r="L259" s="9"/>
      <c r="M259" s="9"/>
      <c r="N259" s="183">
        <f>10</f>
        <v>10</v>
      </c>
      <c r="O259" s="7">
        <v>0.57999999999999996</v>
      </c>
      <c r="P259" s="9"/>
      <c r="Q259" s="9"/>
      <c r="R259" s="7"/>
      <c r="S259" s="126"/>
      <c r="T259" s="126"/>
      <c r="U259" s="236"/>
      <c r="V259" s="103"/>
      <c r="W259" s="9"/>
      <c r="X259" s="9"/>
      <c r="Y259" s="9"/>
      <c r="Z259" s="9"/>
      <c r="AA259" s="126"/>
      <c r="AB259" s="9"/>
      <c r="AC259" s="9"/>
      <c r="AD259" s="9"/>
      <c r="AE259" s="9"/>
      <c r="AF259" s="9"/>
      <c r="AG259" s="9"/>
      <c r="AH259" s="9"/>
      <c r="AI259" s="9"/>
      <c r="AJ259" s="7"/>
      <c r="AK259" s="7"/>
      <c r="AL259" s="7"/>
      <c r="AM259" s="7"/>
      <c r="AN259" s="7"/>
      <c r="AO259" s="7"/>
      <c r="AP259" s="7"/>
    </row>
    <row r="260" spans="1:42" ht="14.25" customHeight="1">
      <c r="A260" s="133" t="s">
        <v>2373</v>
      </c>
      <c r="B260" s="121">
        <f t="shared" si="53"/>
        <v>17.16</v>
      </c>
      <c r="C260" s="131" t="s">
        <v>3311</v>
      </c>
      <c r="N260" s="183">
        <f>10</f>
        <v>10</v>
      </c>
      <c r="O260" s="7">
        <v>0.57999999999999996</v>
      </c>
    </row>
    <row r="261" spans="1:42" ht="14.25" customHeight="1">
      <c r="A261" s="133" t="s">
        <v>2374</v>
      </c>
      <c r="B261" s="121">
        <f t="shared" ref="B261:B271" si="54">298.9/10</f>
        <v>29.889999999999997</v>
      </c>
      <c r="C261" s="7" t="s">
        <v>1990</v>
      </c>
      <c r="N261" s="183">
        <f>10</f>
        <v>10</v>
      </c>
      <c r="O261" s="7">
        <v>0.96</v>
      </c>
    </row>
    <row r="262" spans="1:42" s="4" customFormat="1" ht="14.25" customHeight="1">
      <c r="A262" s="133" t="s">
        <v>2375</v>
      </c>
      <c r="B262" s="121">
        <f t="shared" si="54"/>
        <v>29.889999999999997</v>
      </c>
      <c r="C262" s="7" t="s">
        <v>1991</v>
      </c>
      <c r="D262" s="183"/>
      <c r="E262" s="183"/>
      <c r="F262" s="188"/>
      <c r="G262" s="188"/>
      <c r="H262" s="183"/>
      <c r="I262" s="183"/>
      <c r="J262" s="188"/>
      <c r="K262" s="188"/>
      <c r="L262" s="9"/>
      <c r="M262" s="9"/>
      <c r="N262" s="183">
        <f>10</f>
        <v>10</v>
      </c>
      <c r="O262" s="7">
        <v>0.96</v>
      </c>
      <c r="P262" s="9"/>
      <c r="Q262" s="9"/>
      <c r="R262" s="7"/>
      <c r="S262" s="126"/>
      <c r="T262" s="126"/>
      <c r="U262" s="236"/>
      <c r="V262" s="103"/>
      <c r="W262" s="9"/>
      <c r="X262" s="9"/>
      <c r="Y262" s="9"/>
      <c r="Z262" s="9"/>
      <c r="AA262" s="126"/>
      <c r="AB262" s="9"/>
      <c r="AC262" s="9"/>
      <c r="AD262" s="9"/>
      <c r="AE262" s="9"/>
      <c r="AF262" s="9"/>
      <c r="AG262" s="9"/>
      <c r="AH262" s="9"/>
      <c r="AI262" s="9"/>
      <c r="AJ262" s="7"/>
      <c r="AK262" s="7"/>
      <c r="AL262" s="7"/>
      <c r="AM262" s="7"/>
      <c r="AN262" s="7"/>
      <c r="AO262" s="7"/>
      <c r="AP262" s="7"/>
    </row>
    <row r="263" spans="1:42" ht="14.25" customHeight="1">
      <c r="A263" s="133" t="s">
        <v>2376</v>
      </c>
      <c r="B263" s="121">
        <f t="shared" si="54"/>
        <v>29.889999999999997</v>
      </c>
      <c r="C263" s="7" t="s">
        <v>5751</v>
      </c>
      <c r="N263" s="183">
        <f>10</f>
        <v>10</v>
      </c>
      <c r="O263" s="7">
        <v>0.96</v>
      </c>
    </row>
    <row r="264" spans="1:42" ht="14.25" customHeight="1">
      <c r="A264" s="133" t="s">
        <v>2377</v>
      </c>
      <c r="B264" s="121">
        <f t="shared" si="54"/>
        <v>29.889999999999997</v>
      </c>
      <c r="C264" s="7" t="s">
        <v>1993</v>
      </c>
      <c r="N264" s="183">
        <f>10</f>
        <v>10</v>
      </c>
      <c r="O264" s="7">
        <v>0.96</v>
      </c>
    </row>
    <row r="265" spans="1:42" s="4" customFormat="1" ht="14.25" customHeight="1">
      <c r="A265" s="133" t="s">
        <v>2378</v>
      </c>
      <c r="B265" s="121">
        <f t="shared" si="54"/>
        <v>29.889999999999997</v>
      </c>
      <c r="C265" s="131" t="s">
        <v>3306</v>
      </c>
      <c r="D265" s="183"/>
      <c r="E265" s="183"/>
      <c r="F265" s="188"/>
      <c r="G265" s="188"/>
      <c r="H265" s="183"/>
      <c r="I265" s="183"/>
      <c r="J265" s="188"/>
      <c r="K265" s="188"/>
      <c r="L265" s="9"/>
      <c r="M265" s="9"/>
      <c r="N265" s="183">
        <f>10</f>
        <v>10</v>
      </c>
      <c r="O265" s="7">
        <v>0.96</v>
      </c>
      <c r="P265" s="9"/>
      <c r="Q265" s="9"/>
      <c r="R265" s="7"/>
      <c r="S265" s="126"/>
      <c r="T265" s="126"/>
      <c r="U265" s="236"/>
      <c r="V265" s="103"/>
      <c r="W265" s="9"/>
      <c r="X265" s="9"/>
      <c r="Y265" s="9"/>
      <c r="Z265" s="9"/>
      <c r="AA265" s="126"/>
      <c r="AB265" s="9"/>
      <c r="AC265" s="9"/>
      <c r="AD265" s="9"/>
      <c r="AE265" s="9"/>
      <c r="AF265" s="9"/>
      <c r="AG265" s="9"/>
      <c r="AH265" s="9"/>
      <c r="AI265" s="9"/>
      <c r="AJ265" s="7"/>
      <c r="AK265" s="7"/>
      <c r="AL265" s="7"/>
      <c r="AM265" s="7"/>
      <c r="AN265" s="7"/>
      <c r="AO265" s="7"/>
      <c r="AP265" s="7"/>
    </row>
    <row r="266" spans="1:42" ht="14.25" customHeight="1">
      <c r="A266" s="133" t="s">
        <v>2379</v>
      </c>
      <c r="B266" s="121">
        <f t="shared" si="54"/>
        <v>29.889999999999997</v>
      </c>
      <c r="C266" s="7" t="s">
        <v>5752</v>
      </c>
      <c r="N266" s="183">
        <f>10</f>
        <v>10</v>
      </c>
      <c r="O266" s="7">
        <v>0.96</v>
      </c>
    </row>
    <row r="267" spans="1:42" ht="14.25" customHeight="1">
      <c r="A267" s="133" t="s">
        <v>2380</v>
      </c>
      <c r="B267" s="121">
        <f t="shared" si="54"/>
        <v>29.889999999999997</v>
      </c>
      <c r="C267" s="7" t="s">
        <v>5753</v>
      </c>
      <c r="N267" s="183">
        <f>10</f>
        <v>10</v>
      </c>
      <c r="O267" s="7">
        <v>0.96</v>
      </c>
    </row>
    <row r="268" spans="1:42" ht="14.25" customHeight="1">
      <c r="A268" s="133" t="s">
        <v>2381</v>
      </c>
      <c r="B268" s="121">
        <f t="shared" si="54"/>
        <v>29.889999999999997</v>
      </c>
      <c r="C268" s="7" t="s">
        <v>5754</v>
      </c>
      <c r="N268" s="183">
        <f>10</f>
        <v>10</v>
      </c>
      <c r="O268" s="7">
        <v>0.96</v>
      </c>
    </row>
    <row r="269" spans="1:42" ht="14.25" customHeight="1">
      <c r="A269" s="133" t="s">
        <v>2382</v>
      </c>
      <c r="B269" s="121">
        <f t="shared" si="54"/>
        <v>29.889999999999997</v>
      </c>
      <c r="C269" s="7" t="s">
        <v>5755</v>
      </c>
      <c r="N269" s="183">
        <f>10</f>
        <v>10</v>
      </c>
      <c r="O269" s="7">
        <v>0.96</v>
      </c>
    </row>
    <row r="270" spans="1:42" ht="14.25" customHeight="1">
      <c r="A270" s="133" t="s">
        <v>2383</v>
      </c>
      <c r="B270" s="121">
        <f t="shared" si="54"/>
        <v>29.889999999999997</v>
      </c>
      <c r="C270" s="7" t="s">
        <v>1998</v>
      </c>
      <c r="N270" s="183">
        <f>10</f>
        <v>10</v>
      </c>
      <c r="O270" s="7">
        <v>0.96</v>
      </c>
    </row>
    <row r="271" spans="1:42" ht="14.25" customHeight="1">
      <c r="A271" s="133" t="s">
        <v>2384</v>
      </c>
      <c r="B271" s="121">
        <f t="shared" si="54"/>
        <v>29.889999999999997</v>
      </c>
      <c r="C271" s="131" t="s">
        <v>3312</v>
      </c>
      <c r="N271" s="183">
        <f>10</f>
        <v>10</v>
      </c>
      <c r="O271" s="7">
        <v>0.96</v>
      </c>
    </row>
    <row r="272" spans="1:42" ht="14.25" customHeight="1">
      <c r="A272" s="133" t="s">
        <v>2385</v>
      </c>
      <c r="B272" s="121">
        <f t="shared" ref="B272:B282" si="55">332.7/10</f>
        <v>33.269999999999996</v>
      </c>
      <c r="C272" s="211" t="s">
        <v>1999</v>
      </c>
      <c r="N272" s="183">
        <f>10</f>
        <v>10</v>
      </c>
      <c r="O272" s="7">
        <v>1.2</v>
      </c>
    </row>
    <row r="273" spans="1:36" ht="14.25" customHeight="1">
      <c r="A273" s="133" t="s">
        <v>2386</v>
      </c>
      <c r="B273" s="121">
        <f t="shared" si="55"/>
        <v>33.269999999999996</v>
      </c>
      <c r="C273" s="7" t="s">
        <v>2000</v>
      </c>
      <c r="N273" s="183">
        <f>10</f>
        <v>10</v>
      </c>
      <c r="O273" s="7">
        <v>1.2</v>
      </c>
      <c r="AJ273" s="211" t="s">
        <v>1999</v>
      </c>
    </row>
    <row r="274" spans="1:36" ht="14.25" customHeight="1">
      <c r="A274" s="133" t="s">
        <v>2387</v>
      </c>
      <c r="B274" s="121">
        <f t="shared" si="55"/>
        <v>33.269999999999996</v>
      </c>
      <c r="C274" s="7" t="s">
        <v>5756</v>
      </c>
      <c r="N274" s="183">
        <f>10</f>
        <v>10</v>
      </c>
      <c r="O274" s="7">
        <v>1.2</v>
      </c>
    </row>
    <row r="275" spans="1:36" ht="14.25" customHeight="1">
      <c r="A275" s="133" t="s">
        <v>2388</v>
      </c>
      <c r="B275" s="121">
        <f t="shared" si="55"/>
        <v>33.269999999999996</v>
      </c>
      <c r="C275" s="7" t="s">
        <v>2002</v>
      </c>
      <c r="N275" s="183">
        <f>10</f>
        <v>10</v>
      </c>
      <c r="O275" s="7">
        <v>1.2</v>
      </c>
    </row>
    <row r="276" spans="1:36" ht="14.25" customHeight="1">
      <c r="A276" s="133" t="s">
        <v>2389</v>
      </c>
      <c r="B276" s="121">
        <f t="shared" si="55"/>
        <v>33.269999999999996</v>
      </c>
      <c r="C276" s="131" t="s">
        <v>3307</v>
      </c>
      <c r="N276" s="183">
        <f>10</f>
        <v>10</v>
      </c>
      <c r="O276" s="7">
        <v>1.2</v>
      </c>
    </row>
    <row r="277" spans="1:36" ht="14.25" customHeight="1">
      <c r="A277" s="133" t="s">
        <v>2390</v>
      </c>
      <c r="B277" s="121">
        <f t="shared" si="55"/>
        <v>33.269999999999996</v>
      </c>
      <c r="C277" s="7" t="s">
        <v>5757</v>
      </c>
      <c r="N277" s="183">
        <f>10</f>
        <v>10</v>
      </c>
      <c r="O277" s="7">
        <v>1.2</v>
      </c>
    </row>
    <row r="278" spans="1:36" ht="14.25" customHeight="1">
      <c r="A278" s="133" t="s">
        <v>2391</v>
      </c>
      <c r="B278" s="121">
        <f t="shared" si="55"/>
        <v>33.269999999999996</v>
      </c>
      <c r="C278" s="7" t="s">
        <v>5758</v>
      </c>
      <c r="N278" s="183">
        <f>10</f>
        <v>10</v>
      </c>
      <c r="O278" s="7">
        <v>1.2</v>
      </c>
    </row>
    <row r="279" spans="1:36" ht="14.25" customHeight="1">
      <c r="A279" s="133" t="s">
        <v>2392</v>
      </c>
      <c r="B279" s="121">
        <f t="shared" si="55"/>
        <v>33.269999999999996</v>
      </c>
      <c r="C279" s="7" t="s">
        <v>5759</v>
      </c>
      <c r="N279" s="183">
        <f>10</f>
        <v>10</v>
      </c>
      <c r="O279" s="7">
        <v>1.2</v>
      </c>
    </row>
    <row r="280" spans="1:36" ht="14.25" customHeight="1">
      <c r="A280" s="133" t="s">
        <v>2393</v>
      </c>
      <c r="B280" s="121">
        <f t="shared" si="55"/>
        <v>33.269999999999996</v>
      </c>
      <c r="C280" s="7" t="s">
        <v>5760</v>
      </c>
      <c r="N280" s="183">
        <f>10</f>
        <v>10</v>
      </c>
      <c r="O280" s="7">
        <v>1.2</v>
      </c>
    </row>
    <row r="281" spans="1:36" ht="14.25" customHeight="1">
      <c r="A281" s="133" t="s">
        <v>2394</v>
      </c>
      <c r="B281" s="121">
        <f t="shared" si="55"/>
        <v>33.269999999999996</v>
      </c>
      <c r="C281" s="7" t="s">
        <v>2007</v>
      </c>
      <c r="N281" s="183">
        <f>10</f>
        <v>10</v>
      </c>
      <c r="O281" s="7">
        <v>1.2</v>
      </c>
    </row>
    <row r="282" spans="1:36" ht="14.25" customHeight="1">
      <c r="A282" s="133" t="s">
        <v>2395</v>
      </c>
      <c r="B282" s="121">
        <f t="shared" si="55"/>
        <v>33.269999999999996</v>
      </c>
      <c r="C282" s="131" t="s">
        <v>3313</v>
      </c>
      <c r="N282" s="183">
        <f>10</f>
        <v>10</v>
      </c>
      <c r="O282" s="7">
        <v>1.2</v>
      </c>
    </row>
    <row r="283" spans="1:36" ht="14.25" customHeight="1">
      <c r="A283" s="133" t="s">
        <v>2396</v>
      </c>
      <c r="B283" s="121">
        <f t="shared" ref="B283:B293" si="56">363.3/5</f>
        <v>72.66</v>
      </c>
      <c r="C283" s="211" t="s">
        <v>2008</v>
      </c>
      <c r="N283" s="183">
        <f>5</f>
        <v>5</v>
      </c>
      <c r="O283" s="7">
        <v>2.4</v>
      </c>
    </row>
    <row r="284" spans="1:36" ht="14.25" customHeight="1">
      <c r="A284" s="133" t="s">
        <v>2397</v>
      </c>
      <c r="B284" s="121">
        <f t="shared" si="56"/>
        <v>72.66</v>
      </c>
      <c r="C284" s="7" t="s">
        <v>2009</v>
      </c>
      <c r="N284" s="183">
        <f>5</f>
        <v>5</v>
      </c>
      <c r="O284" s="7">
        <v>2.4</v>
      </c>
      <c r="AJ284" s="211" t="s">
        <v>2008</v>
      </c>
    </row>
    <row r="285" spans="1:36" ht="14.25" customHeight="1">
      <c r="A285" s="133" t="s">
        <v>2398</v>
      </c>
      <c r="B285" s="121">
        <f t="shared" si="56"/>
        <v>72.66</v>
      </c>
      <c r="C285" s="7" t="s">
        <v>5761</v>
      </c>
      <c r="N285" s="183">
        <f>5</f>
        <v>5</v>
      </c>
      <c r="O285" s="7">
        <v>2.4</v>
      </c>
    </row>
    <row r="286" spans="1:36" ht="14.25" customHeight="1">
      <c r="A286" s="133" t="s">
        <v>2399</v>
      </c>
      <c r="B286" s="121">
        <f t="shared" si="56"/>
        <v>72.66</v>
      </c>
      <c r="C286" s="7" t="s">
        <v>2011</v>
      </c>
      <c r="N286" s="183">
        <f>5</f>
        <v>5</v>
      </c>
      <c r="O286" s="7">
        <v>2.4</v>
      </c>
    </row>
    <row r="287" spans="1:36" ht="14.25" customHeight="1">
      <c r="A287" s="133" t="s">
        <v>2400</v>
      </c>
      <c r="B287" s="121">
        <f t="shared" si="56"/>
        <v>72.66</v>
      </c>
      <c r="C287" s="131" t="s">
        <v>3308</v>
      </c>
      <c r="N287" s="183">
        <f>5</f>
        <v>5</v>
      </c>
      <c r="O287" s="7">
        <v>2.4</v>
      </c>
    </row>
    <row r="288" spans="1:36" ht="14.25" customHeight="1">
      <c r="A288" s="133" t="s">
        <v>2401</v>
      </c>
      <c r="B288" s="121">
        <f t="shared" si="56"/>
        <v>72.66</v>
      </c>
      <c r="C288" s="7" t="s">
        <v>5762</v>
      </c>
      <c r="N288" s="183">
        <f>5</f>
        <v>5</v>
      </c>
      <c r="O288" s="7">
        <v>2.4</v>
      </c>
    </row>
    <row r="289" spans="1:42" ht="14.25" customHeight="1">
      <c r="A289" s="133" t="s">
        <v>2402</v>
      </c>
      <c r="B289" s="121">
        <f t="shared" si="56"/>
        <v>72.66</v>
      </c>
      <c r="C289" s="7" t="s">
        <v>5763</v>
      </c>
      <c r="N289" s="183">
        <f>5</f>
        <v>5</v>
      </c>
      <c r="O289" s="7">
        <v>2.4</v>
      </c>
      <c r="AP289" s="4"/>
    </row>
    <row r="290" spans="1:42" ht="14.25" customHeight="1">
      <c r="A290" s="133" t="s">
        <v>2403</v>
      </c>
      <c r="B290" s="121">
        <f t="shared" si="56"/>
        <v>72.66</v>
      </c>
      <c r="C290" s="7" t="s">
        <v>5764</v>
      </c>
      <c r="N290" s="183">
        <f>5</f>
        <v>5</v>
      </c>
      <c r="O290" s="7">
        <v>2.4</v>
      </c>
    </row>
    <row r="291" spans="1:42" ht="14.25" customHeight="1">
      <c r="A291" s="133" t="s">
        <v>2404</v>
      </c>
      <c r="B291" s="121">
        <f t="shared" si="56"/>
        <v>72.66</v>
      </c>
      <c r="C291" s="7" t="s">
        <v>5765</v>
      </c>
      <c r="N291" s="183">
        <f>5</f>
        <v>5</v>
      </c>
      <c r="O291" s="7">
        <v>2.4</v>
      </c>
    </row>
    <row r="292" spans="1:42" ht="14.25" customHeight="1">
      <c r="A292" s="133" t="s">
        <v>2405</v>
      </c>
      <c r="B292" s="121">
        <f t="shared" si="56"/>
        <v>72.66</v>
      </c>
      <c r="C292" s="7" t="s">
        <v>2016</v>
      </c>
      <c r="N292" s="183">
        <f>5</f>
        <v>5</v>
      </c>
      <c r="O292" s="7">
        <v>2.4</v>
      </c>
    </row>
    <row r="293" spans="1:42" ht="14.25" customHeight="1">
      <c r="A293" s="133" t="s">
        <v>2406</v>
      </c>
      <c r="B293" s="121">
        <f t="shared" si="56"/>
        <v>72.66</v>
      </c>
      <c r="C293" s="131" t="s">
        <v>3314</v>
      </c>
      <c r="N293" s="183">
        <f>5</f>
        <v>5</v>
      </c>
      <c r="O293" s="7">
        <v>2.4</v>
      </c>
    </row>
    <row r="294" spans="1:42" ht="14.25" customHeight="1">
      <c r="A294" s="125" t="s">
        <v>3008</v>
      </c>
      <c r="B294" s="9">
        <v>13</v>
      </c>
      <c r="C294" s="211" t="s">
        <v>5766</v>
      </c>
      <c r="D294" s="184"/>
      <c r="E294" s="184"/>
      <c r="H294" s="184"/>
      <c r="I294" s="184"/>
      <c r="L294" s="3"/>
      <c r="M294" s="3"/>
      <c r="N294" s="184">
        <v>3</v>
      </c>
      <c r="O294" s="6">
        <v>2.2000000000000002</v>
      </c>
      <c r="P294" s="222"/>
      <c r="Q294" s="222"/>
    </row>
    <row r="295" spans="1:42" ht="14.25" customHeight="1">
      <c r="A295" s="125" t="s">
        <v>3009</v>
      </c>
      <c r="B295" s="9">
        <v>13</v>
      </c>
      <c r="C295" s="1" t="s">
        <v>5767</v>
      </c>
      <c r="D295" s="184"/>
      <c r="E295" s="184"/>
      <c r="H295" s="184"/>
      <c r="I295" s="184"/>
      <c r="L295" s="3"/>
      <c r="M295" s="3"/>
      <c r="N295" s="184">
        <v>3</v>
      </c>
      <c r="O295" s="6">
        <v>2.2000000000000002</v>
      </c>
      <c r="P295" s="222"/>
      <c r="Q295" s="222"/>
      <c r="AJ295" s="211" t="s">
        <v>5766</v>
      </c>
      <c r="AP295" s="4"/>
    </row>
    <row r="296" spans="1:42" ht="14.25" customHeight="1">
      <c r="A296" s="125" t="s">
        <v>3010</v>
      </c>
      <c r="B296" s="9">
        <v>13</v>
      </c>
      <c r="C296" s="1" t="s">
        <v>5768</v>
      </c>
      <c r="D296" s="184"/>
      <c r="E296" s="184"/>
      <c r="H296" s="184"/>
      <c r="I296" s="184"/>
      <c r="L296" s="3"/>
      <c r="M296" s="3"/>
      <c r="N296" s="184">
        <v>3</v>
      </c>
      <c r="O296" s="6">
        <v>2.2000000000000002</v>
      </c>
      <c r="P296" s="222"/>
      <c r="Q296" s="222"/>
    </row>
    <row r="297" spans="1:42" ht="14.25" customHeight="1">
      <c r="A297" s="125" t="s">
        <v>3011</v>
      </c>
      <c r="B297" s="9">
        <v>13</v>
      </c>
      <c r="C297" s="1" t="s">
        <v>5769</v>
      </c>
      <c r="D297" s="184"/>
      <c r="E297" s="184"/>
      <c r="H297" s="184"/>
      <c r="I297" s="184"/>
      <c r="L297" s="3"/>
      <c r="M297" s="3"/>
      <c r="N297" s="184">
        <v>3</v>
      </c>
      <c r="O297" s="6">
        <v>2.2000000000000002</v>
      </c>
      <c r="P297" s="222"/>
      <c r="Q297" s="222"/>
    </row>
    <row r="298" spans="1:42" ht="14.25" customHeight="1">
      <c r="A298" s="125" t="s">
        <v>3012</v>
      </c>
      <c r="B298" s="9">
        <v>13</v>
      </c>
      <c r="C298" s="1" t="s">
        <v>5770</v>
      </c>
      <c r="D298" s="184"/>
      <c r="E298" s="184"/>
      <c r="H298" s="184"/>
      <c r="I298" s="184"/>
      <c r="L298" s="3"/>
      <c r="M298" s="3"/>
      <c r="N298" s="184">
        <v>3</v>
      </c>
      <c r="O298" s="6">
        <v>2.2000000000000002</v>
      </c>
      <c r="P298" s="222"/>
      <c r="Q298" s="222"/>
    </row>
    <row r="299" spans="1:42" ht="14.25" customHeight="1">
      <c r="A299" s="125" t="s">
        <v>3013</v>
      </c>
      <c r="B299" s="9">
        <v>13</v>
      </c>
      <c r="C299" s="211" t="s">
        <v>5771</v>
      </c>
      <c r="D299" s="184"/>
      <c r="E299" s="184"/>
      <c r="H299" s="184"/>
      <c r="I299" s="184"/>
      <c r="L299" s="3"/>
      <c r="M299" s="3"/>
      <c r="N299" s="184">
        <v>3</v>
      </c>
      <c r="O299" s="6">
        <v>2.2000000000000002</v>
      </c>
      <c r="P299" s="222"/>
      <c r="Q299" s="222"/>
    </row>
    <row r="300" spans="1:42" ht="14.25" customHeight="1">
      <c r="A300" s="125" t="s">
        <v>3014</v>
      </c>
      <c r="B300" s="9">
        <v>13</v>
      </c>
      <c r="C300" s="1" t="s">
        <v>5772</v>
      </c>
      <c r="D300" s="184"/>
      <c r="E300" s="184"/>
      <c r="H300" s="184"/>
      <c r="I300" s="184"/>
      <c r="L300" s="3"/>
      <c r="M300" s="3"/>
      <c r="N300" s="184">
        <v>3</v>
      </c>
      <c r="O300" s="6">
        <v>2.2000000000000002</v>
      </c>
      <c r="P300" s="222"/>
      <c r="Q300" s="222"/>
      <c r="AJ300" s="211" t="s">
        <v>5771</v>
      </c>
    </row>
    <row r="301" spans="1:42" ht="14.25" customHeight="1">
      <c r="A301" s="125" t="s">
        <v>3015</v>
      </c>
      <c r="B301" s="9">
        <v>13</v>
      </c>
      <c r="C301" s="1" t="s">
        <v>5773</v>
      </c>
      <c r="D301" s="184"/>
      <c r="E301" s="184"/>
      <c r="H301" s="184"/>
      <c r="I301" s="184"/>
      <c r="L301" s="3"/>
      <c r="M301" s="3"/>
      <c r="N301" s="184">
        <v>3</v>
      </c>
      <c r="O301" s="6">
        <v>2.2000000000000002</v>
      </c>
      <c r="P301" s="222"/>
      <c r="Q301" s="222"/>
    </row>
    <row r="302" spans="1:42" ht="14.25" customHeight="1">
      <c r="A302" s="125" t="s">
        <v>3016</v>
      </c>
      <c r="B302" s="9">
        <v>13</v>
      </c>
      <c r="C302" s="1" t="s">
        <v>5774</v>
      </c>
      <c r="D302" s="184"/>
      <c r="E302" s="184"/>
      <c r="H302" s="184"/>
      <c r="I302" s="184"/>
      <c r="L302" s="3"/>
      <c r="M302" s="3"/>
      <c r="N302" s="184">
        <v>3</v>
      </c>
      <c r="O302" s="6">
        <v>2.2000000000000002</v>
      </c>
      <c r="P302" s="222"/>
      <c r="Q302" s="222"/>
    </row>
    <row r="303" spans="1:42" ht="14.25" customHeight="1">
      <c r="A303" s="125" t="s">
        <v>3017</v>
      </c>
      <c r="B303" s="9">
        <v>13</v>
      </c>
      <c r="C303" s="1" t="s">
        <v>5775</v>
      </c>
      <c r="D303" s="184"/>
      <c r="E303" s="184"/>
      <c r="H303" s="184"/>
      <c r="I303" s="184"/>
      <c r="L303" s="3"/>
      <c r="M303" s="3"/>
      <c r="N303" s="184">
        <v>3</v>
      </c>
      <c r="O303" s="6">
        <v>2.2000000000000002</v>
      </c>
      <c r="P303" s="222"/>
      <c r="Q303" s="222"/>
    </row>
    <row r="304" spans="1:42" ht="14.25" customHeight="1">
      <c r="A304" s="125" t="s">
        <v>3018</v>
      </c>
      <c r="B304" s="9">
        <v>13</v>
      </c>
      <c r="C304" s="134" t="s">
        <v>5776</v>
      </c>
      <c r="D304" s="184"/>
      <c r="E304" s="184"/>
      <c r="H304" s="184"/>
      <c r="I304" s="184"/>
      <c r="L304" s="3"/>
      <c r="M304" s="3"/>
      <c r="N304" s="184">
        <v>3</v>
      </c>
      <c r="O304" s="6">
        <v>2.2000000000000002</v>
      </c>
      <c r="P304" s="222"/>
      <c r="Q304" s="222"/>
    </row>
    <row r="305" spans="1:42" ht="14.25" customHeight="1">
      <c r="A305" s="125" t="s">
        <v>3019</v>
      </c>
      <c r="B305" s="9">
        <v>13</v>
      </c>
      <c r="C305" s="1" t="s">
        <v>5777</v>
      </c>
      <c r="D305" s="184"/>
      <c r="E305" s="184"/>
      <c r="H305" s="184"/>
      <c r="I305" s="184"/>
      <c r="L305" s="3"/>
      <c r="M305" s="3"/>
      <c r="N305" s="184">
        <v>3</v>
      </c>
      <c r="O305" s="6">
        <v>2.2000000000000002</v>
      </c>
      <c r="P305" s="222"/>
      <c r="Q305" s="222"/>
    </row>
    <row r="306" spans="1:42" ht="14.25" customHeight="1">
      <c r="A306" s="125" t="s">
        <v>3020</v>
      </c>
      <c r="B306" s="9">
        <v>13</v>
      </c>
      <c r="C306" s="1" t="s">
        <v>5778</v>
      </c>
      <c r="D306" s="184"/>
      <c r="E306" s="184"/>
      <c r="H306" s="184"/>
      <c r="I306" s="184"/>
      <c r="L306" s="3"/>
      <c r="M306" s="3"/>
      <c r="N306" s="184">
        <v>3</v>
      </c>
      <c r="O306" s="6">
        <v>2.2000000000000002</v>
      </c>
      <c r="P306" s="222"/>
      <c r="Q306" s="222"/>
    </row>
    <row r="307" spans="1:42" ht="14.25" customHeight="1">
      <c r="A307" s="125" t="s">
        <v>3021</v>
      </c>
      <c r="B307" s="9">
        <v>13</v>
      </c>
      <c r="C307" s="1" t="s">
        <v>5779</v>
      </c>
      <c r="D307" s="184"/>
      <c r="E307" s="184"/>
      <c r="H307" s="184"/>
      <c r="I307" s="184"/>
      <c r="L307" s="3"/>
      <c r="M307" s="3"/>
      <c r="N307" s="184">
        <v>3</v>
      </c>
      <c r="O307" s="6">
        <v>2.2000000000000002</v>
      </c>
      <c r="P307" s="222"/>
      <c r="Q307" s="222"/>
    </row>
    <row r="308" spans="1:42" ht="14.25" customHeight="1">
      <c r="A308" s="125" t="s">
        <v>3022</v>
      </c>
      <c r="B308" s="9">
        <v>13</v>
      </c>
      <c r="C308" s="1" t="s">
        <v>5780</v>
      </c>
      <c r="D308" s="184"/>
      <c r="E308" s="184"/>
      <c r="H308" s="184"/>
      <c r="I308" s="184"/>
      <c r="L308" s="3"/>
      <c r="M308" s="3"/>
      <c r="N308" s="184">
        <v>3</v>
      </c>
      <c r="O308" s="6">
        <v>2.2000000000000002</v>
      </c>
      <c r="P308" s="222"/>
      <c r="Q308" s="222"/>
    </row>
    <row r="309" spans="1:42" ht="14.25" customHeight="1">
      <c r="A309" s="125" t="s">
        <v>3023</v>
      </c>
      <c r="B309" s="9">
        <v>13</v>
      </c>
      <c r="C309" s="1" t="s">
        <v>5781</v>
      </c>
      <c r="D309" s="184"/>
      <c r="E309" s="184"/>
      <c r="H309" s="184"/>
      <c r="I309" s="184"/>
      <c r="L309" s="3"/>
      <c r="M309" s="3"/>
      <c r="N309" s="184">
        <v>3</v>
      </c>
      <c r="O309" s="6">
        <v>2.2000000000000002</v>
      </c>
      <c r="P309" s="222"/>
      <c r="Q309" s="222"/>
    </row>
    <row r="310" spans="1:42" ht="14.25" customHeight="1">
      <c r="A310" s="125" t="s">
        <v>3024</v>
      </c>
      <c r="B310" s="9">
        <v>13</v>
      </c>
      <c r="C310" s="211" t="s">
        <v>5782</v>
      </c>
      <c r="D310" s="184"/>
      <c r="E310" s="184"/>
      <c r="H310" s="184"/>
      <c r="I310" s="184"/>
      <c r="L310" s="3"/>
      <c r="M310" s="3"/>
      <c r="N310" s="184">
        <v>3</v>
      </c>
      <c r="O310" s="6">
        <v>2.2000000000000002</v>
      </c>
      <c r="P310" s="222"/>
      <c r="Q310" s="222"/>
    </row>
    <row r="311" spans="1:42" ht="14.25" customHeight="1">
      <c r="A311" s="125" t="s">
        <v>3025</v>
      </c>
      <c r="B311" s="9">
        <v>13</v>
      </c>
      <c r="C311" s="1" t="s">
        <v>5783</v>
      </c>
      <c r="D311" s="184"/>
      <c r="E311" s="184"/>
      <c r="H311" s="184"/>
      <c r="I311" s="184"/>
      <c r="L311" s="3"/>
      <c r="M311" s="3"/>
      <c r="N311" s="184">
        <v>3</v>
      </c>
      <c r="O311" s="6">
        <v>2.2000000000000002</v>
      </c>
      <c r="P311" s="222"/>
      <c r="Q311" s="222"/>
      <c r="AJ311" s="211" t="s">
        <v>5782</v>
      </c>
      <c r="AP311" s="4"/>
    </row>
    <row r="312" spans="1:42" ht="14.25" customHeight="1">
      <c r="A312" s="125" t="s">
        <v>3026</v>
      </c>
      <c r="B312" s="9">
        <v>13</v>
      </c>
      <c r="C312" s="1" t="s">
        <v>5784</v>
      </c>
      <c r="D312" s="184"/>
      <c r="E312" s="184"/>
      <c r="H312" s="184"/>
      <c r="I312" s="184"/>
      <c r="L312" s="3"/>
      <c r="M312" s="3"/>
      <c r="N312" s="184">
        <v>3</v>
      </c>
      <c r="O312" s="6">
        <v>2.2000000000000002</v>
      </c>
      <c r="P312" s="222"/>
      <c r="Q312" s="222"/>
    </row>
    <row r="313" spans="1:42" ht="14.25" customHeight="1">
      <c r="A313" s="125" t="s">
        <v>3027</v>
      </c>
      <c r="B313" s="9">
        <v>13</v>
      </c>
      <c r="C313" s="1" t="s">
        <v>5785</v>
      </c>
      <c r="D313" s="184"/>
      <c r="E313" s="184"/>
      <c r="H313" s="184"/>
      <c r="I313" s="184"/>
      <c r="L313" s="3"/>
      <c r="M313" s="3"/>
      <c r="N313" s="184">
        <v>3</v>
      </c>
      <c r="O313" s="6">
        <v>2.2000000000000002</v>
      </c>
      <c r="P313" s="222"/>
      <c r="Q313" s="222"/>
    </row>
    <row r="314" spans="1:42" s="4" customFormat="1" ht="14.25" customHeight="1">
      <c r="A314" s="125" t="s">
        <v>3028</v>
      </c>
      <c r="B314" s="9">
        <v>13</v>
      </c>
      <c r="C314" s="1" t="s">
        <v>5786</v>
      </c>
      <c r="D314" s="184"/>
      <c r="E314" s="184"/>
      <c r="F314" s="188"/>
      <c r="G314" s="188"/>
      <c r="H314" s="184"/>
      <c r="I314" s="184"/>
      <c r="J314" s="188"/>
      <c r="K314" s="188"/>
      <c r="L314" s="3"/>
      <c r="M314" s="3"/>
      <c r="N314" s="184">
        <v>3</v>
      </c>
      <c r="O314" s="6">
        <v>2.2000000000000002</v>
      </c>
      <c r="P314" s="222"/>
      <c r="Q314" s="222"/>
      <c r="R314" s="7"/>
      <c r="S314" s="126"/>
      <c r="T314" s="126"/>
      <c r="U314" s="236"/>
      <c r="V314" s="103"/>
      <c r="W314" s="9"/>
      <c r="X314" s="9"/>
      <c r="Y314" s="9"/>
      <c r="Z314" s="9"/>
      <c r="AA314" s="126"/>
      <c r="AB314" s="9"/>
      <c r="AC314" s="9"/>
      <c r="AD314" s="9"/>
      <c r="AE314" s="9"/>
      <c r="AF314" s="9"/>
      <c r="AG314" s="9"/>
      <c r="AH314" s="9"/>
      <c r="AI314" s="9"/>
      <c r="AJ314" s="7"/>
      <c r="AK314" s="7"/>
      <c r="AL314" s="7"/>
      <c r="AM314" s="7"/>
      <c r="AN314" s="7"/>
      <c r="AO314" s="7"/>
      <c r="AP314" s="7"/>
    </row>
    <row r="315" spans="1:42" ht="14.25" customHeight="1">
      <c r="A315" s="125" t="s">
        <v>3029</v>
      </c>
      <c r="B315" s="9">
        <v>13</v>
      </c>
      <c r="C315" s="1" t="s">
        <v>5787</v>
      </c>
      <c r="D315" s="184"/>
      <c r="E315" s="184"/>
      <c r="H315" s="184"/>
      <c r="I315" s="184"/>
      <c r="L315" s="3"/>
      <c r="M315" s="3"/>
      <c r="N315" s="184">
        <v>3</v>
      </c>
      <c r="O315" s="6">
        <v>2.2000000000000002</v>
      </c>
      <c r="P315" s="222"/>
      <c r="Q315" s="222"/>
    </row>
    <row r="316" spans="1:42" ht="14.25" customHeight="1">
      <c r="A316" s="117" t="s">
        <v>2407</v>
      </c>
      <c r="B316" s="121">
        <f t="shared" ref="B316:B334" si="57">305.7/10</f>
        <v>30.57</v>
      </c>
      <c r="C316" s="211" t="s">
        <v>1238</v>
      </c>
      <c r="N316" s="183">
        <v>10</v>
      </c>
      <c r="O316" s="7">
        <v>0.72</v>
      </c>
      <c r="AP316" s="4"/>
    </row>
    <row r="317" spans="1:42" ht="14.25" customHeight="1">
      <c r="A317" s="117" t="s">
        <v>2408</v>
      </c>
      <c r="B317" s="121">
        <f t="shared" si="57"/>
        <v>30.57</v>
      </c>
      <c r="C317" s="7" t="s">
        <v>1239</v>
      </c>
      <c r="N317" s="183">
        <v>10</v>
      </c>
      <c r="O317" s="7">
        <v>0.72</v>
      </c>
      <c r="AJ317" s="211" t="s">
        <v>1238</v>
      </c>
    </row>
    <row r="318" spans="1:42" ht="14.25" customHeight="1">
      <c r="A318" s="117" t="s">
        <v>2409</v>
      </c>
      <c r="B318" s="121">
        <f t="shared" si="57"/>
        <v>30.57</v>
      </c>
      <c r="C318" s="7" t="s">
        <v>1250</v>
      </c>
      <c r="N318" s="183">
        <v>10</v>
      </c>
      <c r="O318" s="7">
        <v>0.72</v>
      </c>
    </row>
    <row r="319" spans="1:42" ht="14.25" customHeight="1">
      <c r="A319" s="117" t="s">
        <v>2410</v>
      </c>
      <c r="B319" s="121">
        <f t="shared" si="57"/>
        <v>30.57</v>
      </c>
      <c r="C319" s="7" t="s">
        <v>1243</v>
      </c>
      <c r="N319" s="183">
        <v>10</v>
      </c>
      <c r="O319" s="7">
        <v>0.72</v>
      </c>
    </row>
    <row r="320" spans="1:42" s="4" customFormat="1" ht="14.25" customHeight="1">
      <c r="A320" s="117" t="s">
        <v>2411</v>
      </c>
      <c r="B320" s="121">
        <f t="shared" si="57"/>
        <v>30.57</v>
      </c>
      <c r="C320" s="7" t="s">
        <v>1246</v>
      </c>
      <c r="D320" s="183"/>
      <c r="E320" s="183"/>
      <c r="F320" s="188"/>
      <c r="G320" s="188"/>
      <c r="H320" s="183"/>
      <c r="I320" s="183"/>
      <c r="J320" s="188"/>
      <c r="K320" s="188"/>
      <c r="L320" s="9"/>
      <c r="M320" s="9"/>
      <c r="N320" s="183">
        <v>10</v>
      </c>
      <c r="O320" s="7">
        <v>0.72</v>
      </c>
      <c r="P320" s="9"/>
      <c r="Q320" s="9"/>
      <c r="R320" s="7"/>
      <c r="S320" s="126"/>
      <c r="T320" s="126"/>
      <c r="U320" s="236"/>
      <c r="V320" s="103"/>
      <c r="W320" s="9"/>
      <c r="X320" s="9"/>
      <c r="Y320" s="9"/>
      <c r="Z320" s="9"/>
      <c r="AA320" s="126"/>
      <c r="AB320" s="9"/>
      <c r="AC320" s="9"/>
      <c r="AD320" s="9"/>
      <c r="AE320" s="9"/>
      <c r="AF320" s="9"/>
      <c r="AG320" s="9"/>
      <c r="AH320" s="9"/>
      <c r="AI320" s="9"/>
      <c r="AJ320" s="7"/>
      <c r="AK320" s="7"/>
      <c r="AL320" s="7"/>
      <c r="AM320" s="7"/>
      <c r="AN320" s="7"/>
      <c r="AO320" s="7"/>
      <c r="AP320" s="7"/>
    </row>
    <row r="321" spans="1:42" ht="14.25" customHeight="1">
      <c r="A321" s="117" t="s">
        <v>2412</v>
      </c>
      <c r="B321" s="121">
        <f t="shared" si="57"/>
        <v>30.57</v>
      </c>
      <c r="C321" s="7" t="s">
        <v>1248</v>
      </c>
      <c r="N321" s="183">
        <v>5</v>
      </c>
      <c r="O321" s="7">
        <v>0.72</v>
      </c>
    </row>
    <row r="322" spans="1:42" ht="14.25" customHeight="1">
      <c r="A322" s="117" t="s">
        <v>2413</v>
      </c>
      <c r="B322" s="121">
        <f t="shared" si="57"/>
        <v>30.57</v>
      </c>
      <c r="C322" s="7" t="s">
        <v>1245</v>
      </c>
      <c r="N322" s="183">
        <v>10</v>
      </c>
      <c r="O322" s="7">
        <v>0.72</v>
      </c>
    </row>
    <row r="323" spans="1:42" ht="14.25" customHeight="1">
      <c r="A323" s="117" t="s">
        <v>2414</v>
      </c>
      <c r="B323" s="121">
        <f t="shared" si="57"/>
        <v>30.57</v>
      </c>
      <c r="C323" s="211" t="s">
        <v>1252</v>
      </c>
      <c r="N323" s="183">
        <v>10</v>
      </c>
      <c r="O323" s="7">
        <v>0.72</v>
      </c>
      <c r="AP323" s="4"/>
    </row>
    <row r="324" spans="1:42" ht="14.25" customHeight="1">
      <c r="A324" s="117" t="s">
        <v>2415</v>
      </c>
      <c r="B324" s="121">
        <f t="shared" si="57"/>
        <v>30.57</v>
      </c>
      <c r="C324" s="7" t="s">
        <v>1247</v>
      </c>
      <c r="N324" s="183">
        <v>10</v>
      </c>
      <c r="O324" s="7">
        <v>0.72</v>
      </c>
      <c r="AJ324" s="211" t="s">
        <v>1252</v>
      </c>
    </row>
    <row r="325" spans="1:42" ht="14.25" customHeight="1">
      <c r="A325" s="117" t="s">
        <v>2416</v>
      </c>
      <c r="B325" s="121">
        <f t="shared" si="57"/>
        <v>30.57</v>
      </c>
      <c r="C325" s="211" t="s">
        <v>1254</v>
      </c>
      <c r="N325" s="183">
        <v>5</v>
      </c>
      <c r="O325" s="7">
        <v>0.72</v>
      </c>
    </row>
    <row r="326" spans="1:42" ht="14.25" customHeight="1">
      <c r="A326" s="117" t="s">
        <v>2417</v>
      </c>
      <c r="B326" s="121">
        <f t="shared" si="57"/>
        <v>30.57</v>
      </c>
      <c r="C326" s="7" t="s">
        <v>1365</v>
      </c>
      <c r="N326" s="183">
        <v>5</v>
      </c>
      <c r="O326" s="7">
        <v>0.72</v>
      </c>
      <c r="AJ326" s="211" t="s">
        <v>1254</v>
      </c>
    </row>
    <row r="327" spans="1:42" ht="14.25" customHeight="1">
      <c r="A327" s="117" t="s">
        <v>2418</v>
      </c>
      <c r="B327" s="121">
        <f t="shared" si="57"/>
        <v>30.57</v>
      </c>
      <c r="C327" s="7" t="s">
        <v>1249</v>
      </c>
      <c r="N327" s="183">
        <v>3</v>
      </c>
      <c r="O327" s="7">
        <v>0.72</v>
      </c>
    </row>
    <row r="328" spans="1:42" ht="14.25" customHeight="1">
      <c r="A328" s="117" t="s">
        <v>2419</v>
      </c>
      <c r="B328" s="121">
        <f t="shared" si="57"/>
        <v>30.57</v>
      </c>
      <c r="C328" s="7" t="s">
        <v>1253</v>
      </c>
      <c r="N328" s="183">
        <v>3</v>
      </c>
      <c r="O328" s="7">
        <v>0.72</v>
      </c>
    </row>
    <row r="329" spans="1:42" ht="14.25" customHeight="1">
      <c r="A329" s="117" t="s">
        <v>2420</v>
      </c>
      <c r="B329" s="121">
        <f t="shared" si="57"/>
        <v>30.57</v>
      </c>
      <c r="C329" s="7" t="s">
        <v>1242</v>
      </c>
      <c r="N329" s="183">
        <v>3</v>
      </c>
      <c r="O329" s="7">
        <v>0.72</v>
      </c>
    </row>
    <row r="330" spans="1:42" ht="14.25" customHeight="1">
      <c r="A330" s="117" t="s">
        <v>2421</v>
      </c>
      <c r="B330" s="121">
        <f t="shared" si="57"/>
        <v>30.57</v>
      </c>
      <c r="C330" s="7" t="s">
        <v>1251</v>
      </c>
      <c r="N330" s="183">
        <v>3</v>
      </c>
      <c r="O330" s="7">
        <v>0.72</v>
      </c>
    </row>
    <row r="331" spans="1:42" ht="14.25" customHeight="1">
      <c r="A331" s="117" t="s">
        <v>2422</v>
      </c>
      <c r="B331" s="121">
        <f t="shared" si="57"/>
        <v>30.57</v>
      </c>
      <c r="C331" s="7" t="s">
        <v>1244</v>
      </c>
      <c r="N331" s="183">
        <v>5</v>
      </c>
      <c r="O331" s="7">
        <v>0.72</v>
      </c>
    </row>
    <row r="332" spans="1:42" ht="14.25" customHeight="1">
      <c r="A332" s="117" t="s">
        <v>2423</v>
      </c>
      <c r="B332" s="121">
        <f t="shared" si="57"/>
        <v>30.57</v>
      </c>
      <c r="C332" s="7" t="s">
        <v>1240</v>
      </c>
      <c r="N332" s="183">
        <v>5</v>
      </c>
      <c r="O332" s="7">
        <v>0.72</v>
      </c>
    </row>
    <row r="333" spans="1:42" ht="14.25" customHeight="1">
      <c r="A333" s="117" t="s">
        <v>2424</v>
      </c>
      <c r="B333" s="121">
        <f t="shared" si="57"/>
        <v>30.57</v>
      </c>
      <c r="C333" s="7" t="s">
        <v>1241</v>
      </c>
      <c r="N333" s="183">
        <v>5</v>
      </c>
      <c r="O333" s="7">
        <v>0.72</v>
      </c>
    </row>
    <row r="334" spans="1:42" ht="14.25" customHeight="1">
      <c r="A334" s="117" t="s">
        <v>2425</v>
      </c>
      <c r="B334" s="121">
        <f t="shared" si="57"/>
        <v>30.57</v>
      </c>
      <c r="C334" s="196" t="s">
        <v>6044</v>
      </c>
      <c r="N334" s="183">
        <v>5</v>
      </c>
      <c r="O334" s="7">
        <v>0.72</v>
      </c>
    </row>
    <row r="335" spans="1:42" ht="14.25" customHeight="1">
      <c r="A335" s="125" t="s">
        <v>2497</v>
      </c>
      <c r="B335" s="9">
        <v>10</v>
      </c>
      <c r="C335" s="211" t="s">
        <v>1307</v>
      </c>
      <c r="N335" s="183">
        <v>3</v>
      </c>
      <c r="O335" s="7">
        <v>1</v>
      </c>
    </row>
    <row r="336" spans="1:42" s="4" customFormat="1" ht="14.25" customHeight="1">
      <c r="A336" s="125" t="s">
        <v>2498</v>
      </c>
      <c r="B336" s="9">
        <v>10</v>
      </c>
      <c r="C336" s="7" t="s">
        <v>1311</v>
      </c>
      <c r="D336" s="183"/>
      <c r="E336" s="183"/>
      <c r="F336" s="188"/>
      <c r="G336" s="188"/>
      <c r="H336" s="183"/>
      <c r="I336" s="183"/>
      <c r="J336" s="188"/>
      <c r="K336" s="188"/>
      <c r="L336" s="9"/>
      <c r="M336" s="9"/>
      <c r="N336" s="183">
        <v>3</v>
      </c>
      <c r="O336" s="7">
        <v>1.2</v>
      </c>
      <c r="P336" s="9"/>
      <c r="Q336" s="9"/>
      <c r="R336" s="7"/>
      <c r="S336" s="126"/>
      <c r="T336" s="126"/>
      <c r="U336" s="236"/>
      <c r="V336" s="103"/>
      <c r="W336" s="9"/>
      <c r="X336" s="9"/>
      <c r="Y336" s="9"/>
      <c r="Z336" s="9"/>
      <c r="AA336" s="126"/>
      <c r="AB336" s="9"/>
      <c r="AC336" s="9"/>
      <c r="AD336" s="9"/>
      <c r="AE336" s="9"/>
      <c r="AF336" s="9"/>
      <c r="AG336" s="9"/>
      <c r="AH336" s="9"/>
      <c r="AI336" s="9"/>
      <c r="AJ336" s="211" t="s">
        <v>1307</v>
      </c>
      <c r="AK336" s="7"/>
      <c r="AL336" s="7"/>
      <c r="AM336" s="7"/>
      <c r="AN336" s="7"/>
      <c r="AO336" s="7"/>
      <c r="AP336" s="7"/>
    </row>
    <row r="337" spans="1:42" ht="14.25" customHeight="1">
      <c r="A337" s="125" t="s">
        <v>2499</v>
      </c>
      <c r="B337" s="9">
        <v>10</v>
      </c>
      <c r="C337" s="7" t="s">
        <v>1310</v>
      </c>
      <c r="N337" s="183">
        <v>3</v>
      </c>
      <c r="O337" s="7">
        <v>1.2</v>
      </c>
    </row>
    <row r="338" spans="1:42" ht="14.25" customHeight="1">
      <c r="A338" s="125" t="s">
        <v>2500</v>
      </c>
      <c r="B338" s="9">
        <v>10</v>
      </c>
      <c r="C338" s="7" t="s">
        <v>1309</v>
      </c>
      <c r="N338" s="183">
        <v>3</v>
      </c>
      <c r="O338" s="7">
        <v>1.2</v>
      </c>
    </row>
    <row r="339" spans="1:42" ht="14.25" customHeight="1">
      <c r="A339" s="125" t="s">
        <v>2501</v>
      </c>
      <c r="B339" s="9">
        <v>10</v>
      </c>
      <c r="C339" s="7" t="s">
        <v>5788</v>
      </c>
      <c r="N339" s="183">
        <v>3</v>
      </c>
      <c r="O339" s="7">
        <v>1.2</v>
      </c>
    </row>
    <row r="340" spans="1:42" ht="14.25" customHeight="1">
      <c r="A340" s="125" t="s">
        <v>2502</v>
      </c>
      <c r="B340" s="9">
        <v>10</v>
      </c>
      <c r="C340" s="131" t="s">
        <v>3300</v>
      </c>
      <c r="N340" s="183">
        <v>3</v>
      </c>
      <c r="O340" s="7">
        <v>1.2</v>
      </c>
    </row>
    <row r="341" spans="1:42" s="4" customFormat="1" ht="14.25" customHeight="1">
      <c r="A341" s="125" t="s">
        <v>2503</v>
      </c>
      <c r="B341" s="9">
        <v>10</v>
      </c>
      <c r="C341" s="131" t="s">
        <v>3298</v>
      </c>
      <c r="D341" s="183"/>
      <c r="E341" s="183"/>
      <c r="F341" s="188"/>
      <c r="G341" s="188"/>
      <c r="H341" s="183"/>
      <c r="I341" s="183"/>
      <c r="J341" s="188"/>
      <c r="K341" s="188"/>
      <c r="L341" s="9"/>
      <c r="M341" s="9"/>
      <c r="N341" s="183">
        <v>3</v>
      </c>
      <c r="O341" s="7">
        <v>1.2</v>
      </c>
      <c r="P341" s="9"/>
      <c r="Q341" s="9"/>
      <c r="R341" s="7"/>
      <c r="S341" s="126"/>
      <c r="T341" s="126"/>
      <c r="U341" s="236"/>
      <c r="V341" s="103"/>
      <c r="W341" s="9"/>
      <c r="X341" s="9"/>
      <c r="Y341" s="9"/>
      <c r="Z341" s="9"/>
      <c r="AA341" s="126"/>
      <c r="AB341" s="9"/>
      <c r="AC341" s="9"/>
      <c r="AD341" s="9"/>
      <c r="AE341" s="9"/>
      <c r="AF341" s="9"/>
      <c r="AG341" s="9"/>
      <c r="AH341" s="9"/>
      <c r="AI341" s="9"/>
      <c r="AJ341" s="7"/>
      <c r="AK341" s="7"/>
      <c r="AL341" s="7"/>
      <c r="AM341" s="7"/>
      <c r="AN341" s="7"/>
      <c r="AO341" s="7"/>
      <c r="AP341" s="7"/>
    </row>
    <row r="342" spans="1:42" ht="14.25" customHeight="1">
      <c r="A342" s="125" t="s">
        <v>2504</v>
      </c>
      <c r="B342" s="9">
        <v>10</v>
      </c>
      <c r="C342" s="131" t="s">
        <v>3296</v>
      </c>
      <c r="N342" s="183">
        <v>3</v>
      </c>
      <c r="O342" s="7">
        <v>1.2</v>
      </c>
    </row>
    <row r="343" spans="1:42" ht="14.25" customHeight="1">
      <c r="A343" s="125" t="s">
        <v>2505</v>
      </c>
      <c r="B343" s="9">
        <v>22</v>
      </c>
      <c r="C343" s="211" t="s">
        <v>1312</v>
      </c>
      <c r="N343" s="183">
        <v>3</v>
      </c>
      <c r="O343" s="7">
        <v>2</v>
      </c>
    </row>
    <row r="344" spans="1:42" ht="14.25" customHeight="1">
      <c r="A344" s="125" t="s">
        <v>2506</v>
      </c>
      <c r="B344" s="9">
        <v>22</v>
      </c>
      <c r="C344" s="7" t="s">
        <v>1313</v>
      </c>
      <c r="N344" s="183">
        <v>3</v>
      </c>
      <c r="O344" s="7">
        <v>2</v>
      </c>
      <c r="AJ344" s="211" t="s">
        <v>1312</v>
      </c>
      <c r="AP344" s="4"/>
    </row>
    <row r="345" spans="1:42" ht="14.25" customHeight="1">
      <c r="A345" s="125" t="s">
        <v>2507</v>
      </c>
      <c r="B345" s="9">
        <v>22</v>
      </c>
      <c r="C345" s="196" t="s">
        <v>6047</v>
      </c>
      <c r="N345" s="183">
        <v>3</v>
      </c>
      <c r="O345" s="7">
        <v>2</v>
      </c>
    </row>
    <row r="346" spans="1:42" ht="14.25" customHeight="1">
      <c r="A346" s="125" t="s">
        <v>2508</v>
      </c>
      <c r="B346" s="9">
        <v>22</v>
      </c>
      <c r="C346" s="7" t="s">
        <v>1314</v>
      </c>
      <c r="N346" s="183">
        <v>3</v>
      </c>
      <c r="O346" s="7">
        <v>2</v>
      </c>
    </row>
    <row r="347" spans="1:42" ht="14.25" customHeight="1">
      <c r="A347" s="125" t="s">
        <v>2509</v>
      </c>
      <c r="B347" s="9">
        <v>22</v>
      </c>
      <c r="C347" s="7" t="s">
        <v>5789</v>
      </c>
      <c r="N347" s="183">
        <v>3</v>
      </c>
      <c r="O347" s="7">
        <v>2</v>
      </c>
    </row>
    <row r="348" spans="1:42" s="4" customFormat="1" ht="14.25" customHeight="1">
      <c r="A348" s="125" t="s">
        <v>2510</v>
      </c>
      <c r="B348" s="9">
        <v>22</v>
      </c>
      <c r="C348" s="131" t="s">
        <v>3297</v>
      </c>
      <c r="D348" s="183"/>
      <c r="E348" s="183"/>
      <c r="F348" s="188"/>
      <c r="G348" s="188"/>
      <c r="H348" s="183"/>
      <c r="I348" s="183"/>
      <c r="J348" s="188"/>
      <c r="K348" s="188"/>
      <c r="L348" s="9"/>
      <c r="M348" s="9"/>
      <c r="N348" s="183">
        <v>3</v>
      </c>
      <c r="O348" s="7">
        <v>2</v>
      </c>
      <c r="P348" s="9"/>
      <c r="Q348" s="9"/>
      <c r="R348" s="7"/>
      <c r="S348" s="126"/>
      <c r="T348" s="126"/>
      <c r="U348" s="236"/>
      <c r="V348" s="103"/>
      <c r="W348" s="9"/>
      <c r="X348" s="9"/>
      <c r="Y348" s="9"/>
      <c r="Z348" s="9"/>
      <c r="AA348" s="126"/>
      <c r="AB348" s="9"/>
      <c r="AC348" s="9"/>
      <c r="AD348" s="9"/>
      <c r="AE348" s="9"/>
      <c r="AF348" s="9"/>
      <c r="AG348" s="9"/>
      <c r="AH348" s="9"/>
      <c r="AI348" s="9"/>
      <c r="AJ348" s="7"/>
      <c r="AK348" s="7"/>
      <c r="AL348" s="7"/>
      <c r="AM348" s="7"/>
      <c r="AN348" s="7"/>
      <c r="AO348" s="7"/>
      <c r="AP348" s="7"/>
    </row>
    <row r="349" spans="1:42" ht="14.25" customHeight="1">
      <c r="A349" s="125" t="s">
        <v>2511</v>
      </c>
      <c r="B349" s="9">
        <v>22</v>
      </c>
      <c r="C349" s="131" t="s">
        <v>3299</v>
      </c>
      <c r="N349" s="183">
        <v>3</v>
      </c>
      <c r="O349" s="7">
        <v>2</v>
      </c>
    </row>
    <row r="350" spans="1:42" ht="14.25" customHeight="1">
      <c r="A350" s="125" t="s">
        <v>2547</v>
      </c>
      <c r="B350" s="121">
        <f>11.6/3</f>
        <v>3.8666666666666667</v>
      </c>
      <c r="C350" s="211" t="s">
        <v>1534</v>
      </c>
      <c r="N350" s="183">
        <v>3</v>
      </c>
      <c r="O350" s="7">
        <v>0.15</v>
      </c>
    </row>
    <row r="351" spans="1:42" ht="14.25" customHeight="1">
      <c r="A351" s="125" t="s">
        <v>2548</v>
      </c>
      <c r="B351" s="121">
        <f>34.4/3</f>
        <v>11.466666666666667</v>
      </c>
      <c r="C351" s="7" t="s">
        <v>1535</v>
      </c>
      <c r="N351" s="183">
        <v>3</v>
      </c>
      <c r="O351" s="7">
        <v>0.45</v>
      </c>
      <c r="AJ351" s="211" t="s">
        <v>1534</v>
      </c>
    </row>
    <row r="352" spans="1:42" ht="14.25" customHeight="1">
      <c r="A352" s="125" t="s">
        <v>2549</v>
      </c>
      <c r="B352" s="121">
        <f>99.7/3</f>
        <v>33.233333333333334</v>
      </c>
      <c r="C352" s="7" t="s">
        <v>1536</v>
      </c>
      <c r="N352" s="183">
        <v>3</v>
      </c>
      <c r="O352" s="7">
        <v>0.9</v>
      </c>
    </row>
    <row r="353" spans="1:42" ht="14.25" customHeight="1">
      <c r="A353" s="125" t="s">
        <v>2550</v>
      </c>
      <c r="B353" s="121">
        <f>162.1/3</f>
        <v>54.033333333333331</v>
      </c>
      <c r="C353" s="7" t="s">
        <v>1537</v>
      </c>
      <c r="N353" s="183">
        <v>3</v>
      </c>
      <c r="O353" s="7">
        <v>1.5</v>
      </c>
    </row>
    <row r="354" spans="1:42" ht="14.25" customHeight="1">
      <c r="A354" s="125" t="s">
        <v>2551</v>
      </c>
      <c r="B354" s="121">
        <f>201.8/3</f>
        <v>67.266666666666666</v>
      </c>
      <c r="C354" s="7" t="s">
        <v>1538</v>
      </c>
      <c r="N354" s="183">
        <v>3</v>
      </c>
      <c r="O354" s="7">
        <v>1.88</v>
      </c>
      <c r="AP354" s="4"/>
    </row>
    <row r="355" spans="1:42" ht="14.25" customHeight="1">
      <c r="A355" s="125" t="s">
        <v>2552</v>
      </c>
      <c r="B355" s="121">
        <f>322/3</f>
        <v>107.33333333333333</v>
      </c>
      <c r="C355" s="7" t="s">
        <v>1539</v>
      </c>
      <c r="N355" s="183">
        <v>3</v>
      </c>
      <c r="O355" s="7">
        <v>3</v>
      </c>
    </row>
    <row r="356" spans="1:42" ht="14.25" customHeight="1">
      <c r="A356" s="125" t="s">
        <v>2553</v>
      </c>
      <c r="B356" s="121">
        <f>405.5/3</f>
        <v>135.16666666666666</v>
      </c>
      <c r="C356" s="7" t="s">
        <v>1533</v>
      </c>
      <c r="N356" s="183">
        <v>3</v>
      </c>
      <c r="O356" s="7">
        <v>3.75</v>
      </c>
    </row>
    <row r="357" spans="1:42" ht="14.25" customHeight="1">
      <c r="A357" s="125" t="s">
        <v>2554</v>
      </c>
      <c r="B357" s="121">
        <f>19.4/3</f>
        <v>6.4666666666666659</v>
      </c>
      <c r="C357" s="211" t="s">
        <v>1340</v>
      </c>
      <c r="N357" s="183">
        <v>3</v>
      </c>
      <c r="O357" s="7">
        <v>0.21</v>
      </c>
    </row>
    <row r="358" spans="1:42" ht="14.25" customHeight="1">
      <c r="A358" s="125" t="s">
        <v>2555</v>
      </c>
      <c r="B358" s="121">
        <f>62/3</f>
        <v>20.666666666666668</v>
      </c>
      <c r="C358" s="7" t="s">
        <v>1341</v>
      </c>
      <c r="N358" s="183">
        <v>3</v>
      </c>
      <c r="O358" s="7">
        <v>0.56999999999999995</v>
      </c>
      <c r="AJ358" s="211" t="s">
        <v>1340</v>
      </c>
    </row>
    <row r="359" spans="1:42" ht="14.25" customHeight="1">
      <c r="A359" s="125" t="s">
        <v>2556</v>
      </c>
      <c r="B359" s="121">
        <f>123.1/3</f>
        <v>41.033333333333331</v>
      </c>
      <c r="C359" s="7" t="s">
        <v>1342</v>
      </c>
      <c r="N359" s="183">
        <v>3</v>
      </c>
      <c r="O359" s="7">
        <v>1.1200000000000001</v>
      </c>
    </row>
    <row r="360" spans="1:42" ht="14.25" customHeight="1">
      <c r="A360" s="125" t="s">
        <v>2557</v>
      </c>
      <c r="B360" s="121">
        <f>205.4/3</f>
        <v>68.466666666666669</v>
      </c>
      <c r="C360" s="7" t="s">
        <v>1343</v>
      </c>
      <c r="N360" s="183">
        <v>3</v>
      </c>
      <c r="O360" s="7">
        <v>1.84</v>
      </c>
    </row>
    <row r="361" spans="1:42" ht="14.25" customHeight="1">
      <c r="A361" s="125" t="s">
        <v>2558</v>
      </c>
      <c r="B361" s="121">
        <f>323.4/3</f>
        <v>107.8</v>
      </c>
      <c r="C361" s="7" t="s">
        <v>1344</v>
      </c>
      <c r="N361" s="183">
        <v>3</v>
      </c>
      <c r="O361" s="7">
        <v>2.29</v>
      </c>
    </row>
    <row r="362" spans="1:42" ht="14.25" customHeight="1">
      <c r="A362" s="125" t="s">
        <v>2559</v>
      </c>
      <c r="B362" s="9">
        <v>49.6</v>
      </c>
      <c r="C362" s="211" t="s">
        <v>1540</v>
      </c>
      <c r="N362" s="183">
        <v>5</v>
      </c>
      <c r="O362" s="7">
        <v>2</v>
      </c>
    </row>
    <row r="363" spans="1:42" ht="14.25" customHeight="1">
      <c r="A363" s="125" t="s">
        <v>2560</v>
      </c>
      <c r="B363" s="9">
        <v>114.9</v>
      </c>
      <c r="C363" s="7" t="s">
        <v>1541</v>
      </c>
      <c r="N363" s="183">
        <v>3</v>
      </c>
      <c r="O363" s="7">
        <v>3.7</v>
      </c>
      <c r="AJ363" s="211" t="s">
        <v>1540</v>
      </c>
    </row>
    <row r="364" spans="1:42" ht="14.25" customHeight="1">
      <c r="A364" s="125" t="s">
        <v>2561</v>
      </c>
      <c r="B364" s="9">
        <v>86.2</v>
      </c>
      <c r="C364" s="7" t="s">
        <v>1542</v>
      </c>
      <c r="N364" s="183">
        <v>3</v>
      </c>
      <c r="O364" s="7">
        <v>2.5</v>
      </c>
    </row>
    <row r="365" spans="1:42" ht="14.25" customHeight="1">
      <c r="A365" s="125" t="s">
        <v>2562</v>
      </c>
      <c r="B365" s="9">
        <v>121.4</v>
      </c>
      <c r="C365" s="7" t="s">
        <v>1543</v>
      </c>
      <c r="N365" s="183">
        <v>3</v>
      </c>
      <c r="O365" s="7">
        <v>3.7</v>
      </c>
    </row>
    <row r="366" spans="1:42" ht="14.25" customHeight="1">
      <c r="A366" s="125" t="s">
        <v>2563</v>
      </c>
      <c r="B366" s="9">
        <v>169.4</v>
      </c>
      <c r="C366" s="211" t="s">
        <v>1544</v>
      </c>
      <c r="N366" s="183">
        <v>3</v>
      </c>
      <c r="O366" s="7">
        <v>3.18</v>
      </c>
    </row>
    <row r="367" spans="1:42" ht="14.25" customHeight="1">
      <c r="A367" s="125" t="s">
        <v>2564</v>
      </c>
      <c r="B367" s="9">
        <v>169.4</v>
      </c>
      <c r="C367" s="7" t="s">
        <v>1545</v>
      </c>
      <c r="N367" s="183">
        <v>3</v>
      </c>
      <c r="O367" s="7">
        <v>3.18</v>
      </c>
      <c r="AJ367" s="211" t="s">
        <v>1544</v>
      </c>
      <c r="AP367" s="4"/>
    </row>
    <row r="368" spans="1:42" ht="14.25" customHeight="1">
      <c r="A368" s="125" t="s">
        <v>2565</v>
      </c>
      <c r="B368" s="9">
        <v>162.19999999999999</v>
      </c>
      <c r="C368" s="7" t="s">
        <v>1546</v>
      </c>
      <c r="N368" s="183">
        <v>3</v>
      </c>
      <c r="O368" s="7">
        <v>3.18</v>
      </c>
    </row>
    <row r="369" spans="1:42" s="4" customFormat="1" ht="14.25" customHeight="1">
      <c r="A369" s="125" t="s">
        <v>2566</v>
      </c>
      <c r="B369" s="9">
        <v>70</v>
      </c>
      <c r="C369" s="211" t="s">
        <v>1381</v>
      </c>
      <c r="D369" s="183"/>
      <c r="E369" s="183"/>
      <c r="F369" s="188"/>
      <c r="G369" s="188"/>
      <c r="H369" s="183"/>
      <c r="I369" s="183"/>
      <c r="J369" s="188"/>
      <c r="K369" s="188"/>
      <c r="L369" s="9"/>
      <c r="M369" s="9"/>
      <c r="N369" s="183">
        <v>5</v>
      </c>
      <c r="O369" s="7">
        <v>0.57999999999999996</v>
      </c>
      <c r="P369" s="9"/>
      <c r="Q369" s="9"/>
      <c r="R369" s="7"/>
      <c r="S369" s="126"/>
      <c r="T369" s="126"/>
      <c r="U369" s="236"/>
      <c r="V369" s="103"/>
      <c r="W369" s="9"/>
      <c r="X369" s="9"/>
      <c r="Y369" s="9"/>
      <c r="Z369" s="9"/>
      <c r="AA369" s="126"/>
      <c r="AB369" s="9"/>
      <c r="AC369" s="9"/>
      <c r="AD369" s="9"/>
      <c r="AE369" s="9"/>
      <c r="AF369" s="9"/>
      <c r="AG369" s="9"/>
      <c r="AH369" s="9"/>
      <c r="AI369" s="9"/>
      <c r="AJ369" s="7"/>
      <c r="AK369" s="7"/>
      <c r="AL369" s="7"/>
      <c r="AM369" s="7"/>
      <c r="AN369" s="7"/>
      <c r="AO369" s="7"/>
      <c r="AP369" s="7"/>
    </row>
    <row r="370" spans="1:42" ht="14.25" customHeight="1">
      <c r="A370" s="125" t="s">
        <v>2567</v>
      </c>
      <c r="B370" s="9">
        <v>70</v>
      </c>
      <c r="C370" s="7" t="s">
        <v>1382</v>
      </c>
      <c r="N370" s="183">
        <v>5</v>
      </c>
      <c r="O370" s="7">
        <v>0.57999999999999996</v>
      </c>
      <c r="AJ370" s="211" t="s">
        <v>1381</v>
      </c>
    </row>
    <row r="371" spans="1:42" ht="14.25" customHeight="1">
      <c r="A371" s="125" t="s">
        <v>2568</v>
      </c>
      <c r="B371" s="9">
        <v>70</v>
      </c>
      <c r="C371" s="7" t="s">
        <v>1383</v>
      </c>
      <c r="N371" s="183">
        <v>5</v>
      </c>
      <c r="O371" s="7">
        <v>0.57999999999999996</v>
      </c>
    </row>
    <row r="372" spans="1:42" ht="14.25" customHeight="1">
      <c r="A372" s="125" t="s">
        <v>2569</v>
      </c>
      <c r="B372" s="9">
        <v>8.6999999999999993</v>
      </c>
      <c r="C372" s="7" t="s">
        <v>1547</v>
      </c>
      <c r="N372" s="183">
        <v>10</v>
      </c>
      <c r="O372" s="7">
        <v>0.5</v>
      </c>
      <c r="AP372" s="4"/>
    </row>
    <row r="373" spans="1:42" ht="14.25" customHeight="1">
      <c r="A373" s="116" t="s">
        <v>3001</v>
      </c>
      <c r="B373" s="9">
        <v>6.7</v>
      </c>
      <c r="C373" s="211" t="s">
        <v>1892</v>
      </c>
      <c r="D373" s="184"/>
      <c r="E373" s="184"/>
      <c r="H373" s="184"/>
      <c r="I373" s="184"/>
      <c r="L373" s="3"/>
      <c r="M373" s="3"/>
      <c r="N373" s="184">
        <f>3*8</f>
        <v>24</v>
      </c>
      <c r="O373" s="6">
        <f>4.5/8</f>
        <v>0.5625</v>
      </c>
      <c r="P373" s="222"/>
      <c r="Q373" s="222"/>
    </row>
    <row r="374" spans="1:42" ht="14.25" customHeight="1">
      <c r="A374" s="116" t="s">
        <v>3002</v>
      </c>
      <c r="B374" s="9">
        <v>6.8</v>
      </c>
      <c r="C374" s="1" t="s">
        <v>1893</v>
      </c>
      <c r="D374" s="184"/>
      <c r="E374" s="184"/>
      <c r="H374" s="184"/>
      <c r="I374" s="184"/>
      <c r="L374" s="3"/>
      <c r="M374" s="3"/>
      <c r="N374" s="184">
        <f>3*8</f>
        <v>24</v>
      </c>
      <c r="O374" s="6">
        <f>4.5/8</f>
        <v>0.5625</v>
      </c>
      <c r="P374" s="222"/>
      <c r="Q374" s="222"/>
      <c r="AJ374" s="211" t="s">
        <v>1892</v>
      </c>
    </row>
    <row r="375" spans="1:42" ht="14.25" customHeight="1">
      <c r="A375" s="116" t="s">
        <v>3003</v>
      </c>
      <c r="B375" s="9">
        <v>11.8</v>
      </c>
      <c r="C375" s="1" t="s">
        <v>1894</v>
      </c>
      <c r="D375" s="184"/>
      <c r="E375" s="184"/>
      <c r="H375" s="184"/>
      <c r="I375" s="184"/>
      <c r="L375" s="3"/>
      <c r="M375" s="3"/>
      <c r="N375" s="184">
        <f>3*8</f>
        <v>24</v>
      </c>
      <c r="O375" s="6">
        <f>8/8</f>
        <v>1</v>
      </c>
      <c r="P375" s="222"/>
      <c r="Q375" s="222"/>
    </row>
    <row r="376" spans="1:42" ht="14.25" customHeight="1">
      <c r="A376" s="116" t="s">
        <v>3004</v>
      </c>
      <c r="B376" s="9">
        <v>11.2</v>
      </c>
      <c r="C376" s="1" t="s">
        <v>1895</v>
      </c>
      <c r="D376" s="184"/>
      <c r="E376" s="184"/>
      <c r="H376" s="184"/>
      <c r="I376" s="184"/>
      <c r="L376" s="3"/>
      <c r="M376" s="3"/>
      <c r="N376" s="184">
        <f>3*8</f>
        <v>24</v>
      </c>
      <c r="O376" s="6">
        <f>8/8</f>
        <v>1</v>
      </c>
      <c r="P376" s="222"/>
      <c r="Q376" s="222"/>
    </row>
    <row r="377" spans="1:42" ht="14.25" customHeight="1">
      <c r="A377" s="116" t="s">
        <v>3131</v>
      </c>
      <c r="B377" s="9">
        <v>13.3</v>
      </c>
      <c r="C377" s="211" t="s">
        <v>3132</v>
      </c>
      <c r="D377" s="184"/>
      <c r="E377" s="184"/>
      <c r="H377" s="184"/>
      <c r="I377" s="184"/>
      <c r="L377" s="3"/>
      <c r="M377" s="3"/>
      <c r="N377" s="184">
        <v>4</v>
      </c>
      <c r="O377" s="6">
        <v>0</v>
      </c>
      <c r="P377" s="222"/>
      <c r="Q377" s="222"/>
    </row>
    <row r="378" spans="1:42" s="4" customFormat="1" ht="14.25" customHeight="1">
      <c r="A378" s="116" t="s">
        <v>2652</v>
      </c>
      <c r="B378" s="121">
        <f>503/25</f>
        <v>20.12</v>
      </c>
      <c r="C378" s="211" t="s">
        <v>5980</v>
      </c>
      <c r="D378" s="183"/>
      <c r="E378" s="183"/>
      <c r="F378" s="188"/>
      <c r="G378" s="188"/>
      <c r="H378" s="183"/>
      <c r="I378" s="183"/>
      <c r="J378" s="188"/>
      <c r="K378" s="188"/>
      <c r="L378" s="9"/>
      <c r="M378" s="9"/>
      <c r="N378" s="183">
        <v>25</v>
      </c>
      <c r="O378" s="56">
        <f>0.29*2</f>
        <v>0.57999999999999996</v>
      </c>
      <c r="P378" s="107"/>
      <c r="Q378" s="107"/>
      <c r="R378" s="7"/>
      <c r="S378" s="126"/>
      <c r="T378" s="126"/>
      <c r="U378" s="236"/>
      <c r="V378" s="103"/>
      <c r="W378" s="9"/>
      <c r="X378" s="9"/>
      <c r="Y378" s="9"/>
      <c r="Z378" s="9"/>
      <c r="AA378" s="126"/>
      <c r="AB378" s="9"/>
      <c r="AC378" s="9"/>
      <c r="AD378" s="9"/>
      <c r="AE378" s="9"/>
      <c r="AF378" s="9"/>
      <c r="AG378" s="9"/>
      <c r="AH378" s="9"/>
      <c r="AI378" s="9"/>
      <c r="AJ378" s="211" t="s">
        <v>3132</v>
      </c>
      <c r="AK378" s="7"/>
      <c r="AL378" s="7"/>
      <c r="AM378" s="7"/>
      <c r="AN378" s="7"/>
      <c r="AO378" s="7"/>
      <c r="AP378" s="7"/>
    </row>
    <row r="379" spans="1:42" ht="14.25" customHeight="1">
      <c r="A379" s="116" t="s">
        <v>2653</v>
      </c>
      <c r="B379" s="121">
        <f>593/25</f>
        <v>23.72</v>
      </c>
      <c r="C379" s="7" t="s">
        <v>5981</v>
      </c>
      <c r="N379" s="183">
        <v>25</v>
      </c>
      <c r="O379" s="56">
        <f>0.36*2</f>
        <v>0.72</v>
      </c>
      <c r="P379" s="107"/>
      <c r="Q379" s="107"/>
      <c r="AJ379" s="211" t="s">
        <v>5980</v>
      </c>
    </row>
    <row r="380" spans="1:42" ht="14.25" customHeight="1">
      <c r="A380" s="116" t="s">
        <v>2654</v>
      </c>
      <c r="B380" s="121">
        <f>732/25</f>
        <v>29.28</v>
      </c>
      <c r="C380" s="7" t="s">
        <v>5982</v>
      </c>
      <c r="N380" s="183">
        <v>25</v>
      </c>
      <c r="O380" s="56">
        <f>0.45*2</f>
        <v>0.9</v>
      </c>
      <c r="P380" s="107"/>
      <c r="Q380" s="107"/>
    </row>
    <row r="381" spans="1:42" ht="14.25" customHeight="1">
      <c r="A381" s="116" t="s">
        <v>2655</v>
      </c>
      <c r="B381" s="121">
        <f>503/25</f>
        <v>20.12</v>
      </c>
      <c r="C381" s="7" t="s">
        <v>5983</v>
      </c>
      <c r="N381" s="183">
        <v>25</v>
      </c>
      <c r="O381" s="56">
        <f>0.29*2</f>
        <v>0.57999999999999996</v>
      </c>
      <c r="P381" s="107"/>
      <c r="Q381" s="107"/>
    </row>
    <row r="382" spans="1:42" ht="14.25" customHeight="1">
      <c r="A382" s="116" t="s">
        <v>2656</v>
      </c>
      <c r="B382" s="121">
        <f>593/25</f>
        <v>23.72</v>
      </c>
      <c r="C382" s="7" t="s">
        <v>5984</v>
      </c>
      <c r="N382" s="183">
        <v>25</v>
      </c>
      <c r="O382" s="56">
        <f>0.36*2</f>
        <v>0.72</v>
      </c>
      <c r="P382" s="107"/>
      <c r="Q382" s="107"/>
    </row>
    <row r="383" spans="1:42" ht="14.25" customHeight="1">
      <c r="A383" s="116" t="s">
        <v>2657</v>
      </c>
      <c r="B383" s="121">
        <f>732/25</f>
        <v>29.28</v>
      </c>
      <c r="C383" s="7" t="s">
        <v>5985</v>
      </c>
      <c r="N383" s="183">
        <v>25</v>
      </c>
      <c r="O383" s="56">
        <f>0.45*2</f>
        <v>0.9</v>
      </c>
      <c r="P383" s="107"/>
      <c r="Q383" s="107"/>
    </row>
    <row r="384" spans="1:42" ht="14.25" customHeight="1">
      <c r="A384" s="116" t="s">
        <v>2673</v>
      </c>
      <c r="B384" s="121">
        <f>9/30</f>
        <v>0.3</v>
      </c>
      <c r="C384" s="211" t="s">
        <v>5996</v>
      </c>
      <c r="N384" s="183">
        <v>3</v>
      </c>
      <c r="O384" s="56">
        <v>0.98</v>
      </c>
      <c r="P384" s="107"/>
      <c r="Q384" s="107"/>
    </row>
    <row r="385" spans="1:42" ht="14.25" customHeight="1">
      <c r="A385" s="116" t="s">
        <v>2674</v>
      </c>
      <c r="B385" s="121">
        <f>9/30</f>
        <v>0.3</v>
      </c>
      <c r="C385" s="7" t="s">
        <v>5986</v>
      </c>
      <c r="N385" s="183">
        <v>3</v>
      </c>
      <c r="O385" s="56">
        <v>0.98</v>
      </c>
      <c r="P385" s="107"/>
      <c r="Q385" s="107"/>
      <c r="AJ385" s="211" t="s">
        <v>5996</v>
      </c>
    </row>
    <row r="386" spans="1:42" ht="14.25" customHeight="1">
      <c r="A386" s="116" t="s">
        <v>2675</v>
      </c>
      <c r="B386" s="121">
        <f>10.9/20</f>
        <v>0.54500000000000004</v>
      </c>
      <c r="C386" s="7" t="s">
        <v>5987</v>
      </c>
      <c r="N386" s="183">
        <v>3</v>
      </c>
      <c r="O386" s="56">
        <v>1.08</v>
      </c>
      <c r="P386" s="107"/>
      <c r="Q386" s="107"/>
    </row>
    <row r="387" spans="1:42" ht="14.25" customHeight="1">
      <c r="A387" s="116" t="s">
        <v>2676</v>
      </c>
      <c r="B387" s="121">
        <f>10.9/9</f>
        <v>1.2111111111111112</v>
      </c>
      <c r="C387" s="7" t="s">
        <v>5988</v>
      </c>
      <c r="N387" s="183">
        <v>3</v>
      </c>
      <c r="O387" s="56">
        <v>1.08</v>
      </c>
      <c r="P387" s="107"/>
      <c r="Q387" s="107"/>
    </row>
    <row r="388" spans="1:42" ht="14.25" customHeight="1">
      <c r="A388" s="116" t="s">
        <v>2677</v>
      </c>
      <c r="B388" s="121">
        <f>12.6/4</f>
        <v>3.15</v>
      </c>
      <c r="C388" s="7" t="s">
        <v>5989</v>
      </c>
      <c r="N388" s="183">
        <v>3</v>
      </c>
      <c r="O388" s="56">
        <v>0.98</v>
      </c>
      <c r="P388" s="107"/>
      <c r="Q388" s="107"/>
    </row>
    <row r="389" spans="1:42" ht="14.25" customHeight="1">
      <c r="A389" s="116" t="s">
        <v>2678</v>
      </c>
      <c r="B389" s="121">
        <f>10.9/20</f>
        <v>0.54500000000000004</v>
      </c>
      <c r="C389" s="7" t="s">
        <v>5995</v>
      </c>
      <c r="N389" s="183">
        <v>3</v>
      </c>
      <c r="O389" s="56">
        <v>0.98</v>
      </c>
      <c r="P389" s="107"/>
      <c r="Q389" s="107"/>
    </row>
    <row r="390" spans="1:42" ht="14.25" customHeight="1">
      <c r="A390" s="116" t="s">
        <v>2679</v>
      </c>
      <c r="B390" s="121">
        <f>10.9/9</f>
        <v>1.2111111111111112</v>
      </c>
      <c r="C390" s="7" t="s">
        <v>5990</v>
      </c>
      <c r="N390" s="183">
        <v>3</v>
      </c>
      <c r="O390" s="56">
        <v>0.98</v>
      </c>
      <c r="P390" s="107"/>
      <c r="Q390" s="107"/>
    </row>
    <row r="391" spans="1:42" s="4" customFormat="1" ht="14.25" customHeight="1">
      <c r="A391" s="116" t="s">
        <v>2680</v>
      </c>
      <c r="B391" s="121">
        <f>12.6/4</f>
        <v>3.15</v>
      </c>
      <c r="C391" s="7" t="s">
        <v>5991</v>
      </c>
      <c r="D391" s="183"/>
      <c r="E391" s="183"/>
      <c r="F391" s="188"/>
      <c r="G391" s="188"/>
      <c r="H391" s="183"/>
      <c r="I391" s="183"/>
      <c r="J391" s="188"/>
      <c r="K391" s="188"/>
      <c r="L391" s="9"/>
      <c r="M391" s="9"/>
      <c r="N391" s="183">
        <v>3</v>
      </c>
      <c r="O391" s="56">
        <v>0.98</v>
      </c>
      <c r="P391" s="107"/>
      <c r="Q391" s="107"/>
      <c r="R391" s="7"/>
      <c r="S391" s="126"/>
      <c r="T391" s="126"/>
      <c r="U391" s="236"/>
      <c r="V391" s="103"/>
      <c r="W391" s="9"/>
      <c r="X391" s="9"/>
      <c r="Y391" s="9"/>
      <c r="Z391" s="9"/>
      <c r="AA391" s="126"/>
      <c r="AB391" s="9"/>
      <c r="AC391" s="9"/>
      <c r="AD391" s="9"/>
      <c r="AE391" s="9"/>
      <c r="AF391" s="9"/>
      <c r="AG391" s="9"/>
      <c r="AH391" s="9"/>
      <c r="AI391" s="9"/>
      <c r="AJ391" s="7"/>
      <c r="AK391" s="7"/>
      <c r="AL391" s="7"/>
      <c r="AM391" s="7"/>
      <c r="AN391" s="7"/>
      <c r="AO391" s="7"/>
      <c r="AP391" s="7"/>
    </row>
    <row r="392" spans="1:42" ht="14.25" customHeight="1">
      <c r="A392" s="116" t="s">
        <v>2681</v>
      </c>
      <c r="B392" s="121">
        <f>214/25</f>
        <v>8.56</v>
      </c>
      <c r="C392" s="211" t="s">
        <v>5992</v>
      </c>
      <c r="N392" s="183">
        <v>25</v>
      </c>
      <c r="O392" s="7">
        <f>0.14*2</f>
        <v>0.28000000000000003</v>
      </c>
    </row>
    <row r="393" spans="1:42" ht="14.25" customHeight="1">
      <c r="A393" s="116" t="s">
        <v>2682</v>
      </c>
      <c r="B393" s="121">
        <f>136.2+145</f>
        <v>281.2</v>
      </c>
      <c r="C393" s="7" t="s">
        <v>5993</v>
      </c>
      <c r="N393" s="183">
        <v>25</v>
      </c>
      <c r="O393" s="7">
        <f>0.16*2</f>
        <v>0.32</v>
      </c>
      <c r="AJ393" s="211" t="s">
        <v>5992</v>
      </c>
    </row>
    <row r="394" spans="1:42" ht="14.25" customHeight="1">
      <c r="A394" s="116" t="s">
        <v>2683</v>
      </c>
      <c r="B394" s="9">
        <f>185+157</f>
        <v>342</v>
      </c>
      <c r="C394" s="7" t="s">
        <v>5994</v>
      </c>
      <c r="N394" s="183">
        <v>25</v>
      </c>
      <c r="O394" s="7">
        <f>0.2*2</f>
        <v>0.4</v>
      </c>
    </row>
    <row r="395" spans="1:42" ht="14.25" customHeight="1">
      <c r="A395" s="116" t="s">
        <v>2658</v>
      </c>
      <c r="B395" s="9">
        <v>10</v>
      </c>
      <c r="C395" s="211" t="s">
        <v>1582</v>
      </c>
      <c r="N395" s="183">
        <v>3</v>
      </c>
      <c r="O395" s="7">
        <f>5.58/5</f>
        <v>1.1160000000000001</v>
      </c>
    </row>
    <row r="396" spans="1:42" s="4" customFormat="1" ht="14.25" customHeight="1">
      <c r="A396" s="116" t="s">
        <v>2659</v>
      </c>
      <c r="B396" s="9">
        <v>10</v>
      </c>
      <c r="C396" s="7" t="s">
        <v>1573</v>
      </c>
      <c r="D396" s="183"/>
      <c r="E396" s="183"/>
      <c r="F396" s="188"/>
      <c r="G396" s="188"/>
      <c r="H396" s="183"/>
      <c r="I396" s="183"/>
      <c r="J396" s="188"/>
      <c r="K396" s="188"/>
      <c r="L396" s="9"/>
      <c r="M396" s="9"/>
      <c r="N396" s="183">
        <v>3</v>
      </c>
      <c r="O396" s="7">
        <f>5.58/5</f>
        <v>1.1160000000000001</v>
      </c>
      <c r="P396" s="9"/>
      <c r="Q396" s="9"/>
      <c r="R396" s="7"/>
      <c r="S396" s="126"/>
      <c r="T396" s="126"/>
      <c r="U396" s="236"/>
      <c r="V396" s="103"/>
      <c r="W396" s="9"/>
      <c r="X396" s="9"/>
      <c r="Y396" s="9"/>
      <c r="Z396" s="9"/>
      <c r="AA396" s="126"/>
      <c r="AB396" s="9"/>
      <c r="AC396" s="9"/>
      <c r="AD396" s="9"/>
      <c r="AE396" s="9"/>
      <c r="AF396" s="9"/>
      <c r="AG396" s="9"/>
      <c r="AH396" s="9"/>
      <c r="AI396" s="9"/>
      <c r="AJ396" s="211" t="s">
        <v>1582</v>
      </c>
      <c r="AK396" s="7"/>
      <c r="AL396" s="7"/>
      <c r="AM396" s="7"/>
      <c r="AN396" s="7"/>
      <c r="AO396" s="7"/>
    </row>
    <row r="397" spans="1:42" ht="14.25" customHeight="1">
      <c r="A397" s="116" t="s">
        <v>2660</v>
      </c>
      <c r="B397" s="9">
        <v>10</v>
      </c>
      <c r="C397" s="7" t="s">
        <v>1574</v>
      </c>
      <c r="N397" s="183">
        <v>3</v>
      </c>
      <c r="O397" s="7">
        <f>5.58/5</f>
        <v>1.1160000000000001</v>
      </c>
    </row>
    <row r="398" spans="1:42" ht="14.25" customHeight="1">
      <c r="A398" s="116" t="s">
        <v>2684</v>
      </c>
      <c r="B398" s="9">
        <v>10</v>
      </c>
      <c r="C398" s="7" t="s">
        <v>1575</v>
      </c>
      <c r="N398" s="183">
        <v>3</v>
      </c>
      <c r="O398" s="7">
        <f>5.58/5</f>
        <v>1.1160000000000001</v>
      </c>
    </row>
    <row r="399" spans="1:42" ht="14.25" customHeight="1">
      <c r="A399" s="116" t="s">
        <v>2685</v>
      </c>
      <c r="B399" s="9">
        <v>10</v>
      </c>
      <c r="C399" s="7" t="s">
        <v>1576</v>
      </c>
      <c r="N399" s="183">
        <v>3</v>
      </c>
      <c r="O399" s="7">
        <f>5.58/5</f>
        <v>1.1160000000000001</v>
      </c>
    </row>
    <row r="400" spans="1:42" ht="14.25" customHeight="1">
      <c r="A400" s="116" t="s">
        <v>2686</v>
      </c>
      <c r="B400" s="9">
        <v>20</v>
      </c>
      <c r="C400" s="211" t="s">
        <v>1577</v>
      </c>
      <c r="N400" s="183">
        <v>3</v>
      </c>
      <c r="O400" s="7">
        <f>9.58/5</f>
        <v>1.9159999999999999</v>
      </c>
    </row>
    <row r="401" spans="1:42" ht="14.25" customHeight="1">
      <c r="A401" s="116" t="s">
        <v>2687</v>
      </c>
      <c r="B401" s="9">
        <v>20</v>
      </c>
      <c r="C401" s="7" t="s">
        <v>1578</v>
      </c>
      <c r="N401" s="183">
        <v>3</v>
      </c>
      <c r="O401" s="7">
        <f>9.58/5</f>
        <v>1.9159999999999999</v>
      </c>
      <c r="AJ401" s="211" t="s">
        <v>1577</v>
      </c>
    </row>
    <row r="402" spans="1:42" ht="14.25" customHeight="1">
      <c r="A402" s="116" t="s">
        <v>2688</v>
      </c>
      <c r="B402" s="9">
        <v>20</v>
      </c>
      <c r="C402" s="7" t="s">
        <v>1579</v>
      </c>
      <c r="N402" s="183">
        <v>3</v>
      </c>
      <c r="O402" s="7">
        <f>9.58/5</f>
        <v>1.9159999999999999</v>
      </c>
    </row>
    <row r="403" spans="1:42" ht="14.25" customHeight="1">
      <c r="A403" s="116" t="s">
        <v>2689</v>
      </c>
      <c r="B403" s="9">
        <v>20</v>
      </c>
      <c r="C403" s="7" t="s">
        <v>1580</v>
      </c>
      <c r="N403" s="183">
        <v>3</v>
      </c>
      <c r="O403" s="7">
        <f>9.58/5</f>
        <v>1.9159999999999999</v>
      </c>
      <c r="AP403" s="4"/>
    </row>
    <row r="404" spans="1:42" ht="14.25" customHeight="1">
      <c r="A404" s="116" t="s">
        <v>2690</v>
      </c>
      <c r="B404" s="9">
        <v>20</v>
      </c>
      <c r="C404" s="7" t="s">
        <v>1581</v>
      </c>
      <c r="N404" s="183">
        <v>3</v>
      </c>
      <c r="O404" s="7">
        <f>9.58/5</f>
        <v>1.9159999999999999</v>
      </c>
    </row>
    <row r="405" spans="1:42" ht="14.25" customHeight="1">
      <c r="A405" s="116" t="s">
        <v>2661</v>
      </c>
      <c r="B405" s="9">
        <v>0.5</v>
      </c>
      <c r="C405" s="212" t="s">
        <v>6053</v>
      </c>
      <c r="N405" s="183">
        <f t="shared" ref="N405:N429" si="58">10*2</f>
        <v>20</v>
      </c>
      <c r="O405" s="7">
        <f>1.88/10</f>
        <v>0.188</v>
      </c>
    </row>
    <row r="406" spans="1:42" ht="14.25" customHeight="1">
      <c r="A406" s="116" t="s">
        <v>2662</v>
      </c>
      <c r="B406" s="9">
        <v>0.5</v>
      </c>
      <c r="C406" s="7" t="s">
        <v>1748</v>
      </c>
      <c r="N406" s="183">
        <f t="shared" si="58"/>
        <v>20</v>
      </c>
      <c r="O406" s="7">
        <f>1.88/10</f>
        <v>0.188</v>
      </c>
      <c r="AJ406" s="212" t="s">
        <v>6053</v>
      </c>
    </row>
    <row r="407" spans="1:42" ht="14.25" customHeight="1">
      <c r="A407" s="116" t="s">
        <v>2663</v>
      </c>
      <c r="B407" s="9">
        <v>0.5</v>
      </c>
      <c r="C407" s="7" t="s">
        <v>1749</v>
      </c>
      <c r="N407" s="183">
        <f t="shared" si="58"/>
        <v>20</v>
      </c>
      <c r="O407" s="7">
        <f>1.88/10</f>
        <v>0.188</v>
      </c>
    </row>
    <row r="408" spans="1:42" ht="14.25" customHeight="1">
      <c r="A408" s="116" t="s">
        <v>2664</v>
      </c>
      <c r="B408" s="9">
        <v>0.5</v>
      </c>
      <c r="C408" s="7" t="s">
        <v>1750</v>
      </c>
      <c r="N408" s="183">
        <f t="shared" si="58"/>
        <v>20</v>
      </c>
      <c r="O408" s="7">
        <f>1.88/10</f>
        <v>0.188</v>
      </c>
    </row>
    <row r="409" spans="1:42" ht="14.25" customHeight="1">
      <c r="A409" s="116" t="s">
        <v>2665</v>
      </c>
      <c r="B409" s="9">
        <v>0.5</v>
      </c>
      <c r="C409" s="7" t="s">
        <v>1751</v>
      </c>
      <c r="N409" s="183">
        <f t="shared" si="58"/>
        <v>20</v>
      </c>
      <c r="O409" s="7">
        <f>1.88/10</f>
        <v>0.188</v>
      </c>
    </row>
    <row r="410" spans="1:42" ht="14.25" customHeight="1">
      <c r="A410" s="116" t="s">
        <v>2666</v>
      </c>
      <c r="B410" s="9">
        <v>0.8</v>
      </c>
      <c r="C410" s="211" t="s">
        <v>1583</v>
      </c>
      <c r="N410" s="183">
        <f t="shared" si="58"/>
        <v>20</v>
      </c>
      <c r="O410" s="7">
        <f>2.18/10</f>
        <v>0.21800000000000003</v>
      </c>
    </row>
    <row r="411" spans="1:42" ht="14.25" customHeight="1">
      <c r="A411" s="116" t="s">
        <v>2667</v>
      </c>
      <c r="B411" s="9">
        <v>0.8</v>
      </c>
      <c r="C411" s="7" t="s">
        <v>1584</v>
      </c>
      <c r="N411" s="183">
        <f t="shared" si="58"/>
        <v>20</v>
      </c>
      <c r="O411" s="7">
        <f>2.18/10</f>
        <v>0.21800000000000003</v>
      </c>
      <c r="AJ411" s="211" t="s">
        <v>1583</v>
      </c>
    </row>
    <row r="412" spans="1:42" ht="14.25" customHeight="1">
      <c r="A412" s="116" t="s">
        <v>2668</v>
      </c>
      <c r="B412" s="9">
        <v>0.8</v>
      </c>
      <c r="C412" s="7" t="s">
        <v>1585</v>
      </c>
      <c r="N412" s="183">
        <f t="shared" si="58"/>
        <v>20</v>
      </c>
      <c r="O412" s="7">
        <f>2.18/10</f>
        <v>0.21800000000000003</v>
      </c>
    </row>
    <row r="413" spans="1:42" ht="14.25" customHeight="1">
      <c r="A413" s="116" t="s">
        <v>2669</v>
      </c>
      <c r="B413" s="9">
        <v>0.8</v>
      </c>
      <c r="C413" s="7" t="s">
        <v>1586</v>
      </c>
      <c r="N413" s="183">
        <f t="shared" si="58"/>
        <v>20</v>
      </c>
      <c r="O413" s="7">
        <f>2.18/10</f>
        <v>0.21800000000000003</v>
      </c>
    </row>
    <row r="414" spans="1:42" ht="14.25" customHeight="1">
      <c r="A414" s="116" t="s">
        <v>2670</v>
      </c>
      <c r="B414" s="9">
        <v>0.8</v>
      </c>
      <c r="C414" s="7" t="s">
        <v>1587</v>
      </c>
      <c r="N414" s="183">
        <f t="shared" si="58"/>
        <v>20</v>
      </c>
      <c r="O414" s="7">
        <f>2.18/10</f>
        <v>0.21800000000000003</v>
      </c>
    </row>
    <row r="415" spans="1:42" ht="14.25" customHeight="1">
      <c r="A415" s="116" t="s">
        <v>2691</v>
      </c>
      <c r="B415" s="9">
        <v>1</v>
      </c>
      <c r="C415" s="7" t="s">
        <v>1588</v>
      </c>
      <c r="N415" s="183">
        <f t="shared" si="58"/>
        <v>20</v>
      </c>
      <c r="O415" s="7">
        <f>2.58/10</f>
        <v>0.25800000000000001</v>
      </c>
    </row>
    <row r="416" spans="1:42" ht="14.25" customHeight="1">
      <c r="A416" s="116" t="s">
        <v>2692</v>
      </c>
      <c r="B416" s="9">
        <v>1</v>
      </c>
      <c r="C416" s="7" t="s">
        <v>1589</v>
      </c>
      <c r="N416" s="183">
        <f t="shared" si="58"/>
        <v>20</v>
      </c>
      <c r="O416" s="7">
        <f>2.58/10</f>
        <v>0.25800000000000001</v>
      </c>
    </row>
    <row r="417" spans="1:42" ht="14.25" customHeight="1">
      <c r="A417" s="116" t="s">
        <v>2693</v>
      </c>
      <c r="B417" s="9">
        <v>1</v>
      </c>
      <c r="C417" s="7" t="s">
        <v>1590</v>
      </c>
      <c r="N417" s="183">
        <f t="shared" si="58"/>
        <v>20</v>
      </c>
      <c r="O417" s="7">
        <f>2.58/10</f>
        <v>0.25800000000000001</v>
      </c>
    </row>
    <row r="418" spans="1:42" ht="14.25" customHeight="1">
      <c r="A418" s="116" t="s">
        <v>2694</v>
      </c>
      <c r="B418" s="9">
        <v>1</v>
      </c>
      <c r="C418" s="7" t="s">
        <v>1591</v>
      </c>
      <c r="N418" s="183">
        <f t="shared" si="58"/>
        <v>20</v>
      </c>
      <c r="O418" s="7">
        <f>2.58/10</f>
        <v>0.25800000000000001</v>
      </c>
    </row>
    <row r="419" spans="1:42" ht="14.25" customHeight="1">
      <c r="A419" s="116" t="s">
        <v>2695</v>
      </c>
      <c r="B419" s="9">
        <v>1</v>
      </c>
      <c r="C419" s="7" t="s">
        <v>1592</v>
      </c>
      <c r="N419" s="183">
        <f t="shared" si="58"/>
        <v>20</v>
      </c>
      <c r="O419" s="7">
        <f>2.58/10</f>
        <v>0.25800000000000001</v>
      </c>
    </row>
    <row r="420" spans="1:42" ht="14.25" customHeight="1">
      <c r="A420" s="116" t="s">
        <v>2696</v>
      </c>
      <c r="B420" s="9">
        <v>0.7</v>
      </c>
      <c r="C420" s="211" t="s">
        <v>1737</v>
      </c>
      <c r="N420" s="183">
        <f t="shared" si="58"/>
        <v>20</v>
      </c>
      <c r="O420" s="7">
        <f>2.18/10</f>
        <v>0.21800000000000003</v>
      </c>
    </row>
    <row r="421" spans="1:42" s="4" customFormat="1" ht="14.25" customHeight="1">
      <c r="A421" s="116" t="s">
        <v>2697</v>
      </c>
      <c r="B421" s="9">
        <v>0.7</v>
      </c>
      <c r="C421" s="7" t="s">
        <v>1738</v>
      </c>
      <c r="D421" s="183"/>
      <c r="E421" s="183"/>
      <c r="F421" s="188"/>
      <c r="G421" s="188"/>
      <c r="H421" s="183"/>
      <c r="I421" s="183"/>
      <c r="J421" s="188"/>
      <c r="K421" s="188"/>
      <c r="L421" s="9"/>
      <c r="M421" s="9"/>
      <c r="N421" s="183">
        <f t="shared" si="58"/>
        <v>20</v>
      </c>
      <c r="O421" s="7">
        <f>2.18/10</f>
        <v>0.21800000000000003</v>
      </c>
      <c r="P421" s="9"/>
      <c r="Q421" s="9"/>
      <c r="R421" s="7"/>
      <c r="S421" s="126"/>
      <c r="T421" s="126"/>
      <c r="U421" s="236"/>
      <c r="V421" s="103"/>
      <c r="W421" s="9"/>
      <c r="X421" s="9"/>
      <c r="Y421" s="9"/>
      <c r="Z421" s="9"/>
      <c r="AA421" s="126"/>
      <c r="AB421" s="9"/>
      <c r="AC421" s="9"/>
      <c r="AD421" s="9"/>
      <c r="AE421" s="9"/>
      <c r="AF421" s="9"/>
      <c r="AG421" s="9"/>
      <c r="AH421" s="9"/>
      <c r="AI421" s="9"/>
      <c r="AJ421" s="211" t="s">
        <v>1737</v>
      </c>
      <c r="AK421" s="7"/>
      <c r="AL421" s="7"/>
      <c r="AM421" s="7"/>
      <c r="AN421" s="7"/>
      <c r="AO421" s="7"/>
      <c r="AP421" s="7"/>
    </row>
    <row r="422" spans="1:42" ht="14.25" customHeight="1">
      <c r="A422" s="116" t="s">
        <v>2698</v>
      </c>
      <c r="B422" s="9">
        <v>0.7</v>
      </c>
      <c r="C422" s="7" t="s">
        <v>1739</v>
      </c>
      <c r="N422" s="183">
        <f t="shared" si="58"/>
        <v>20</v>
      </c>
      <c r="O422" s="7">
        <f>2.18/10</f>
        <v>0.21800000000000003</v>
      </c>
    </row>
    <row r="423" spans="1:42" ht="14.25" customHeight="1">
      <c r="A423" s="116" t="s">
        <v>2699</v>
      </c>
      <c r="B423" s="9">
        <v>0.7</v>
      </c>
      <c r="C423" s="7" t="s">
        <v>1740</v>
      </c>
      <c r="N423" s="183">
        <f t="shared" si="58"/>
        <v>20</v>
      </c>
      <c r="O423" s="7">
        <f>2.18/10</f>
        <v>0.21800000000000003</v>
      </c>
    </row>
    <row r="424" spans="1:42" ht="14.25" customHeight="1">
      <c r="A424" s="116" t="s">
        <v>2700</v>
      </c>
      <c r="B424" s="9">
        <v>0.7</v>
      </c>
      <c r="C424" s="7" t="s">
        <v>1741</v>
      </c>
      <c r="N424" s="183">
        <f t="shared" si="58"/>
        <v>20</v>
      </c>
      <c r="O424" s="7">
        <f>2.18/10</f>
        <v>0.21800000000000003</v>
      </c>
    </row>
    <row r="425" spans="1:42" ht="14.25" customHeight="1">
      <c r="A425" s="116" t="s">
        <v>2701</v>
      </c>
      <c r="B425" s="9">
        <v>1.5</v>
      </c>
      <c r="C425" s="7" t="s">
        <v>1742</v>
      </c>
      <c r="N425" s="183">
        <f t="shared" si="58"/>
        <v>20</v>
      </c>
      <c r="O425" s="7">
        <f>2.58/10</f>
        <v>0.25800000000000001</v>
      </c>
    </row>
    <row r="426" spans="1:42" ht="14.25" customHeight="1">
      <c r="A426" s="116" t="s">
        <v>2702</v>
      </c>
      <c r="B426" s="9">
        <v>1.5</v>
      </c>
      <c r="C426" s="7" t="s">
        <v>1743</v>
      </c>
      <c r="N426" s="183">
        <f t="shared" si="58"/>
        <v>20</v>
      </c>
      <c r="O426" s="7">
        <f>2.58/10</f>
        <v>0.25800000000000001</v>
      </c>
    </row>
    <row r="427" spans="1:42" ht="14.25" customHeight="1">
      <c r="A427" s="116" t="s">
        <v>2703</v>
      </c>
      <c r="B427" s="9">
        <v>1.5</v>
      </c>
      <c r="C427" s="7" t="s">
        <v>1744</v>
      </c>
      <c r="N427" s="183">
        <f t="shared" si="58"/>
        <v>20</v>
      </c>
      <c r="O427" s="7">
        <f>2.58/10</f>
        <v>0.25800000000000001</v>
      </c>
    </row>
    <row r="428" spans="1:42" s="4" customFormat="1" ht="14.25" customHeight="1">
      <c r="A428" s="116" t="s">
        <v>2704</v>
      </c>
      <c r="B428" s="9">
        <v>1.5</v>
      </c>
      <c r="C428" s="7" t="s">
        <v>1745</v>
      </c>
      <c r="D428" s="183"/>
      <c r="E428" s="183"/>
      <c r="F428" s="188"/>
      <c r="G428" s="188"/>
      <c r="H428" s="183"/>
      <c r="I428" s="183"/>
      <c r="J428" s="188"/>
      <c r="K428" s="188"/>
      <c r="L428" s="9"/>
      <c r="M428" s="9"/>
      <c r="N428" s="183">
        <f t="shared" si="58"/>
        <v>20</v>
      </c>
      <c r="O428" s="7">
        <f>2.58/10</f>
        <v>0.25800000000000001</v>
      </c>
      <c r="P428" s="9"/>
      <c r="Q428" s="9"/>
      <c r="R428" s="7"/>
      <c r="S428" s="126"/>
      <c r="T428" s="126"/>
      <c r="U428" s="236"/>
      <c r="V428" s="103"/>
      <c r="W428" s="9"/>
      <c r="X428" s="9"/>
      <c r="Y428" s="9"/>
      <c r="Z428" s="9"/>
      <c r="AA428" s="126"/>
      <c r="AB428" s="9"/>
      <c r="AC428" s="9"/>
      <c r="AD428" s="9"/>
      <c r="AE428" s="9"/>
      <c r="AF428" s="9"/>
      <c r="AG428" s="9"/>
      <c r="AH428" s="9"/>
      <c r="AI428" s="9"/>
      <c r="AJ428" s="7"/>
      <c r="AK428" s="7"/>
      <c r="AL428" s="7"/>
      <c r="AM428" s="7"/>
      <c r="AN428" s="7"/>
      <c r="AO428" s="7"/>
      <c r="AP428" s="7"/>
    </row>
    <row r="429" spans="1:42" ht="14.25" customHeight="1">
      <c r="A429" s="116" t="s">
        <v>2705</v>
      </c>
      <c r="B429" s="9">
        <v>1.5</v>
      </c>
      <c r="C429" s="7" t="s">
        <v>1746</v>
      </c>
      <c r="N429" s="183">
        <f t="shared" si="58"/>
        <v>20</v>
      </c>
      <c r="O429" s="7">
        <f>2.58/10</f>
        <v>0.25800000000000001</v>
      </c>
    </row>
    <row r="430" spans="1:42" ht="14.25" customHeight="1">
      <c r="A430" s="112">
        <v>253.01</v>
      </c>
      <c r="B430" s="9">
        <f>650/100</f>
        <v>6.5</v>
      </c>
      <c r="C430" s="211" t="s">
        <v>1844</v>
      </c>
      <c r="D430" s="184"/>
      <c r="E430" s="184"/>
      <c r="H430" s="184"/>
      <c r="I430" s="184"/>
      <c r="L430" s="3"/>
      <c r="M430" s="3"/>
      <c r="N430" s="184">
        <v>100</v>
      </c>
      <c r="O430" s="6">
        <f>0.27*50/100</f>
        <v>0.13500000000000001</v>
      </c>
      <c r="P430" s="222"/>
      <c r="Q430" s="222"/>
    </row>
    <row r="431" spans="1:42" ht="14.25" customHeight="1">
      <c r="A431" s="112">
        <v>253.02</v>
      </c>
      <c r="B431" s="9">
        <f>600/100</f>
        <v>6</v>
      </c>
      <c r="C431" s="1" t="s">
        <v>1845</v>
      </c>
      <c r="D431" s="184"/>
      <c r="E431" s="184"/>
      <c r="H431" s="184"/>
      <c r="I431" s="184"/>
      <c r="L431" s="3"/>
      <c r="M431" s="3"/>
      <c r="N431" s="184">
        <v>100</v>
      </c>
      <c r="O431" s="6">
        <f>0.25*50/100</f>
        <v>0.125</v>
      </c>
      <c r="P431" s="222"/>
      <c r="Q431" s="222"/>
      <c r="AJ431" s="211" t="s">
        <v>1844</v>
      </c>
    </row>
    <row r="432" spans="1:42" ht="14.25" customHeight="1">
      <c r="A432" s="112">
        <v>253.03</v>
      </c>
      <c r="B432" s="9">
        <f>600/100</f>
        <v>6</v>
      </c>
      <c r="C432" s="1" t="s">
        <v>1846</v>
      </c>
      <c r="D432" s="184"/>
      <c r="E432" s="184"/>
      <c r="H432" s="184"/>
      <c r="I432" s="184"/>
      <c r="L432" s="3"/>
      <c r="M432" s="3"/>
      <c r="N432" s="184">
        <v>100</v>
      </c>
      <c r="O432" s="6">
        <f>0.25*50/100</f>
        <v>0.125</v>
      </c>
      <c r="P432" s="222"/>
      <c r="Q432" s="222"/>
    </row>
    <row r="433" spans="1:42" ht="14.25" customHeight="1">
      <c r="A433" s="112">
        <v>253.04</v>
      </c>
      <c r="B433" s="9">
        <f>1150/100</f>
        <v>11.5</v>
      </c>
      <c r="C433" s="211" t="s">
        <v>1847</v>
      </c>
      <c r="D433" s="184"/>
      <c r="E433" s="184"/>
      <c r="H433" s="184"/>
      <c r="I433" s="184"/>
      <c r="L433" s="3"/>
      <c r="M433" s="3"/>
      <c r="N433" s="184">
        <v>100</v>
      </c>
      <c r="O433" s="6">
        <v>0.36</v>
      </c>
      <c r="P433" s="222"/>
      <c r="Q433" s="222"/>
    </row>
    <row r="434" spans="1:42" ht="14.25" customHeight="1">
      <c r="A434" s="112">
        <v>253.05</v>
      </c>
      <c r="B434" s="9">
        <f>1200/100</f>
        <v>12</v>
      </c>
      <c r="C434" s="1" t="s">
        <v>1848</v>
      </c>
      <c r="D434" s="184"/>
      <c r="E434" s="184"/>
      <c r="H434" s="184"/>
      <c r="I434" s="184"/>
      <c r="L434" s="3"/>
      <c r="M434" s="3"/>
      <c r="N434" s="184">
        <v>100</v>
      </c>
      <c r="O434" s="6">
        <v>0.35</v>
      </c>
      <c r="P434" s="222"/>
      <c r="Q434" s="222"/>
      <c r="AJ434" s="211" t="s">
        <v>1847</v>
      </c>
    </row>
    <row r="435" spans="1:42" ht="14.25" customHeight="1">
      <c r="A435" s="112">
        <v>253.06</v>
      </c>
      <c r="B435" s="9">
        <f>1150/100</f>
        <v>11.5</v>
      </c>
      <c r="C435" s="1" t="s">
        <v>1849</v>
      </c>
      <c r="D435" s="184"/>
      <c r="E435" s="184"/>
      <c r="H435" s="184"/>
      <c r="I435" s="184"/>
      <c r="L435" s="3"/>
      <c r="M435" s="3"/>
      <c r="N435" s="184">
        <v>100</v>
      </c>
      <c r="O435" s="6">
        <v>0.35</v>
      </c>
      <c r="P435" s="222"/>
      <c r="Q435" s="222"/>
    </row>
    <row r="436" spans="1:42" ht="14.25" customHeight="1">
      <c r="A436" s="116" t="s">
        <v>2706</v>
      </c>
      <c r="B436" s="121">
        <f>350/200</f>
        <v>1.75</v>
      </c>
      <c r="C436" s="211" t="s">
        <v>1611</v>
      </c>
      <c r="N436" s="183">
        <v>200</v>
      </c>
      <c r="O436" s="56">
        <f>17/N436</f>
        <v>8.5000000000000006E-2</v>
      </c>
      <c r="P436" s="107"/>
      <c r="Q436" s="107"/>
      <c r="AP436" s="4"/>
    </row>
    <row r="437" spans="1:42" ht="14.25" customHeight="1">
      <c r="A437" s="116" t="s">
        <v>2707</v>
      </c>
      <c r="B437" s="121">
        <f>400/200</f>
        <v>2</v>
      </c>
      <c r="C437" s="7" t="s">
        <v>1621</v>
      </c>
      <c r="N437" s="183">
        <v>200</v>
      </c>
      <c r="O437" s="56">
        <f>19/N437</f>
        <v>9.5000000000000001E-2</v>
      </c>
      <c r="P437" s="107"/>
      <c r="Q437" s="107"/>
      <c r="AJ437" s="211" t="s">
        <v>1611</v>
      </c>
      <c r="AP437" s="4"/>
    </row>
    <row r="438" spans="1:42" ht="14.25" customHeight="1">
      <c r="A438" s="116" t="s">
        <v>2708</v>
      </c>
      <c r="B438" s="121">
        <f>500/200</f>
        <v>2.5</v>
      </c>
      <c r="C438" s="7" t="s">
        <v>1613</v>
      </c>
      <c r="N438" s="183">
        <v>200</v>
      </c>
      <c r="O438" s="56">
        <f>21/N438</f>
        <v>0.105</v>
      </c>
      <c r="P438" s="107"/>
      <c r="Q438" s="107"/>
    </row>
    <row r="439" spans="1:42" ht="14.25" customHeight="1">
      <c r="A439" s="116" t="s">
        <v>2709</v>
      </c>
      <c r="B439" s="121">
        <f>650/200</f>
        <v>3.25</v>
      </c>
      <c r="C439" s="7" t="s">
        <v>1612</v>
      </c>
      <c r="N439" s="183">
        <v>200</v>
      </c>
      <c r="O439" s="56">
        <f>28/N439</f>
        <v>0.14000000000000001</v>
      </c>
      <c r="P439" s="107"/>
      <c r="Q439" s="107"/>
      <c r="AP439" s="4"/>
    </row>
    <row r="440" spans="1:42" ht="14.25" customHeight="1">
      <c r="A440" s="116" t="s">
        <v>2710</v>
      </c>
      <c r="B440" s="9">
        <f>700/200</f>
        <v>3.5</v>
      </c>
      <c r="C440" s="211" t="s">
        <v>1609</v>
      </c>
      <c r="N440" s="183">
        <v>200</v>
      </c>
      <c r="O440" s="56">
        <f>30/N440</f>
        <v>0.15</v>
      </c>
      <c r="P440" s="107"/>
      <c r="Q440" s="107"/>
    </row>
    <row r="441" spans="1:42" ht="14.25" customHeight="1">
      <c r="A441" s="116" t="s">
        <v>2711</v>
      </c>
      <c r="B441" s="9">
        <f>700/200</f>
        <v>3.5</v>
      </c>
      <c r="C441" s="211" t="s">
        <v>1614</v>
      </c>
      <c r="N441" s="183">
        <v>200</v>
      </c>
      <c r="O441" s="56">
        <f>30/N441</f>
        <v>0.15</v>
      </c>
      <c r="P441" s="107"/>
      <c r="Q441" s="107"/>
      <c r="AJ441" s="211" t="s">
        <v>1609</v>
      </c>
    </row>
    <row r="442" spans="1:42" ht="14.25" customHeight="1">
      <c r="A442" s="116" t="s">
        <v>2712</v>
      </c>
      <c r="B442" s="9">
        <f>550/100</f>
        <v>5.5</v>
      </c>
      <c r="C442" s="7" t="s">
        <v>1620</v>
      </c>
      <c r="N442" s="183">
        <v>100</v>
      </c>
      <c r="O442" s="56">
        <f>20/N442</f>
        <v>0.2</v>
      </c>
      <c r="P442" s="107"/>
      <c r="Q442" s="107"/>
      <c r="AJ442" s="211" t="s">
        <v>1614</v>
      </c>
    </row>
    <row r="443" spans="1:42" ht="14.25" customHeight="1">
      <c r="A443" s="116" t="s">
        <v>2713</v>
      </c>
      <c r="B443" s="9">
        <f>550/100</f>
        <v>5.5</v>
      </c>
      <c r="C443" s="7" t="s">
        <v>1618</v>
      </c>
      <c r="N443" s="183">
        <v>100</v>
      </c>
      <c r="O443" s="56">
        <f>20/N443</f>
        <v>0.2</v>
      </c>
      <c r="P443" s="107"/>
      <c r="Q443" s="107"/>
    </row>
    <row r="444" spans="1:42" ht="14.25" customHeight="1">
      <c r="A444" s="116" t="s">
        <v>2714</v>
      </c>
      <c r="B444" s="9">
        <f>600/100</f>
        <v>6</v>
      </c>
      <c r="C444" s="7" t="s">
        <v>1619</v>
      </c>
      <c r="N444" s="183">
        <v>100</v>
      </c>
      <c r="O444" s="56">
        <f>22/N444</f>
        <v>0.22</v>
      </c>
      <c r="P444" s="107"/>
      <c r="Q444" s="107"/>
    </row>
    <row r="445" spans="1:42" ht="14.25" customHeight="1">
      <c r="A445" s="116" t="s">
        <v>2715</v>
      </c>
      <c r="B445" s="9">
        <f>750/100</f>
        <v>7.5</v>
      </c>
      <c r="C445" s="7" t="s">
        <v>1616</v>
      </c>
      <c r="N445" s="183">
        <v>100</v>
      </c>
      <c r="O445" s="56">
        <f>22/N445</f>
        <v>0.22</v>
      </c>
      <c r="P445" s="107"/>
      <c r="Q445" s="107"/>
    </row>
    <row r="446" spans="1:42" ht="14.25" customHeight="1">
      <c r="A446" s="116" t="s">
        <v>2716</v>
      </c>
      <c r="B446" s="9">
        <f>950/100</f>
        <v>9.5</v>
      </c>
      <c r="C446" s="7" t="s">
        <v>1622</v>
      </c>
      <c r="N446" s="183">
        <v>100</v>
      </c>
      <c r="O446" s="56">
        <f>27/N446</f>
        <v>0.27</v>
      </c>
      <c r="P446" s="107"/>
      <c r="Q446" s="107"/>
    </row>
    <row r="447" spans="1:42" ht="14.25" customHeight="1">
      <c r="A447" s="116" t="s">
        <v>2717</v>
      </c>
      <c r="B447" s="9">
        <f>900/100</f>
        <v>9</v>
      </c>
      <c r="C447" s="7" t="s">
        <v>1617</v>
      </c>
      <c r="N447" s="183">
        <v>100</v>
      </c>
      <c r="O447" s="56">
        <f>27/N447</f>
        <v>0.27</v>
      </c>
      <c r="P447" s="107"/>
      <c r="Q447" s="107"/>
    </row>
    <row r="448" spans="1:42" ht="14.25" customHeight="1">
      <c r="A448" s="116" t="s">
        <v>2718</v>
      </c>
      <c r="B448" s="9">
        <f>1350/100</f>
        <v>13.5</v>
      </c>
      <c r="C448" s="7" t="s">
        <v>1610</v>
      </c>
      <c r="N448" s="183">
        <v>100</v>
      </c>
      <c r="O448" s="56">
        <f>38/N448</f>
        <v>0.38</v>
      </c>
      <c r="P448" s="107"/>
      <c r="Q448" s="107"/>
    </row>
    <row r="449" spans="1:42" ht="14.25" customHeight="1">
      <c r="A449" s="116" t="s">
        <v>2719</v>
      </c>
      <c r="B449" s="9">
        <f>1350/100</f>
        <v>13.5</v>
      </c>
      <c r="C449" s="7" t="s">
        <v>1615</v>
      </c>
      <c r="N449" s="183">
        <v>100</v>
      </c>
      <c r="O449" s="56">
        <f>38/N449</f>
        <v>0.38</v>
      </c>
      <c r="P449" s="107"/>
      <c r="Q449" s="107"/>
    </row>
    <row r="450" spans="1:42" ht="14.25" customHeight="1">
      <c r="A450" s="125" t="s">
        <v>2622</v>
      </c>
      <c r="B450" s="9">
        <v>25.5</v>
      </c>
      <c r="C450" s="211" t="s">
        <v>5966</v>
      </c>
      <c r="N450" s="183">
        <v>2</v>
      </c>
      <c r="O450" s="7">
        <v>0.8</v>
      </c>
    </row>
    <row r="451" spans="1:42" ht="14.25" customHeight="1">
      <c r="A451" s="125" t="s">
        <v>2623</v>
      </c>
      <c r="B451" s="9">
        <v>25.5</v>
      </c>
      <c r="C451" s="7" t="s">
        <v>5971</v>
      </c>
      <c r="N451" s="183">
        <v>2</v>
      </c>
      <c r="O451" s="7">
        <v>0.8</v>
      </c>
      <c r="AJ451" s="211" t="s">
        <v>5966</v>
      </c>
    </row>
    <row r="452" spans="1:42" ht="14.25" customHeight="1">
      <c r="A452" s="125" t="s">
        <v>2624</v>
      </c>
      <c r="B452" s="9">
        <v>25.5</v>
      </c>
      <c r="C452" s="7" t="s">
        <v>5972</v>
      </c>
      <c r="N452" s="183">
        <v>1</v>
      </c>
      <c r="O452" s="7">
        <v>0.8</v>
      </c>
    </row>
    <row r="453" spans="1:42" ht="14.25" customHeight="1">
      <c r="A453" s="125" t="s">
        <v>2625</v>
      </c>
      <c r="B453" s="9">
        <v>25.5</v>
      </c>
      <c r="C453" s="7" t="s">
        <v>5973</v>
      </c>
      <c r="N453" s="183">
        <v>1</v>
      </c>
      <c r="O453" s="7">
        <v>0.8</v>
      </c>
    </row>
    <row r="454" spans="1:42" ht="14.25" customHeight="1">
      <c r="A454" s="125" t="s">
        <v>2626</v>
      </c>
      <c r="B454" s="9">
        <v>25.5</v>
      </c>
      <c r="C454" s="7" t="s">
        <v>5974</v>
      </c>
      <c r="N454" s="183">
        <v>1</v>
      </c>
      <c r="O454" s="7">
        <v>0.8</v>
      </c>
    </row>
    <row r="455" spans="1:42" ht="14.25" customHeight="1">
      <c r="A455" s="125" t="s">
        <v>2627</v>
      </c>
      <c r="B455" s="9">
        <v>25.5</v>
      </c>
      <c r="C455" s="7" t="s">
        <v>5975</v>
      </c>
      <c r="N455" s="183">
        <v>1</v>
      </c>
      <c r="O455" s="7">
        <v>0.8</v>
      </c>
    </row>
    <row r="456" spans="1:42" s="4" customFormat="1" ht="14.25" customHeight="1">
      <c r="A456" s="125" t="s">
        <v>2628</v>
      </c>
      <c r="B456" s="9">
        <v>40.9</v>
      </c>
      <c r="C456" s="211" t="s">
        <v>5790</v>
      </c>
      <c r="D456" s="183"/>
      <c r="E456" s="183"/>
      <c r="F456" s="188"/>
      <c r="G456" s="188"/>
      <c r="H456" s="183"/>
      <c r="I456" s="183"/>
      <c r="J456" s="188"/>
      <c r="K456" s="188"/>
      <c r="L456" s="9"/>
      <c r="M456" s="9"/>
      <c r="N456" s="183">
        <v>2</v>
      </c>
      <c r="O456" s="7">
        <v>1.2</v>
      </c>
      <c r="P456" s="9"/>
      <c r="Q456" s="9"/>
      <c r="R456" s="7"/>
      <c r="S456" s="126"/>
      <c r="T456" s="126"/>
      <c r="U456" s="236"/>
      <c r="V456" s="103"/>
      <c r="W456" s="9"/>
      <c r="X456" s="9"/>
      <c r="Y456" s="9"/>
      <c r="Z456" s="9"/>
      <c r="AA456" s="126"/>
      <c r="AB456" s="9"/>
      <c r="AC456" s="9"/>
      <c r="AD456" s="9"/>
      <c r="AE456" s="9"/>
      <c r="AF456" s="9"/>
      <c r="AG456" s="9"/>
      <c r="AH456" s="9"/>
      <c r="AI456" s="9"/>
      <c r="AJ456" s="7"/>
      <c r="AK456" s="7"/>
      <c r="AL456" s="7"/>
      <c r="AM456" s="7"/>
      <c r="AN456" s="7"/>
      <c r="AO456" s="7"/>
      <c r="AP456" s="7"/>
    </row>
    <row r="457" spans="1:42" ht="14.25" customHeight="1">
      <c r="A457" s="125" t="s">
        <v>2629</v>
      </c>
      <c r="B457" s="9">
        <v>40.9</v>
      </c>
      <c r="C457" s="7" t="s">
        <v>5791</v>
      </c>
      <c r="N457" s="183">
        <v>2</v>
      </c>
      <c r="O457" s="7">
        <v>1.2</v>
      </c>
      <c r="AJ457" s="211" t="s">
        <v>5790</v>
      </c>
    </row>
    <row r="458" spans="1:42" s="4" customFormat="1" ht="14.25" customHeight="1">
      <c r="A458" s="125" t="s">
        <v>2630</v>
      </c>
      <c r="B458" s="9">
        <v>40.9</v>
      </c>
      <c r="C458" s="7" t="s">
        <v>5792</v>
      </c>
      <c r="D458" s="183"/>
      <c r="E458" s="183"/>
      <c r="F458" s="188"/>
      <c r="G458" s="188"/>
      <c r="H458" s="183"/>
      <c r="I458" s="183"/>
      <c r="J458" s="188"/>
      <c r="K458" s="188"/>
      <c r="L458" s="9"/>
      <c r="M458" s="9"/>
      <c r="N458" s="183">
        <v>1</v>
      </c>
      <c r="O458" s="7">
        <v>1.2</v>
      </c>
      <c r="P458" s="9"/>
      <c r="Q458" s="9"/>
      <c r="R458" s="7"/>
      <c r="S458" s="126"/>
      <c r="T458" s="126"/>
      <c r="U458" s="236"/>
      <c r="V458" s="103"/>
      <c r="W458" s="9"/>
      <c r="X458" s="9"/>
      <c r="Y458" s="9"/>
      <c r="Z458" s="9"/>
      <c r="AA458" s="126"/>
      <c r="AB458" s="9"/>
      <c r="AC458" s="9"/>
      <c r="AD458" s="9"/>
      <c r="AE458" s="9"/>
      <c r="AF458" s="9"/>
      <c r="AG458" s="9"/>
      <c r="AH458" s="9"/>
      <c r="AI458" s="9"/>
      <c r="AJ458" s="7"/>
      <c r="AK458" s="7"/>
      <c r="AL458" s="7"/>
      <c r="AM458" s="7"/>
      <c r="AN458" s="7"/>
      <c r="AO458" s="7"/>
      <c r="AP458" s="7"/>
    </row>
    <row r="459" spans="1:42" ht="14.25" customHeight="1">
      <c r="A459" s="125" t="s">
        <v>2631</v>
      </c>
      <c r="B459" s="9">
        <v>40.9</v>
      </c>
      <c r="C459" s="7" t="s">
        <v>5793</v>
      </c>
      <c r="N459" s="183">
        <v>1</v>
      </c>
      <c r="O459" s="7">
        <v>1.2</v>
      </c>
    </row>
    <row r="460" spans="1:42" ht="14.25" customHeight="1">
      <c r="A460" s="125" t="s">
        <v>2632</v>
      </c>
      <c r="B460" s="9">
        <v>40.9</v>
      </c>
      <c r="C460" s="7" t="s">
        <v>5794</v>
      </c>
      <c r="N460" s="183">
        <v>1</v>
      </c>
      <c r="O460" s="7">
        <v>1.2</v>
      </c>
    </row>
    <row r="461" spans="1:42" ht="14.25" customHeight="1">
      <c r="A461" s="125" t="s">
        <v>2633</v>
      </c>
      <c r="B461" s="9">
        <v>40.9</v>
      </c>
      <c r="C461" s="7" t="s">
        <v>5795</v>
      </c>
      <c r="N461" s="183">
        <v>1</v>
      </c>
      <c r="O461" s="7">
        <v>1.2</v>
      </c>
    </row>
    <row r="462" spans="1:42" ht="14.25" customHeight="1">
      <c r="A462" s="125" t="s">
        <v>2634</v>
      </c>
      <c r="B462" s="9">
        <v>40.9</v>
      </c>
      <c r="C462" s="7" t="s">
        <v>5796</v>
      </c>
      <c r="N462" s="183">
        <v>1</v>
      </c>
      <c r="O462" s="7">
        <v>1.5</v>
      </c>
    </row>
    <row r="463" spans="1:42" ht="14.25" customHeight="1">
      <c r="A463" s="125" t="s">
        <v>2635</v>
      </c>
      <c r="B463" s="9">
        <v>40.9</v>
      </c>
      <c r="C463" s="198" t="s">
        <v>6054</v>
      </c>
      <c r="N463" s="183">
        <v>1</v>
      </c>
      <c r="O463" s="7">
        <v>1.5</v>
      </c>
    </row>
    <row r="464" spans="1:42" ht="14.25" customHeight="1">
      <c r="A464" s="125" t="s">
        <v>2636</v>
      </c>
      <c r="B464" s="9">
        <v>54.4</v>
      </c>
      <c r="C464" s="211" t="s">
        <v>5798</v>
      </c>
      <c r="N464" s="183">
        <v>3</v>
      </c>
      <c r="O464" s="7">
        <v>2.1</v>
      </c>
    </row>
    <row r="465" spans="1:42" ht="14.25" customHeight="1">
      <c r="A465" s="125" t="s">
        <v>2637</v>
      </c>
      <c r="B465" s="9">
        <v>54.4</v>
      </c>
      <c r="C465" s="7" t="s">
        <v>5799</v>
      </c>
      <c r="N465" s="183">
        <v>4</v>
      </c>
      <c r="O465" s="7">
        <v>2.1</v>
      </c>
      <c r="AJ465" s="211" t="s">
        <v>5798</v>
      </c>
    </row>
    <row r="466" spans="1:42" ht="14.25" customHeight="1">
      <c r="A466" s="125" t="s">
        <v>2638</v>
      </c>
      <c r="B466" s="9">
        <v>54.4</v>
      </c>
      <c r="C466" s="7" t="s">
        <v>5800</v>
      </c>
      <c r="N466" s="183">
        <v>2</v>
      </c>
      <c r="O466" s="7">
        <v>2.1</v>
      </c>
      <c r="AP466" s="4"/>
    </row>
    <row r="467" spans="1:42" ht="14.25" customHeight="1">
      <c r="A467" s="125" t="s">
        <v>2639</v>
      </c>
      <c r="B467" s="9">
        <v>54.4</v>
      </c>
      <c r="C467" s="7" t="s">
        <v>5801</v>
      </c>
      <c r="N467" s="183">
        <v>2</v>
      </c>
      <c r="O467" s="7">
        <v>2.1</v>
      </c>
    </row>
    <row r="468" spans="1:42" ht="14.25" customHeight="1">
      <c r="A468" s="125" t="s">
        <v>2640</v>
      </c>
      <c r="B468" s="9">
        <v>54.4</v>
      </c>
      <c r="C468" s="7" t="s">
        <v>5802</v>
      </c>
      <c r="N468" s="183">
        <v>2</v>
      </c>
      <c r="O468" s="7">
        <v>2.1</v>
      </c>
    </row>
    <row r="469" spans="1:42" ht="14.25" customHeight="1">
      <c r="A469" s="125" t="s">
        <v>2641</v>
      </c>
      <c r="B469" s="9">
        <v>54.4</v>
      </c>
      <c r="C469" s="7" t="s">
        <v>5970</v>
      </c>
      <c r="N469" s="183">
        <v>2</v>
      </c>
      <c r="O469" s="7">
        <v>2.1</v>
      </c>
    </row>
    <row r="470" spans="1:42" ht="14.25" customHeight="1">
      <c r="A470" s="125" t="s">
        <v>2642</v>
      </c>
      <c r="B470" s="107">
        <f>222.2/1000</f>
        <v>0.22219999999999998</v>
      </c>
      <c r="C470" s="211" t="s">
        <v>5967</v>
      </c>
      <c r="N470" s="183">
        <v>1000</v>
      </c>
      <c r="O470" s="56">
        <f>8.8/1000</f>
        <v>8.8000000000000005E-3</v>
      </c>
      <c r="P470" s="107"/>
      <c r="Q470" s="107"/>
    </row>
    <row r="471" spans="1:42" ht="14.25" customHeight="1">
      <c r="A471" s="125" t="s">
        <v>2643</v>
      </c>
      <c r="B471" s="107">
        <f>269.3/500</f>
        <v>0.53859999999999997</v>
      </c>
      <c r="C471" s="7" t="s">
        <v>5968</v>
      </c>
      <c r="N471" s="183">
        <v>500</v>
      </c>
      <c r="O471" s="80">
        <f>9.2/500</f>
        <v>1.84E-2</v>
      </c>
      <c r="P471" s="221"/>
      <c r="Q471" s="221"/>
      <c r="AJ471" s="211" t="s">
        <v>5967</v>
      </c>
    </row>
    <row r="472" spans="1:42" ht="14.25" customHeight="1">
      <c r="A472" s="125" t="s">
        <v>2644</v>
      </c>
      <c r="B472" s="107">
        <f>260/250</f>
        <v>1.04</v>
      </c>
      <c r="C472" s="1" t="s">
        <v>5969</v>
      </c>
      <c r="N472" s="183">
        <v>250</v>
      </c>
      <c r="O472" s="7">
        <f>8.6/250</f>
        <v>3.44E-2</v>
      </c>
    </row>
    <row r="473" spans="1:42" ht="14.25" customHeight="1">
      <c r="A473" s="112">
        <v>262.41000000000003</v>
      </c>
      <c r="B473" s="9">
        <f>330/10</f>
        <v>33</v>
      </c>
      <c r="C473" s="1" t="s">
        <v>5803</v>
      </c>
      <c r="D473" s="184"/>
      <c r="E473" s="184"/>
      <c r="H473" s="184"/>
      <c r="I473" s="184"/>
      <c r="L473" s="3"/>
      <c r="M473" s="3"/>
      <c r="N473" s="184">
        <v>20</v>
      </c>
      <c r="O473" s="6">
        <v>1.28</v>
      </c>
      <c r="P473" s="222"/>
      <c r="Q473" s="222"/>
    </row>
    <row r="474" spans="1:42" ht="14.25" customHeight="1">
      <c r="A474" s="125" t="s">
        <v>2645</v>
      </c>
      <c r="B474" s="107">
        <f>68.6/30</f>
        <v>2.2866666666666666</v>
      </c>
      <c r="C474" s="211" t="s">
        <v>5804</v>
      </c>
      <c r="N474" s="183">
        <v>30</v>
      </c>
      <c r="O474" s="7">
        <v>0.16</v>
      </c>
    </row>
    <row r="475" spans="1:42" ht="14.25" customHeight="1">
      <c r="A475" s="125" t="s">
        <v>2646</v>
      </c>
      <c r="B475" s="107">
        <f>81.6/30</f>
        <v>2.7199999999999998</v>
      </c>
      <c r="C475" s="7" t="s">
        <v>5805</v>
      </c>
      <c r="N475" s="183">
        <v>30</v>
      </c>
      <c r="O475" s="7">
        <v>0.17</v>
      </c>
      <c r="AJ475" s="211" t="s">
        <v>5804</v>
      </c>
    </row>
    <row r="476" spans="1:42" ht="14.25" customHeight="1">
      <c r="A476" s="125" t="s">
        <v>2647</v>
      </c>
      <c r="B476" s="107">
        <f>118.3/30</f>
        <v>3.9433333333333334</v>
      </c>
      <c r="C476" s="7" t="s">
        <v>5806</v>
      </c>
      <c r="N476" s="183">
        <v>30</v>
      </c>
      <c r="O476" s="7">
        <v>0.19</v>
      </c>
    </row>
    <row r="477" spans="1:42" ht="14.25" customHeight="1">
      <c r="A477" s="125" t="s">
        <v>2648</v>
      </c>
      <c r="B477" s="107">
        <f>97.5/20</f>
        <v>4.875</v>
      </c>
      <c r="C477" s="7" t="s">
        <v>5807</v>
      </c>
      <c r="N477" s="183">
        <v>20</v>
      </c>
      <c r="O477" s="7">
        <v>0.24</v>
      </c>
    </row>
    <row r="478" spans="1:42" ht="14.25" customHeight="1">
      <c r="A478" s="125" t="s">
        <v>2649</v>
      </c>
      <c r="B478" s="107">
        <f>117/25</f>
        <v>4.68</v>
      </c>
      <c r="C478" s="7" t="s">
        <v>5808</v>
      </c>
      <c r="D478" s="184"/>
      <c r="E478" s="184"/>
      <c r="H478" s="184"/>
      <c r="I478" s="184"/>
      <c r="L478" s="3"/>
      <c r="M478" s="3"/>
      <c r="N478" s="184">
        <v>25</v>
      </c>
      <c r="O478" s="7">
        <f>0.26*20/25</f>
        <v>0.20800000000000002</v>
      </c>
    </row>
    <row r="479" spans="1:42" ht="14.25" customHeight="1">
      <c r="A479" s="125" t="s">
        <v>2650</v>
      </c>
      <c r="B479" s="107">
        <f>119/23</f>
        <v>5.1739130434782608</v>
      </c>
      <c r="C479" s="7" t="s">
        <v>5809</v>
      </c>
      <c r="D479" s="184"/>
      <c r="E479" s="184"/>
      <c r="H479" s="184"/>
      <c r="I479" s="184"/>
      <c r="L479" s="3"/>
      <c r="M479" s="3"/>
      <c r="N479" s="184">
        <v>23</v>
      </c>
      <c r="O479" s="80">
        <f>0.28*20/23</f>
        <v>0.24347826086956523</v>
      </c>
      <c r="P479" s="221"/>
      <c r="Q479" s="221"/>
    </row>
    <row r="480" spans="1:42" ht="14.25" customHeight="1">
      <c r="A480" s="125" t="s">
        <v>2651</v>
      </c>
      <c r="B480" s="107">
        <f>181/22</f>
        <v>8.2272727272727266</v>
      </c>
      <c r="C480" s="7" t="s">
        <v>5810</v>
      </c>
      <c r="D480" s="184"/>
      <c r="E480" s="184"/>
      <c r="H480" s="184"/>
      <c r="I480" s="184"/>
      <c r="L480" s="3"/>
      <c r="M480" s="3"/>
      <c r="N480" s="184">
        <v>22</v>
      </c>
      <c r="O480" s="80">
        <f>0.38*15/22</f>
        <v>0.25909090909090909</v>
      </c>
      <c r="P480" s="221"/>
      <c r="Q480" s="221"/>
    </row>
    <row r="481" spans="1:42" ht="14.25" customHeight="1">
      <c r="A481" s="125" t="s">
        <v>2596</v>
      </c>
      <c r="B481" s="9">
        <f>53.6/2</f>
        <v>26.8</v>
      </c>
      <c r="C481" s="211" t="s">
        <v>5963</v>
      </c>
      <c r="N481" s="183">
        <f t="shared" ref="N481:N488" si="59">2*2</f>
        <v>4</v>
      </c>
      <c r="O481" s="7">
        <f t="shared" ref="O481:O488" si="60">1.85/2</f>
        <v>0.92500000000000004</v>
      </c>
    </row>
    <row r="482" spans="1:42" ht="14.25" customHeight="1">
      <c r="A482" s="125" t="s">
        <v>2597</v>
      </c>
      <c r="B482" s="9">
        <f>53.6/2</f>
        <v>26.8</v>
      </c>
      <c r="C482" s="1" t="s">
        <v>5811</v>
      </c>
      <c r="N482" s="183">
        <f t="shared" si="59"/>
        <v>4</v>
      </c>
      <c r="O482" s="7">
        <f t="shared" si="60"/>
        <v>0.92500000000000004</v>
      </c>
      <c r="AJ482" s="211" t="s">
        <v>5963</v>
      </c>
    </row>
    <row r="483" spans="1:42" ht="14.25" customHeight="1">
      <c r="A483" s="125" t="s">
        <v>2598</v>
      </c>
      <c r="B483" s="9">
        <f>53.3/2</f>
        <v>26.65</v>
      </c>
      <c r="C483" s="1" t="s">
        <v>5812</v>
      </c>
      <c r="N483" s="183">
        <f t="shared" si="59"/>
        <v>4</v>
      </c>
      <c r="O483" s="7">
        <f t="shared" si="60"/>
        <v>0.92500000000000004</v>
      </c>
    </row>
    <row r="484" spans="1:42" ht="14.25" customHeight="1">
      <c r="A484" s="125" t="s">
        <v>2599</v>
      </c>
      <c r="B484" s="129">
        <f>55.6/2</f>
        <v>27.8</v>
      </c>
      <c r="C484" s="1" t="s">
        <v>5813</v>
      </c>
      <c r="N484" s="183">
        <f t="shared" si="59"/>
        <v>4</v>
      </c>
      <c r="O484" s="7">
        <f t="shared" si="60"/>
        <v>0.92500000000000004</v>
      </c>
    </row>
    <row r="485" spans="1:42" s="4" customFormat="1" ht="14.25" customHeight="1">
      <c r="A485" s="125" t="s">
        <v>2600</v>
      </c>
      <c r="B485" s="9">
        <f>55.1/2</f>
        <v>27.55</v>
      </c>
      <c r="C485" s="1" t="s">
        <v>5814</v>
      </c>
      <c r="D485" s="183"/>
      <c r="E485" s="183"/>
      <c r="F485" s="188"/>
      <c r="G485" s="188"/>
      <c r="H485" s="183"/>
      <c r="I485" s="183"/>
      <c r="J485" s="188"/>
      <c r="K485" s="188"/>
      <c r="L485" s="9"/>
      <c r="M485" s="9"/>
      <c r="N485" s="183">
        <f t="shared" si="59"/>
        <v>4</v>
      </c>
      <c r="O485" s="7">
        <f t="shared" si="60"/>
        <v>0.92500000000000004</v>
      </c>
      <c r="P485" s="9"/>
      <c r="Q485" s="9"/>
      <c r="R485" s="7"/>
      <c r="S485" s="126"/>
      <c r="T485" s="126"/>
      <c r="U485" s="236"/>
      <c r="V485" s="103"/>
      <c r="W485" s="9"/>
      <c r="X485" s="9"/>
      <c r="Y485" s="9"/>
      <c r="Z485" s="9"/>
      <c r="AA485" s="126"/>
      <c r="AB485" s="9"/>
      <c r="AC485" s="9"/>
      <c r="AD485" s="9"/>
      <c r="AE485" s="9"/>
      <c r="AF485" s="9"/>
      <c r="AG485" s="9"/>
      <c r="AH485" s="9"/>
      <c r="AI485" s="9"/>
      <c r="AJ485" s="7"/>
      <c r="AK485" s="7"/>
      <c r="AL485" s="7"/>
      <c r="AM485" s="7"/>
      <c r="AN485" s="7"/>
      <c r="AO485" s="7"/>
      <c r="AP485" s="7"/>
    </row>
    <row r="486" spans="1:42" ht="14.25" customHeight="1">
      <c r="A486" s="125" t="s">
        <v>2601</v>
      </c>
      <c r="B486" s="9">
        <f>52.6/2</f>
        <v>26.3</v>
      </c>
      <c r="C486" s="1" t="s">
        <v>5815</v>
      </c>
      <c r="N486" s="183">
        <f t="shared" si="59"/>
        <v>4</v>
      </c>
      <c r="O486" s="7">
        <f t="shared" si="60"/>
        <v>0.92500000000000004</v>
      </c>
    </row>
    <row r="487" spans="1:42" ht="14.25" customHeight="1">
      <c r="A487" s="125" t="s">
        <v>2602</v>
      </c>
      <c r="B487" s="9">
        <f>54/2</f>
        <v>27</v>
      </c>
      <c r="C487" s="1" t="s">
        <v>5816</v>
      </c>
      <c r="N487" s="183">
        <f t="shared" si="59"/>
        <v>4</v>
      </c>
      <c r="O487" s="7">
        <f t="shared" si="60"/>
        <v>0.92500000000000004</v>
      </c>
    </row>
    <row r="488" spans="1:42" ht="14.25" customHeight="1">
      <c r="A488" s="125" t="s">
        <v>2603</v>
      </c>
      <c r="B488" s="9">
        <f>52.5/2</f>
        <v>26.25</v>
      </c>
      <c r="C488" s="1" t="s">
        <v>5817</v>
      </c>
      <c r="N488" s="183">
        <f t="shared" si="59"/>
        <v>4</v>
      </c>
      <c r="O488" s="7">
        <f t="shared" si="60"/>
        <v>0.92500000000000004</v>
      </c>
      <c r="AP488" s="4"/>
    </row>
    <row r="489" spans="1:42" ht="14.25" customHeight="1">
      <c r="A489" s="125" t="s">
        <v>2604</v>
      </c>
      <c r="B489" s="9">
        <v>14</v>
      </c>
      <c r="C489" s="211" t="s">
        <v>5964</v>
      </c>
      <c r="N489" s="183">
        <v>3</v>
      </c>
      <c r="O489" s="7">
        <v>1.5</v>
      </c>
    </row>
    <row r="490" spans="1:42" ht="14.25" customHeight="1">
      <c r="A490" s="125" t="s">
        <v>2605</v>
      </c>
      <c r="B490" s="9">
        <v>14</v>
      </c>
      <c r="C490" s="7" t="s">
        <v>5818</v>
      </c>
      <c r="N490" s="183">
        <v>3</v>
      </c>
      <c r="O490" s="7">
        <v>1.5</v>
      </c>
      <c r="AJ490" s="211" t="s">
        <v>5964</v>
      </c>
    </row>
    <row r="491" spans="1:42" ht="14.25" customHeight="1">
      <c r="A491" s="125" t="s">
        <v>2606</v>
      </c>
      <c r="B491" s="9">
        <v>14</v>
      </c>
      <c r="C491" s="7" t="s">
        <v>5819</v>
      </c>
      <c r="N491" s="183">
        <v>3</v>
      </c>
      <c r="O491" s="7">
        <v>1.5</v>
      </c>
    </row>
    <row r="492" spans="1:42" ht="14.25" customHeight="1">
      <c r="A492" s="125" t="s">
        <v>2607</v>
      </c>
      <c r="B492" s="9">
        <v>14</v>
      </c>
      <c r="C492" s="7" t="s">
        <v>5820</v>
      </c>
      <c r="N492" s="183">
        <v>3</v>
      </c>
      <c r="O492" s="7">
        <v>1.5</v>
      </c>
    </row>
    <row r="493" spans="1:42" ht="14.25" customHeight="1">
      <c r="A493" s="125" t="s">
        <v>2608</v>
      </c>
      <c r="B493" s="9">
        <v>14</v>
      </c>
      <c r="C493" s="7" t="s">
        <v>5821</v>
      </c>
      <c r="N493" s="183">
        <v>3</v>
      </c>
      <c r="O493" s="7">
        <v>1.5</v>
      </c>
    </row>
    <row r="494" spans="1:42" ht="14.25" customHeight="1">
      <c r="A494" s="125" t="s">
        <v>2609</v>
      </c>
      <c r="B494" s="9">
        <v>14</v>
      </c>
      <c r="C494" s="7" t="s">
        <v>5822</v>
      </c>
      <c r="N494" s="183">
        <v>3</v>
      </c>
      <c r="O494" s="7">
        <v>1.5</v>
      </c>
    </row>
    <row r="495" spans="1:42" ht="14.25" customHeight="1">
      <c r="A495" s="125" t="s">
        <v>2610</v>
      </c>
      <c r="B495" s="9">
        <v>14</v>
      </c>
      <c r="C495" s="7" t="s">
        <v>5823</v>
      </c>
      <c r="N495" s="183">
        <v>3</v>
      </c>
      <c r="O495" s="7">
        <v>1.5</v>
      </c>
    </row>
    <row r="496" spans="1:42" ht="14.25" customHeight="1">
      <c r="A496" s="125" t="s">
        <v>2611</v>
      </c>
      <c r="B496" s="9">
        <v>13</v>
      </c>
      <c r="C496" s="211" t="s">
        <v>5824</v>
      </c>
      <c r="N496" s="183">
        <v>3</v>
      </c>
      <c r="O496" s="7">
        <v>0.9</v>
      </c>
    </row>
    <row r="497" spans="1:42" ht="14.25" customHeight="1">
      <c r="A497" s="125" t="s">
        <v>2612</v>
      </c>
      <c r="B497" s="9">
        <v>13</v>
      </c>
      <c r="C497" s="7" t="s">
        <v>5825</v>
      </c>
      <c r="N497" s="183">
        <v>3</v>
      </c>
      <c r="O497" s="7">
        <v>0.9</v>
      </c>
      <c r="AJ497" s="211" t="s">
        <v>5824</v>
      </c>
    </row>
    <row r="498" spans="1:42" ht="14.25" customHeight="1">
      <c r="A498" s="125" t="s">
        <v>2613</v>
      </c>
      <c r="B498" s="9">
        <v>13</v>
      </c>
      <c r="C498" s="7" t="s">
        <v>5826</v>
      </c>
      <c r="N498" s="183">
        <v>3</v>
      </c>
      <c r="O498" s="7">
        <v>0.9</v>
      </c>
    </row>
    <row r="499" spans="1:42" ht="14.25" customHeight="1">
      <c r="A499" s="125" t="s">
        <v>2614</v>
      </c>
      <c r="B499" s="9">
        <v>13</v>
      </c>
      <c r="C499" s="7" t="s">
        <v>5827</v>
      </c>
      <c r="N499" s="183">
        <v>3</v>
      </c>
      <c r="O499" s="7">
        <v>0.9</v>
      </c>
      <c r="AP499" s="4"/>
    </row>
    <row r="500" spans="1:42" ht="14.25" customHeight="1">
      <c r="A500" s="125" t="s">
        <v>2615</v>
      </c>
      <c r="B500" s="9">
        <v>13</v>
      </c>
      <c r="C500" s="7" t="s">
        <v>5828</v>
      </c>
      <c r="N500" s="183">
        <v>3</v>
      </c>
      <c r="O500" s="7">
        <v>0.9</v>
      </c>
    </row>
    <row r="501" spans="1:42" ht="14.25" customHeight="1">
      <c r="A501" s="125" t="s">
        <v>2616</v>
      </c>
      <c r="B501" s="9">
        <v>13</v>
      </c>
      <c r="C501" s="7" t="s">
        <v>5829</v>
      </c>
      <c r="N501" s="183">
        <v>3</v>
      </c>
      <c r="O501" s="7">
        <v>0.9</v>
      </c>
    </row>
    <row r="502" spans="1:42" ht="14.25" customHeight="1">
      <c r="A502" s="125" t="s">
        <v>2617</v>
      </c>
      <c r="B502" s="9">
        <v>6</v>
      </c>
      <c r="C502" s="211" t="s">
        <v>5965</v>
      </c>
      <c r="N502" s="183">
        <v>3</v>
      </c>
      <c r="O502" s="7">
        <v>1.6</v>
      </c>
    </row>
    <row r="503" spans="1:42" ht="14.25" customHeight="1">
      <c r="A503" s="125" t="s">
        <v>2618</v>
      </c>
      <c r="B503" s="9">
        <v>6</v>
      </c>
      <c r="C503" s="7" t="s">
        <v>5830</v>
      </c>
      <c r="N503" s="183">
        <v>3</v>
      </c>
      <c r="O503" s="7">
        <v>1.6</v>
      </c>
      <c r="AJ503" s="211" t="s">
        <v>5965</v>
      </c>
    </row>
    <row r="504" spans="1:42" ht="14.25" customHeight="1">
      <c r="A504" s="125" t="s">
        <v>2619</v>
      </c>
      <c r="B504" s="9">
        <v>6</v>
      </c>
      <c r="C504" s="7" t="s">
        <v>5831</v>
      </c>
      <c r="N504" s="183">
        <v>3</v>
      </c>
      <c r="O504" s="7">
        <v>1.6</v>
      </c>
    </row>
    <row r="505" spans="1:42" ht="14.25" customHeight="1">
      <c r="A505" s="125" t="s">
        <v>2620</v>
      </c>
      <c r="B505" s="9">
        <v>6</v>
      </c>
      <c r="C505" s="7" t="s">
        <v>5832</v>
      </c>
      <c r="N505" s="183">
        <v>3</v>
      </c>
      <c r="O505" s="7">
        <v>1.6</v>
      </c>
    </row>
    <row r="506" spans="1:42" s="4" customFormat="1" ht="14.25" customHeight="1">
      <c r="A506" s="125" t="s">
        <v>2621</v>
      </c>
      <c r="B506" s="9">
        <v>6</v>
      </c>
      <c r="C506" s="7" t="s">
        <v>5833</v>
      </c>
      <c r="D506" s="183"/>
      <c r="E506" s="183"/>
      <c r="F506" s="188"/>
      <c r="G506" s="188"/>
      <c r="H506" s="183"/>
      <c r="I506" s="183"/>
      <c r="J506" s="188"/>
      <c r="K506" s="188"/>
      <c r="L506" s="9"/>
      <c r="M506" s="9"/>
      <c r="N506" s="183">
        <v>3</v>
      </c>
      <c r="O506" s="7">
        <v>1.6</v>
      </c>
      <c r="P506" s="9"/>
      <c r="Q506" s="9"/>
      <c r="R506" s="7"/>
      <c r="S506" s="126"/>
      <c r="T506" s="126"/>
      <c r="U506" s="236"/>
      <c r="V506" s="103"/>
      <c r="W506" s="9"/>
      <c r="X506" s="9"/>
      <c r="Y506" s="9"/>
      <c r="Z506" s="9"/>
      <c r="AA506" s="126"/>
      <c r="AB506" s="9"/>
      <c r="AC506" s="9"/>
      <c r="AD506" s="9"/>
      <c r="AE506" s="9"/>
      <c r="AF506" s="9"/>
      <c r="AG506" s="9"/>
      <c r="AH506" s="9"/>
      <c r="AI506" s="9"/>
      <c r="AJ506" s="7"/>
      <c r="AK506" s="7"/>
      <c r="AL506" s="7"/>
      <c r="AM506" s="7"/>
      <c r="AN506" s="7"/>
      <c r="AO506" s="7"/>
      <c r="AP506" s="7"/>
    </row>
    <row r="507" spans="1:42" ht="14.25" customHeight="1">
      <c r="A507" s="133" t="s">
        <v>2426</v>
      </c>
      <c r="B507" s="9">
        <v>57.6</v>
      </c>
      <c r="C507" s="211" t="s">
        <v>1259</v>
      </c>
      <c r="N507" s="183">
        <v>20</v>
      </c>
      <c r="O507" s="7">
        <v>1.2</v>
      </c>
    </row>
    <row r="508" spans="1:42" ht="14.25" customHeight="1">
      <c r="A508" s="133" t="s">
        <v>2427</v>
      </c>
      <c r="B508" s="9">
        <v>61.9</v>
      </c>
      <c r="C508" s="7" t="s">
        <v>1260</v>
      </c>
      <c r="N508" s="183">
        <v>20</v>
      </c>
      <c r="O508" s="7">
        <v>1.2</v>
      </c>
      <c r="AJ508" s="211" t="s">
        <v>1259</v>
      </c>
    </row>
    <row r="509" spans="1:42" ht="14.25" customHeight="1">
      <c r="A509" s="133" t="s">
        <v>2428</v>
      </c>
      <c r="B509" s="9">
        <v>80.900000000000006</v>
      </c>
      <c r="C509" s="7" t="s">
        <v>1261</v>
      </c>
      <c r="N509" s="183">
        <v>20</v>
      </c>
      <c r="O509" s="7">
        <v>1.4</v>
      </c>
    </row>
    <row r="510" spans="1:42" ht="14.25" customHeight="1">
      <c r="A510" s="133" t="s">
        <v>2429</v>
      </c>
      <c r="B510" s="9">
        <v>81.8</v>
      </c>
      <c r="C510" s="7" t="s">
        <v>1262</v>
      </c>
      <c r="N510" s="183">
        <v>20</v>
      </c>
      <c r="O510" s="7">
        <v>1.4</v>
      </c>
    </row>
    <row r="511" spans="1:42" ht="14.25" customHeight="1">
      <c r="A511" s="125">
        <v>266.01</v>
      </c>
      <c r="B511" s="9">
        <v>10</v>
      </c>
      <c r="C511" s="211" t="s">
        <v>1256</v>
      </c>
      <c r="N511" s="183">
        <v>30</v>
      </c>
      <c r="O511" s="7">
        <v>0.57999999999999996</v>
      </c>
    </row>
    <row r="512" spans="1:42" ht="14.25" customHeight="1">
      <c r="A512" s="125">
        <v>266.02</v>
      </c>
      <c r="B512" s="9">
        <v>4</v>
      </c>
      <c r="C512" s="7" t="s">
        <v>1257</v>
      </c>
      <c r="N512" s="183">
        <v>50</v>
      </c>
      <c r="O512" s="7">
        <v>0.25</v>
      </c>
      <c r="AJ512" s="211" t="s">
        <v>1256</v>
      </c>
      <c r="AP512" s="4"/>
    </row>
    <row r="513" spans="1:42" ht="14.25" customHeight="1">
      <c r="A513" s="125" t="s">
        <v>2570</v>
      </c>
      <c r="B513" s="9">
        <v>13.5</v>
      </c>
      <c r="C513" s="211" t="s">
        <v>1548</v>
      </c>
      <c r="N513" s="183">
        <v>6</v>
      </c>
      <c r="O513" s="7">
        <v>0.5</v>
      </c>
    </row>
    <row r="514" spans="1:42" ht="14.25" customHeight="1">
      <c r="A514" s="125" t="s">
        <v>2571</v>
      </c>
      <c r="B514" s="9">
        <v>14.5</v>
      </c>
      <c r="C514" s="7" t="s">
        <v>1549</v>
      </c>
      <c r="N514" s="183">
        <v>6</v>
      </c>
      <c r="O514" s="7">
        <v>0.5</v>
      </c>
      <c r="AJ514" s="211" t="s">
        <v>1548</v>
      </c>
    </row>
    <row r="515" spans="1:42" ht="14.25" customHeight="1">
      <c r="A515" s="125" t="s">
        <v>2572</v>
      </c>
      <c r="B515" s="9">
        <v>20.399999999999999</v>
      </c>
      <c r="C515" s="211" t="s">
        <v>1550</v>
      </c>
      <c r="N515" s="183">
        <v>3</v>
      </c>
      <c r="O515" s="7">
        <v>0.52</v>
      </c>
    </row>
    <row r="516" spans="1:42" ht="14.25" customHeight="1">
      <c r="A516" s="125" t="s">
        <v>2573</v>
      </c>
      <c r="B516" s="9">
        <v>20.399999999999999</v>
      </c>
      <c r="C516" s="7" t="s">
        <v>1551</v>
      </c>
      <c r="N516" s="183">
        <v>3</v>
      </c>
      <c r="O516" s="7">
        <v>0.52</v>
      </c>
      <c r="AJ516" s="211" t="s">
        <v>1550</v>
      </c>
    </row>
    <row r="517" spans="1:42" s="4" customFormat="1" ht="14.25" customHeight="1">
      <c r="A517" s="125" t="s">
        <v>2574</v>
      </c>
      <c r="B517" s="9">
        <v>20.399999999999999</v>
      </c>
      <c r="C517" s="7" t="s">
        <v>1552</v>
      </c>
      <c r="D517" s="183"/>
      <c r="E517" s="183"/>
      <c r="F517" s="188"/>
      <c r="G517" s="188"/>
      <c r="H517" s="183"/>
      <c r="I517" s="183"/>
      <c r="J517" s="188"/>
      <c r="K517" s="188"/>
      <c r="L517" s="9"/>
      <c r="M517" s="9"/>
      <c r="N517" s="183">
        <v>3</v>
      </c>
      <c r="O517" s="7">
        <v>0.52</v>
      </c>
      <c r="P517" s="9"/>
      <c r="Q517" s="9"/>
      <c r="R517" s="7"/>
      <c r="S517" s="126"/>
      <c r="T517" s="126"/>
      <c r="U517" s="236"/>
      <c r="V517" s="103"/>
      <c r="W517" s="9"/>
      <c r="X517" s="9"/>
      <c r="Y517" s="9"/>
      <c r="Z517" s="9"/>
      <c r="AA517" s="126"/>
      <c r="AB517" s="9"/>
      <c r="AC517" s="9"/>
      <c r="AD517" s="9"/>
      <c r="AE517" s="9"/>
      <c r="AF517" s="9"/>
      <c r="AG517" s="9"/>
      <c r="AH517" s="9"/>
      <c r="AI517" s="9"/>
      <c r="AJ517" s="7"/>
      <c r="AK517" s="7"/>
      <c r="AL517" s="7"/>
      <c r="AM517" s="7"/>
      <c r="AN517" s="7"/>
      <c r="AO517" s="7"/>
      <c r="AP517" s="7"/>
    </row>
    <row r="518" spans="1:42" ht="14.25" customHeight="1">
      <c r="A518" s="125" t="s">
        <v>2575</v>
      </c>
      <c r="B518" s="9">
        <v>41.5</v>
      </c>
      <c r="C518" s="211" t="s">
        <v>1554</v>
      </c>
      <c r="N518" s="183">
        <v>3</v>
      </c>
      <c r="O518" s="7">
        <v>2.4</v>
      </c>
    </row>
    <row r="519" spans="1:42" ht="14.25" customHeight="1">
      <c r="A519" s="125" t="s">
        <v>2576</v>
      </c>
      <c r="B519" s="9">
        <v>42.9</v>
      </c>
      <c r="C519" s="7" t="s">
        <v>1555</v>
      </c>
      <c r="N519" s="183">
        <v>3</v>
      </c>
      <c r="O519" s="7">
        <v>2.4</v>
      </c>
      <c r="AJ519" s="211" t="s">
        <v>1554</v>
      </c>
    </row>
    <row r="520" spans="1:42" ht="14.25" customHeight="1">
      <c r="A520" s="125" t="s">
        <v>2577</v>
      </c>
      <c r="B520" s="9">
        <v>65.400000000000006</v>
      </c>
      <c r="C520" s="7" t="s">
        <v>1553</v>
      </c>
      <c r="N520" s="183">
        <v>3</v>
      </c>
      <c r="O520" s="7">
        <v>3.2</v>
      </c>
    </row>
    <row r="521" spans="1:42" ht="14.25" customHeight="1">
      <c r="A521" s="125" t="s">
        <v>2578</v>
      </c>
      <c r="B521" s="9">
        <v>43</v>
      </c>
      <c r="C521" s="211" t="s">
        <v>6057</v>
      </c>
      <c r="N521" s="183">
        <v>3</v>
      </c>
      <c r="O521" s="7">
        <v>0.9</v>
      </c>
    </row>
    <row r="522" spans="1:42" ht="14.25" customHeight="1">
      <c r="A522" s="125" t="s">
        <v>2579</v>
      </c>
      <c r="B522" s="9">
        <v>43</v>
      </c>
      <c r="C522" s="7" t="s">
        <v>6058</v>
      </c>
      <c r="N522" s="183">
        <v>3</v>
      </c>
      <c r="O522" s="7">
        <v>0.9</v>
      </c>
      <c r="AJ522" s="211" t="s">
        <v>6057</v>
      </c>
    </row>
    <row r="523" spans="1:42" ht="14.25" customHeight="1">
      <c r="A523" s="125" t="s">
        <v>2580</v>
      </c>
      <c r="B523" s="9">
        <v>43</v>
      </c>
      <c r="C523" s="7" t="s">
        <v>6059</v>
      </c>
      <c r="N523" s="183">
        <v>3</v>
      </c>
      <c r="O523" s="7">
        <v>0.9</v>
      </c>
    </row>
    <row r="524" spans="1:42" ht="14.25" customHeight="1">
      <c r="A524" s="125" t="s">
        <v>2581</v>
      </c>
      <c r="B524" s="9">
        <v>43</v>
      </c>
      <c r="C524" s="7" t="s">
        <v>6060</v>
      </c>
      <c r="N524" s="183">
        <v>3</v>
      </c>
      <c r="O524" s="7">
        <v>0.9</v>
      </c>
    </row>
    <row r="525" spans="1:42" ht="14.25" customHeight="1">
      <c r="A525" s="125" t="s">
        <v>2582</v>
      </c>
      <c r="B525" s="9">
        <v>43</v>
      </c>
      <c r="C525" s="7" t="s">
        <v>6061</v>
      </c>
      <c r="N525" s="183">
        <v>3</v>
      </c>
      <c r="O525" s="7">
        <v>0.9</v>
      </c>
    </row>
    <row r="526" spans="1:42" ht="14.25" customHeight="1">
      <c r="A526" s="125" t="s">
        <v>2583</v>
      </c>
      <c r="B526" s="9">
        <v>43</v>
      </c>
      <c r="C526" s="7" t="s">
        <v>6062</v>
      </c>
      <c r="N526" s="183">
        <v>3</v>
      </c>
      <c r="O526" s="7">
        <v>0.9</v>
      </c>
    </row>
    <row r="527" spans="1:42" ht="14.25" customHeight="1">
      <c r="A527" s="125" t="s">
        <v>2584</v>
      </c>
      <c r="B527" s="9">
        <v>43</v>
      </c>
      <c r="C527" s="7" t="s">
        <v>6063</v>
      </c>
      <c r="N527" s="183">
        <v>3</v>
      </c>
      <c r="O527" s="7">
        <v>0.9</v>
      </c>
    </row>
    <row r="528" spans="1:42" ht="14.25" customHeight="1">
      <c r="A528" s="125" t="s">
        <v>2585</v>
      </c>
      <c r="B528" s="9">
        <v>43</v>
      </c>
      <c r="C528" s="198" t="s">
        <v>6074</v>
      </c>
      <c r="N528" s="183">
        <v>3</v>
      </c>
      <c r="O528" s="7">
        <v>0.9</v>
      </c>
    </row>
    <row r="529" spans="1:42" ht="14.25" customHeight="1">
      <c r="A529" s="116" t="s">
        <v>2586</v>
      </c>
      <c r="B529" s="9">
        <v>20</v>
      </c>
      <c r="C529" s="211" t="s">
        <v>6064</v>
      </c>
      <c r="N529" s="183">
        <v>3</v>
      </c>
      <c r="O529" s="7">
        <v>0.9</v>
      </c>
    </row>
    <row r="530" spans="1:42" ht="14.25" customHeight="1">
      <c r="A530" s="116" t="s">
        <v>2587</v>
      </c>
      <c r="B530" s="9">
        <v>20</v>
      </c>
      <c r="C530" s="7" t="s">
        <v>6065</v>
      </c>
      <c r="N530" s="183">
        <v>3</v>
      </c>
      <c r="O530" s="7">
        <v>0.9</v>
      </c>
      <c r="AJ530" s="211" t="s">
        <v>6064</v>
      </c>
    </row>
    <row r="531" spans="1:42" ht="14.25" customHeight="1">
      <c r="A531" s="116" t="s">
        <v>2588</v>
      </c>
      <c r="B531" s="9">
        <v>20</v>
      </c>
      <c r="C531" s="7" t="s">
        <v>6066</v>
      </c>
      <c r="N531" s="183">
        <v>3</v>
      </c>
      <c r="O531" s="7">
        <v>0.9</v>
      </c>
    </row>
    <row r="532" spans="1:42" ht="14.25" customHeight="1">
      <c r="A532" s="116" t="s">
        <v>2589</v>
      </c>
      <c r="B532" s="9">
        <v>20</v>
      </c>
      <c r="C532" s="7" t="s">
        <v>6067</v>
      </c>
      <c r="N532" s="183">
        <v>3</v>
      </c>
      <c r="O532" s="7">
        <v>0.9</v>
      </c>
    </row>
    <row r="533" spans="1:42" ht="14.25" customHeight="1">
      <c r="A533" s="116" t="s">
        <v>2590</v>
      </c>
      <c r="B533" s="9">
        <v>20</v>
      </c>
      <c r="C533" s="7" t="s">
        <v>6068</v>
      </c>
      <c r="N533" s="183">
        <v>3</v>
      </c>
      <c r="O533" s="7">
        <v>0.9</v>
      </c>
    </row>
    <row r="534" spans="1:42" ht="14.25" customHeight="1">
      <c r="A534" s="116" t="s">
        <v>2591</v>
      </c>
      <c r="B534" s="9">
        <v>20</v>
      </c>
      <c r="C534" s="7" t="s">
        <v>6069</v>
      </c>
      <c r="N534" s="183">
        <v>3</v>
      </c>
      <c r="O534" s="7">
        <v>0.9</v>
      </c>
    </row>
    <row r="535" spans="1:42" ht="14.25" customHeight="1">
      <c r="A535" s="116" t="s">
        <v>2592</v>
      </c>
      <c r="B535" s="9">
        <v>20</v>
      </c>
      <c r="C535" s="7" t="s">
        <v>6070</v>
      </c>
      <c r="N535" s="183">
        <v>3</v>
      </c>
      <c r="O535" s="7">
        <v>0.9</v>
      </c>
    </row>
    <row r="536" spans="1:42" ht="14.25" customHeight="1">
      <c r="A536" s="116" t="s">
        <v>2593</v>
      </c>
      <c r="B536" s="9">
        <v>20</v>
      </c>
      <c r="C536" s="7" t="s">
        <v>6071</v>
      </c>
      <c r="N536" s="183">
        <v>3</v>
      </c>
      <c r="O536" s="7">
        <v>0.9</v>
      </c>
    </row>
    <row r="537" spans="1:42" ht="14.25" customHeight="1">
      <c r="A537" s="116" t="s">
        <v>2594</v>
      </c>
      <c r="B537" s="9">
        <v>20</v>
      </c>
      <c r="C537" s="7" t="s">
        <v>6072</v>
      </c>
      <c r="N537" s="183">
        <v>3</v>
      </c>
      <c r="O537" s="7">
        <v>0.9</v>
      </c>
    </row>
    <row r="538" spans="1:42" ht="14.25" customHeight="1">
      <c r="A538" s="116" t="s">
        <v>2595</v>
      </c>
      <c r="B538" s="9">
        <v>20</v>
      </c>
      <c r="C538" s="7" t="s">
        <v>6073</v>
      </c>
      <c r="N538" s="183">
        <v>3</v>
      </c>
      <c r="O538" s="7">
        <v>0.9</v>
      </c>
    </row>
    <row r="539" spans="1:42" ht="14.25" customHeight="1">
      <c r="A539" s="112">
        <v>268.01</v>
      </c>
      <c r="B539" s="9">
        <f>87.6/20</f>
        <v>4.38</v>
      </c>
      <c r="C539" s="212" t="s">
        <v>6075</v>
      </c>
      <c r="D539" s="184"/>
      <c r="E539" s="184"/>
      <c r="H539" s="184"/>
      <c r="I539" s="184"/>
      <c r="L539" s="3"/>
      <c r="M539" s="3"/>
      <c r="N539" s="184">
        <v>20</v>
      </c>
      <c r="O539" s="6">
        <v>0.44</v>
      </c>
      <c r="P539" s="222"/>
      <c r="Q539" s="222"/>
    </row>
    <row r="540" spans="1:42" ht="14.25" customHeight="1">
      <c r="A540" s="112">
        <v>268.02</v>
      </c>
      <c r="B540" s="107">
        <f>92.7/20</f>
        <v>4.6349999999999998</v>
      </c>
      <c r="C540" s="1" t="s">
        <v>1822</v>
      </c>
      <c r="D540" s="184"/>
      <c r="E540" s="184"/>
      <c r="H540" s="184"/>
      <c r="I540" s="184"/>
      <c r="L540" s="3"/>
      <c r="M540" s="3"/>
      <c r="N540" s="184">
        <v>20</v>
      </c>
      <c r="O540" s="6">
        <v>0.44</v>
      </c>
      <c r="P540" s="222"/>
      <c r="Q540" s="222"/>
      <c r="AJ540" s="212" t="s">
        <v>6075</v>
      </c>
    </row>
    <row r="541" spans="1:42" ht="14.25" customHeight="1">
      <c r="A541" s="112">
        <v>268.02999999999997</v>
      </c>
      <c r="B541" s="9">
        <f>94.6/20</f>
        <v>4.7299999999999995</v>
      </c>
      <c r="C541" s="1" t="s">
        <v>1820</v>
      </c>
      <c r="D541" s="184"/>
      <c r="E541" s="184"/>
      <c r="H541" s="184"/>
      <c r="I541" s="184"/>
      <c r="L541" s="3"/>
      <c r="M541" s="3"/>
      <c r="N541" s="184">
        <v>20</v>
      </c>
      <c r="O541" s="6">
        <v>0.44</v>
      </c>
      <c r="P541" s="222"/>
      <c r="Q541" s="222"/>
    </row>
    <row r="542" spans="1:42" ht="14.25" customHeight="1">
      <c r="A542" s="112">
        <v>268.04000000000002</v>
      </c>
      <c r="B542" s="107">
        <f>99.3/20</f>
        <v>4.9649999999999999</v>
      </c>
      <c r="C542" s="1" t="s">
        <v>1821</v>
      </c>
      <c r="D542" s="184"/>
      <c r="E542" s="184"/>
      <c r="H542" s="184"/>
      <c r="I542" s="184"/>
      <c r="L542" s="3"/>
      <c r="M542" s="3"/>
      <c r="N542" s="184">
        <v>20</v>
      </c>
      <c r="O542" s="6">
        <v>0.44</v>
      </c>
      <c r="P542" s="222"/>
      <c r="Q542" s="222"/>
    </row>
    <row r="543" spans="1:42" ht="14.25" customHeight="1">
      <c r="A543" s="112">
        <v>268.05</v>
      </c>
      <c r="B543" s="9">
        <v>8.6</v>
      </c>
      <c r="C543" s="212" t="s">
        <v>6077</v>
      </c>
      <c r="D543" s="184"/>
      <c r="E543" s="184"/>
      <c r="H543" s="184"/>
      <c r="I543" s="184"/>
      <c r="L543" s="3"/>
      <c r="M543" s="3"/>
      <c r="N543" s="184">
        <v>3</v>
      </c>
      <c r="O543" s="6">
        <v>0.6</v>
      </c>
      <c r="P543" s="222"/>
      <c r="Q543" s="222"/>
    </row>
    <row r="544" spans="1:42" ht="14.25" customHeight="1">
      <c r="A544" s="112">
        <v>268.06</v>
      </c>
      <c r="B544" s="9">
        <v>8.6</v>
      </c>
      <c r="C544" s="1" t="s">
        <v>1806</v>
      </c>
      <c r="D544" s="184"/>
      <c r="E544" s="184"/>
      <c r="H544" s="184"/>
      <c r="I544" s="184"/>
      <c r="L544" s="3"/>
      <c r="M544" s="3"/>
      <c r="N544" s="184">
        <v>3</v>
      </c>
      <c r="O544" s="6">
        <v>0.6</v>
      </c>
      <c r="P544" s="222"/>
      <c r="Q544" s="222"/>
      <c r="AJ544" s="212" t="s">
        <v>6077</v>
      </c>
      <c r="AP544" s="4"/>
    </row>
    <row r="545" spans="1:36" ht="14.25" customHeight="1">
      <c r="A545" s="112">
        <v>268.07</v>
      </c>
      <c r="B545" s="9">
        <v>8.6</v>
      </c>
      <c r="C545" s="1" t="s">
        <v>1807</v>
      </c>
      <c r="D545" s="184"/>
      <c r="E545" s="184"/>
      <c r="H545" s="184"/>
      <c r="I545" s="184"/>
      <c r="L545" s="3"/>
      <c r="M545" s="3"/>
      <c r="N545" s="184">
        <v>3</v>
      </c>
      <c r="O545" s="6">
        <v>0.6</v>
      </c>
      <c r="P545" s="222"/>
      <c r="Q545" s="222"/>
    </row>
    <row r="546" spans="1:36" ht="14.25" customHeight="1">
      <c r="A546" s="112">
        <v>268.08</v>
      </c>
      <c r="B546" s="9">
        <v>8.6</v>
      </c>
      <c r="C546" s="1" t="s">
        <v>1808</v>
      </c>
      <c r="D546" s="184"/>
      <c r="E546" s="184"/>
      <c r="H546" s="184"/>
      <c r="I546" s="184"/>
      <c r="L546" s="3"/>
      <c r="M546" s="3"/>
      <c r="N546" s="184">
        <v>3</v>
      </c>
      <c r="O546" s="6">
        <v>0.6</v>
      </c>
      <c r="P546" s="222"/>
      <c r="Q546" s="222"/>
    </row>
    <row r="547" spans="1:36" ht="14.25" customHeight="1">
      <c r="A547" s="112">
        <v>268.08999999999997</v>
      </c>
      <c r="B547" s="9">
        <v>8.6</v>
      </c>
      <c r="C547" s="1" t="s">
        <v>1809</v>
      </c>
      <c r="D547" s="184"/>
      <c r="E547" s="184"/>
      <c r="H547" s="184"/>
      <c r="I547" s="184"/>
      <c r="L547" s="3"/>
      <c r="M547" s="3"/>
      <c r="N547" s="184">
        <v>3</v>
      </c>
      <c r="O547" s="6">
        <v>0.6</v>
      </c>
      <c r="P547" s="222"/>
      <c r="Q547" s="222"/>
    </row>
    <row r="548" spans="1:36" ht="14.25" customHeight="1">
      <c r="A548" s="114" t="s">
        <v>2316</v>
      </c>
      <c r="B548" s="9">
        <v>8.6</v>
      </c>
      <c r="C548" s="1" t="s">
        <v>1810</v>
      </c>
      <c r="D548" s="184"/>
      <c r="E548" s="184"/>
      <c r="H548" s="184"/>
      <c r="I548" s="184"/>
      <c r="L548" s="3"/>
      <c r="M548" s="3"/>
      <c r="N548" s="184">
        <v>3</v>
      </c>
      <c r="O548" s="6">
        <v>0.6</v>
      </c>
      <c r="P548" s="222"/>
      <c r="Q548" s="222"/>
    </row>
    <row r="549" spans="1:36" ht="14.25" customHeight="1">
      <c r="A549" s="114" t="s">
        <v>2317</v>
      </c>
      <c r="B549" s="9">
        <v>8.6</v>
      </c>
      <c r="C549" s="1" t="s">
        <v>1811</v>
      </c>
      <c r="D549" s="184"/>
      <c r="E549" s="184"/>
      <c r="H549" s="184"/>
      <c r="I549" s="184"/>
      <c r="L549" s="3"/>
      <c r="M549" s="3"/>
      <c r="N549" s="184">
        <v>3</v>
      </c>
      <c r="O549" s="6">
        <v>0.6</v>
      </c>
      <c r="P549" s="222"/>
      <c r="Q549" s="222"/>
    </row>
    <row r="550" spans="1:36" ht="14.25" customHeight="1">
      <c r="A550" s="114" t="s">
        <v>2318</v>
      </c>
      <c r="B550" s="9">
        <v>8.6</v>
      </c>
      <c r="C550" s="1" t="s">
        <v>1812</v>
      </c>
      <c r="D550" s="184"/>
      <c r="E550" s="184"/>
      <c r="H550" s="184"/>
      <c r="I550" s="184"/>
      <c r="L550" s="3"/>
      <c r="M550" s="3"/>
      <c r="N550" s="184">
        <v>3</v>
      </c>
      <c r="O550" s="6">
        <v>0.6</v>
      </c>
      <c r="P550" s="222"/>
      <c r="Q550" s="222"/>
    </row>
    <row r="551" spans="1:36" ht="14.25" customHeight="1">
      <c r="A551" s="114" t="s">
        <v>2319</v>
      </c>
      <c r="B551" s="9">
        <v>8.6</v>
      </c>
      <c r="C551" s="1" t="s">
        <v>1813</v>
      </c>
      <c r="D551" s="184"/>
      <c r="E551" s="184"/>
      <c r="H551" s="184"/>
      <c r="I551" s="184"/>
      <c r="L551" s="3"/>
      <c r="M551" s="3"/>
      <c r="N551" s="184">
        <v>3</v>
      </c>
      <c r="O551" s="6">
        <v>0.6</v>
      </c>
      <c r="P551" s="222"/>
      <c r="Q551" s="222"/>
    </row>
    <row r="552" spans="1:36" ht="14.25" customHeight="1">
      <c r="A552" s="114" t="s">
        <v>2320</v>
      </c>
      <c r="B552" s="9">
        <v>8.6</v>
      </c>
      <c r="C552" s="1" t="s">
        <v>1814</v>
      </c>
      <c r="D552" s="184"/>
      <c r="E552" s="184"/>
      <c r="H552" s="184"/>
      <c r="I552" s="184"/>
      <c r="L552" s="3"/>
      <c r="M552" s="3"/>
      <c r="N552" s="184">
        <v>3</v>
      </c>
      <c r="O552" s="6">
        <v>0.6</v>
      </c>
      <c r="P552" s="222"/>
      <c r="Q552" s="222"/>
    </row>
    <row r="553" spans="1:36" ht="14.25" customHeight="1">
      <c r="A553" s="114" t="s">
        <v>2321</v>
      </c>
      <c r="B553" s="9">
        <v>8.6</v>
      </c>
      <c r="C553" s="1" t="s">
        <v>1815</v>
      </c>
      <c r="D553" s="184"/>
      <c r="E553" s="184"/>
      <c r="H553" s="184"/>
      <c r="I553" s="184"/>
      <c r="L553" s="3"/>
      <c r="M553" s="3"/>
      <c r="N553" s="184">
        <v>3</v>
      </c>
      <c r="O553" s="6">
        <v>0.6</v>
      </c>
      <c r="P553" s="222"/>
      <c r="Q553" s="222"/>
    </row>
    <row r="554" spans="1:36" ht="14.25" customHeight="1">
      <c r="A554" s="114" t="s">
        <v>2322</v>
      </c>
      <c r="B554" s="9">
        <v>8.6</v>
      </c>
      <c r="C554" s="196" t="s">
        <v>6079</v>
      </c>
      <c r="D554" s="184"/>
      <c r="E554" s="184"/>
      <c r="H554" s="184"/>
      <c r="I554" s="184"/>
      <c r="L554" s="3"/>
      <c r="M554" s="3"/>
      <c r="N554" s="184">
        <v>3</v>
      </c>
      <c r="O554" s="6">
        <v>0.6</v>
      </c>
      <c r="P554" s="222"/>
      <c r="Q554" s="222"/>
    </row>
    <row r="555" spans="1:36" ht="14.25" customHeight="1">
      <c r="A555" s="114" t="s">
        <v>2323</v>
      </c>
      <c r="B555" s="9">
        <v>8.6</v>
      </c>
      <c r="C555" s="1" t="s">
        <v>1817</v>
      </c>
      <c r="D555" s="184"/>
      <c r="E555" s="184"/>
      <c r="H555" s="184"/>
      <c r="I555" s="184"/>
      <c r="L555" s="3"/>
      <c r="M555" s="3"/>
      <c r="N555" s="184">
        <v>3</v>
      </c>
      <c r="O555" s="6">
        <v>0.6</v>
      </c>
      <c r="P555" s="222"/>
      <c r="Q555" s="222"/>
    </row>
    <row r="556" spans="1:36" ht="14.25" customHeight="1">
      <c r="A556" s="114" t="s">
        <v>2324</v>
      </c>
      <c r="B556" s="9">
        <v>8.6</v>
      </c>
      <c r="C556" s="1" t="s">
        <v>1818</v>
      </c>
      <c r="D556" s="184"/>
      <c r="E556" s="184"/>
      <c r="H556" s="184"/>
      <c r="I556" s="184"/>
      <c r="L556" s="3"/>
      <c r="M556" s="3"/>
      <c r="N556" s="184">
        <v>3</v>
      </c>
      <c r="O556" s="6">
        <v>0.6</v>
      </c>
      <c r="P556" s="222"/>
      <c r="Q556" s="222"/>
    </row>
    <row r="557" spans="1:36" ht="14.25" customHeight="1">
      <c r="A557" s="114" t="s">
        <v>2325</v>
      </c>
      <c r="B557" s="9">
        <v>19.100000000000001</v>
      </c>
      <c r="C557" s="211" t="s">
        <v>1823</v>
      </c>
      <c r="D557" s="184"/>
      <c r="E557" s="184"/>
      <c r="H557" s="184"/>
      <c r="I557" s="184"/>
      <c r="L557" s="3"/>
      <c r="M557" s="3"/>
      <c r="N557" s="184">
        <v>2</v>
      </c>
      <c r="O557" s="6">
        <v>1.95</v>
      </c>
      <c r="P557" s="222"/>
      <c r="Q557" s="222"/>
    </row>
    <row r="558" spans="1:36" ht="14.25" customHeight="1">
      <c r="A558" s="114" t="s">
        <v>2326</v>
      </c>
      <c r="B558" s="9">
        <v>19.100000000000001</v>
      </c>
      <c r="C558" s="1" t="s">
        <v>1824</v>
      </c>
      <c r="D558" s="184"/>
      <c r="E558" s="184"/>
      <c r="H558" s="184"/>
      <c r="I558" s="184"/>
      <c r="L558" s="3"/>
      <c r="M558" s="3"/>
      <c r="N558" s="184">
        <v>2</v>
      </c>
      <c r="O558" s="6">
        <v>1.95</v>
      </c>
      <c r="P558" s="222"/>
      <c r="Q558" s="222"/>
      <c r="AJ558" s="211" t="s">
        <v>1823</v>
      </c>
    </row>
    <row r="559" spans="1:36" ht="14.25" customHeight="1">
      <c r="A559" s="114" t="s">
        <v>2327</v>
      </c>
      <c r="B559" s="9">
        <v>19.100000000000001</v>
      </c>
      <c r="C559" s="1" t="s">
        <v>1825</v>
      </c>
      <c r="D559" s="184"/>
      <c r="E559" s="184"/>
      <c r="H559" s="184"/>
      <c r="I559" s="184"/>
      <c r="L559" s="3"/>
      <c r="M559" s="3"/>
      <c r="N559" s="184">
        <v>2</v>
      </c>
      <c r="O559" s="6">
        <v>1.95</v>
      </c>
      <c r="P559" s="222"/>
      <c r="Q559" s="222"/>
    </row>
    <row r="560" spans="1:36" ht="14.25" customHeight="1">
      <c r="A560" s="114" t="s">
        <v>2328</v>
      </c>
      <c r="B560" s="9">
        <v>19.100000000000001</v>
      </c>
      <c r="C560" s="1" t="s">
        <v>1826</v>
      </c>
      <c r="D560" s="184"/>
      <c r="E560" s="184"/>
      <c r="H560" s="184"/>
      <c r="I560" s="184"/>
      <c r="L560" s="3"/>
      <c r="M560" s="3"/>
      <c r="N560" s="184">
        <v>2</v>
      </c>
      <c r="O560" s="6">
        <v>1.95</v>
      </c>
      <c r="P560" s="222"/>
      <c r="Q560" s="222"/>
    </row>
    <row r="561" spans="1:42" ht="14.25" customHeight="1">
      <c r="A561" s="114" t="s">
        <v>2329</v>
      </c>
      <c r="B561" s="9">
        <v>19.100000000000001</v>
      </c>
      <c r="C561" s="1" t="s">
        <v>1827</v>
      </c>
      <c r="D561" s="184"/>
      <c r="E561" s="184"/>
      <c r="H561" s="184"/>
      <c r="I561" s="184"/>
      <c r="L561" s="3"/>
      <c r="M561" s="3"/>
      <c r="N561" s="184">
        <v>2</v>
      </c>
      <c r="O561" s="6">
        <v>1.95</v>
      </c>
      <c r="P561" s="222"/>
      <c r="Q561" s="222"/>
    </row>
    <row r="562" spans="1:42" ht="14.25" customHeight="1">
      <c r="A562" s="114" t="s">
        <v>2330</v>
      </c>
      <c r="B562" s="9">
        <v>19.100000000000001</v>
      </c>
      <c r="C562" s="1" t="s">
        <v>1828</v>
      </c>
      <c r="D562" s="184"/>
      <c r="E562" s="184"/>
      <c r="H562" s="184"/>
      <c r="I562" s="184"/>
      <c r="L562" s="3"/>
      <c r="M562" s="3"/>
      <c r="N562" s="184">
        <v>2</v>
      </c>
      <c r="O562" s="6">
        <v>1.95</v>
      </c>
      <c r="P562" s="222"/>
      <c r="Q562" s="222"/>
    </row>
    <row r="563" spans="1:42" ht="14.25" customHeight="1">
      <c r="A563" s="114" t="s">
        <v>2331</v>
      </c>
      <c r="B563" s="9">
        <v>19.100000000000001</v>
      </c>
      <c r="C563" s="1" t="s">
        <v>1840</v>
      </c>
      <c r="D563" s="184"/>
      <c r="E563" s="184"/>
      <c r="H563" s="184"/>
      <c r="I563" s="184"/>
      <c r="L563" s="3"/>
      <c r="M563" s="3"/>
      <c r="N563" s="184">
        <v>2</v>
      </c>
      <c r="O563" s="6">
        <v>1.95</v>
      </c>
      <c r="P563" s="222"/>
      <c r="Q563" s="222"/>
      <c r="AP563" s="4"/>
    </row>
    <row r="564" spans="1:42" ht="14.25" customHeight="1">
      <c r="A564" s="114" t="s">
        <v>2332</v>
      </c>
      <c r="B564" s="9">
        <v>19.100000000000001</v>
      </c>
      <c r="C564" s="1" t="s">
        <v>1829</v>
      </c>
      <c r="D564" s="184"/>
      <c r="E564" s="184"/>
      <c r="H564" s="184"/>
      <c r="I564" s="184"/>
      <c r="L564" s="3"/>
      <c r="M564" s="3"/>
      <c r="N564" s="184">
        <v>2</v>
      </c>
      <c r="O564" s="6">
        <v>1.95</v>
      </c>
      <c r="P564" s="222"/>
      <c r="Q564" s="222"/>
    </row>
    <row r="565" spans="1:42" ht="14.25" customHeight="1">
      <c r="A565" s="114" t="s">
        <v>2333</v>
      </c>
      <c r="B565" s="9">
        <v>19.100000000000001</v>
      </c>
      <c r="C565" s="1" t="s">
        <v>1830</v>
      </c>
      <c r="D565" s="184"/>
      <c r="E565" s="184"/>
      <c r="H565" s="184"/>
      <c r="I565" s="184"/>
      <c r="L565" s="3"/>
      <c r="M565" s="3"/>
      <c r="N565" s="184">
        <v>2</v>
      </c>
      <c r="O565" s="6">
        <v>1.95</v>
      </c>
      <c r="P565" s="222"/>
      <c r="Q565" s="222"/>
    </row>
    <row r="566" spans="1:42" ht="14.25" customHeight="1">
      <c r="A566" s="114" t="s">
        <v>2334</v>
      </c>
      <c r="B566" s="9">
        <v>19.100000000000001</v>
      </c>
      <c r="C566" s="1" t="s">
        <v>1831</v>
      </c>
      <c r="D566" s="184"/>
      <c r="E566" s="184"/>
      <c r="H566" s="184"/>
      <c r="I566" s="184"/>
      <c r="L566" s="3"/>
      <c r="M566" s="3"/>
      <c r="N566" s="184">
        <v>2</v>
      </c>
      <c r="O566" s="6">
        <v>1.95</v>
      </c>
      <c r="P566" s="222"/>
      <c r="Q566" s="222"/>
    </row>
    <row r="567" spans="1:42" ht="14.25" customHeight="1">
      <c r="A567" s="114" t="s">
        <v>2335</v>
      </c>
      <c r="B567" s="9">
        <v>19.100000000000001</v>
      </c>
      <c r="C567" s="1" t="s">
        <v>1832</v>
      </c>
      <c r="D567" s="184"/>
      <c r="E567" s="184"/>
      <c r="H567" s="184"/>
      <c r="I567" s="184"/>
      <c r="L567" s="3"/>
      <c r="M567" s="3"/>
      <c r="N567" s="184">
        <v>2</v>
      </c>
      <c r="O567" s="6">
        <v>1.95</v>
      </c>
      <c r="P567" s="222"/>
      <c r="Q567" s="222"/>
    </row>
    <row r="568" spans="1:42" ht="14.25" customHeight="1">
      <c r="A568" s="114" t="s">
        <v>2336</v>
      </c>
      <c r="B568" s="9">
        <v>19.100000000000001</v>
      </c>
      <c r="C568" s="1" t="s">
        <v>1839</v>
      </c>
      <c r="D568" s="184"/>
      <c r="E568" s="184"/>
      <c r="H568" s="184"/>
      <c r="I568" s="184"/>
      <c r="L568" s="3"/>
      <c r="M568" s="3"/>
      <c r="N568" s="184">
        <v>2</v>
      </c>
      <c r="O568" s="6">
        <v>1.95</v>
      </c>
      <c r="P568" s="222"/>
      <c r="Q568" s="222"/>
    </row>
    <row r="569" spans="1:42" ht="14.25" customHeight="1">
      <c r="A569" s="114" t="s">
        <v>2337</v>
      </c>
      <c r="B569" s="9">
        <v>19.100000000000001</v>
      </c>
      <c r="C569" s="1" t="s">
        <v>1838</v>
      </c>
      <c r="D569" s="184"/>
      <c r="E569" s="184"/>
      <c r="H569" s="184"/>
      <c r="I569" s="184"/>
      <c r="L569" s="3"/>
      <c r="M569" s="3"/>
      <c r="N569" s="184">
        <v>2</v>
      </c>
      <c r="O569" s="6">
        <v>1.95</v>
      </c>
      <c r="P569" s="222"/>
      <c r="Q569" s="222"/>
    </row>
    <row r="570" spans="1:42" s="4" customFormat="1" ht="14.25" customHeight="1">
      <c r="A570" s="114" t="s">
        <v>2338</v>
      </c>
      <c r="B570" s="9">
        <v>19.100000000000001</v>
      </c>
      <c r="C570" s="1" t="s">
        <v>1837</v>
      </c>
      <c r="D570" s="184"/>
      <c r="E570" s="184"/>
      <c r="F570" s="188"/>
      <c r="G570" s="188"/>
      <c r="H570" s="184"/>
      <c r="I570" s="184"/>
      <c r="J570" s="188"/>
      <c r="K570" s="188"/>
      <c r="L570" s="3"/>
      <c r="M570" s="3"/>
      <c r="N570" s="184">
        <v>2</v>
      </c>
      <c r="O570" s="6">
        <v>1.95</v>
      </c>
      <c r="P570" s="222"/>
      <c r="Q570" s="222"/>
      <c r="R570" s="7"/>
      <c r="S570" s="126"/>
      <c r="T570" s="126"/>
      <c r="U570" s="236"/>
      <c r="V570" s="103"/>
      <c r="W570" s="9"/>
      <c r="X570" s="9"/>
      <c r="Y570" s="9"/>
      <c r="Z570" s="9"/>
      <c r="AA570" s="126"/>
      <c r="AB570" s="9"/>
      <c r="AC570" s="9"/>
      <c r="AD570" s="9"/>
      <c r="AE570" s="9"/>
      <c r="AF570" s="9"/>
      <c r="AG570" s="9"/>
      <c r="AH570" s="9"/>
      <c r="AI570" s="9"/>
      <c r="AJ570" s="7"/>
      <c r="AK570" s="7"/>
      <c r="AL570" s="7"/>
      <c r="AM570" s="7"/>
      <c r="AN570" s="7"/>
      <c r="AO570" s="7"/>
      <c r="AP570" s="7"/>
    </row>
    <row r="571" spans="1:42" ht="14.25" customHeight="1">
      <c r="A571" s="114" t="s">
        <v>2339</v>
      </c>
      <c r="B571" s="9">
        <v>19.100000000000001</v>
      </c>
      <c r="C571" s="1" t="s">
        <v>1836</v>
      </c>
      <c r="D571" s="184"/>
      <c r="E571" s="184"/>
      <c r="H571" s="184"/>
      <c r="I571" s="184"/>
      <c r="L571" s="3"/>
      <c r="M571" s="3"/>
      <c r="N571" s="184">
        <v>2</v>
      </c>
      <c r="O571" s="6">
        <v>1.95</v>
      </c>
      <c r="P571" s="222"/>
      <c r="Q571" s="222"/>
    </row>
    <row r="572" spans="1:42" ht="14.25" customHeight="1">
      <c r="A572" s="114" t="s">
        <v>2340</v>
      </c>
      <c r="B572" s="9">
        <v>19.100000000000001</v>
      </c>
      <c r="C572" s="1" t="s">
        <v>1835</v>
      </c>
      <c r="D572" s="184"/>
      <c r="E572" s="184"/>
      <c r="H572" s="184"/>
      <c r="I572" s="184"/>
      <c r="L572" s="3"/>
      <c r="M572" s="3"/>
      <c r="N572" s="184">
        <v>2</v>
      </c>
      <c r="O572" s="6">
        <v>1.95</v>
      </c>
      <c r="P572" s="222"/>
      <c r="Q572" s="222"/>
    </row>
    <row r="573" spans="1:42" ht="14.25" customHeight="1">
      <c r="A573" s="114" t="s">
        <v>2341</v>
      </c>
      <c r="B573" s="9">
        <v>19.100000000000001</v>
      </c>
      <c r="C573" s="1" t="s">
        <v>1834</v>
      </c>
      <c r="D573" s="184"/>
      <c r="E573" s="184"/>
      <c r="H573" s="184"/>
      <c r="I573" s="184"/>
      <c r="L573" s="3"/>
      <c r="M573" s="3"/>
      <c r="N573" s="184">
        <v>2</v>
      </c>
      <c r="O573" s="6">
        <v>1.95</v>
      </c>
      <c r="P573" s="222"/>
      <c r="Q573" s="222"/>
    </row>
    <row r="574" spans="1:42" ht="14.25" customHeight="1">
      <c r="A574" s="114" t="s">
        <v>2342</v>
      </c>
      <c r="B574" s="9">
        <v>19.100000000000001</v>
      </c>
      <c r="C574" s="1" t="s">
        <v>1833</v>
      </c>
      <c r="D574" s="184"/>
      <c r="E574" s="184"/>
      <c r="H574" s="184"/>
      <c r="I574" s="184"/>
      <c r="L574" s="3"/>
      <c r="M574" s="3"/>
      <c r="N574" s="184">
        <v>2</v>
      </c>
      <c r="O574" s="6">
        <v>1.95</v>
      </c>
      <c r="P574" s="222"/>
      <c r="Q574" s="222"/>
    </row>
    <row r="575" spans="1:42" ht="14.25" customHeight="1">
      <c r="A575" s="148" t="s">
        <v>3359</v>
      </c>
      <c r="B575" s="9">
        <v>75.5</v>
      </c>
      <c r="C575" s="198" t="s">
        <v>5903</v>
      </c>
      <c r="N575" s="183">
        <v>5</v>
      </c>
      <c r="O575" s="7">
        <v>0.75</v>
      </c>
    </row>
    <row r="576" spans="1:42" ht="14.25" customHeight="1">
      <c r="A576" s="117" t="s">
        <v>2445</v>
      </c>
      <c r="B576" s="9">
        <v>36.299999999999997</v>
      </c>
      <c r="C576" s="211" t="s">
        <v>1493</v>
      </c>
      <c r="N576" s="183">
        <v>3</v>
      </c>
      <c r="O576" s="7">
        <v>2.5</v>
      </c>
    </row>
    <row r="577" spans="1:42" ht="14.25" customHeight="1">
      <c r="A577" s="117" t="s">
        <v>2446</v>
      </c>
      <c r="B577" s="9">
        <v>36.299999999999997</v>
      </c>
      <c r="C577" s="7" t="s">
        <v>1494</v>
      </c>
      <c r="N577" s="183">
        <v>3</v>
      </c>
      <c r="O577" s="7">
        <v>2.5</v>
      </c>
      <c r="AJ577" s="211" t="s">
        <v>1493</v>
      </c>
    </row>
    <row r="578" spans="1:42" ht="14.25" customHeight="1">
      <c r="A578" s="117" t="s">
        <v>2447</v>
      </c>
      <c r="B578" s="9">
        <v>36.299999999999997</v>
      </c>
      <c r="C578" s="7" t="s">
        <v>1495</v>
      </c>
      <c r="N578" s="183">
        <v>3</v>
      </c>
      <c r="O578" s="7">
        <v>2.5</v>
      </c>
      <c r="AP578" s="4"/>
    </row>
    <row r="579" spans="1:42" ht="14.25" customHeight="1">
      <c r="A579" s="117" t="s">
        <v>2448</v>
      </c>
      <c r="B579" s="9">
        <v>36.299999999999997</v>
      </c>
      <c r="C579" s="7" t="s">
        <v>1496</v>
      </c>
      <c r="N579" s="183">
        <v>3</v>
      </c>
      <c r="O579" s="7">
        <v>2.5</v>
      </c>
    </row>
    <row r="580" spans="1:42" ht="14.25" customHeight="1">
      <c r="A580" s="117" t="s">
        <v>2449</v>
      </c>
      <c r="B580" s="9">
        <v>36.299999999999997</v>
      </c>
      <c r="C580" s="7" t="s">
        <v>1366</v>
      </c>
      <c r="N580" s="183">
        <v>3</v>
      </c>
      <c r="O580" s="7">
        <v>2.5</v>
      </c>
    </row>
    <row r="581" spans="1:42" ht="14.25" customHeight="1">
      <c r="A581" s="117" t="s">
        <v>2450</v>
      </c>
      <c r="B581" s="9">
        <v>36.299999999999997</v>
      </c>
      <c r="C581" s="7" t="s">
        <v>1497</v>
      </c>
      <c r="N581" s="183">
        <v>3</v>
      </c>
      <c r="O581" s="7">
        <v>2.5</v>
      </c>
    </row>
    <row r="582" spans="1:42" ht="14.25" customHeight="1">
      <c r="A582" s="117" t="s">
        <v>2451</v>
      </c>
      <c r="B582" s="9">
        <v>36.299999999999997</v>
      </c>
      <c r="C582" s="7" t="s">
        <v>1498</v>
      </c>
      <c r="N582" s="183">
        <v>3</v>
      </c>
      <c r="O582" s="7">
        <v>2.5</v>
      </c>
    </row>
    <row r="583" spans="1:42" ht="14.25" customHeight="1">
      <c r="A583" s="117" t="s">
        <v>2452</v>
      </c>
      <c r="B583" s="9">
        <v>36.299999999999997</v>
      </c>
      <c r="C583" s="7" t="s">
        <v>1499</v>
      </c>
      <c r="N583" s="183">
        <v>3</v>
      </c>
      <c r="O583" s="7">
        <v>2.5</v>
      </c>
    </row>
    <row r="584" spans="1:42" ht="14.25" customHeight="1">
      <c r="A584" s="117" t="s">
        <v>2453</v>
      </c>
      <c r="B584" s="9">
        <v>36.299999999999997</v>
      </c>
      <c r="C584" s="7" t="s">
        <v>1500</v>
      </c>
      <c r="N584" s="183">
        <v>3</v>
      </c>
      <c r="O584" s="7">
        <v>2.5</v>
      </c>
    </row>
    <row r="585" spans="1:42" s="4" customFormat="1" ht="14.25" customHeight="1">
      <c r="A585" s="117" t="s">
        <v>2454</v>
      </c>
      <c r="B585" s="9">
        <v>36.299999999999997</v>
      </c>
      <c r="C585" s="7" t="s">
        <v>1501</v>
      </c>
      <c r="D585" s="183"/>
      <c r="E585" s="183"/>
      <c r="F585" s="188"/>
      <c r="G585" s="188"/>
      <c r="H585" s="183"/>
      <c r="I585" s="183"/>
      <c r="J585" s="188"/>
      <c r="K585" s="188"/>
      <c r="L585" s="9"/>
      <c r="M585" s="9"/>
      <c r="N585" s="183">
        <v>3</v>
      </c>
      <c r="O585" s="7">
        <v>2.5</v>
      </c>
      <c r="P585" s="9"/>
      <c r="Q585" s="9"/>
      <c r="R585" s="7"/>
      <c r="S585" s="126"/>
      <c r="T585" s="126"/>
      <c r="U585" s="236"/>
      <c r="V585" s="103"/>
      <c r="W585" s="9"/>
      <c r="X585" s="9"/>
      <c r="Y585" s="9"/>
      <c r="Z585" s="9"/>
      <c r="AA585" s="126"/>
      <c r="AB585" s="9"/>
      <c r="AC585" s="9"/>
      <c r="AD585" s="9"/>
      <c r="AE585" s="9"/>
      <c r="AF585" s="9"/>
      <c r="AG585" s="9"/>
      <c r="AH585" s="9"/>
      <c r="AI585" s="9"/>
      <c r="AJ585" s="7"/>
      <c r="AK585" s="7"/>
      <c r="AL585" s="7"/>
      <c r="AM585" s="7"/>
      <c r="AN585" s="7"/>
      <c r="AO585" s="7"/>
      <c r="AP585" s="7"/>
    </row>
    <row r="586" spans="1:42" ht="14.25" customHeight="1">
      <c r="A586" s="117" t="s">
        <v>2455</v>
      </c>
      <c r="B586" s="9">
        <v>36.299999999999997</v>
      </c>
      <c r="C586" s="7" t="s">
        <v>1502</v>
      </c>
      <c r="N586" s="183">
        <v>3</v>
      </c>
      <c r="O586" s="7">
        <v>2.5</v>
      </c>
    </row>
    <row r="587" spans="1:42" ht="14.25" customHeight="1">
      <c r="A587" s="117" t="s">
        <v>2456</v>
      </c>
      <c r="B587" s="9">
        <v>36.299999999999997</v>
      </c>
      <c r="C587" s="7" t="s">
        <v>1503</v>
      </c>
      <c r="N587" s="183">
        <v>3</v>
      </c>
      <c r="O587" s="7">
        <v>2.5</v>
      </c>
    </row>
    <row r="588" spans="1:42" ht="14.25" customHeight="1">
      <c r="A588" s="117" t="s">
        <v>2457</v>
      </c>
      <c r="B588" s="9">
        <v>9.5</v>
      </c>
      <c r="C588" s="211" t="s">
        <v>1267</v>
      </c>
      <c r="N588" s="183">
        <v>5</v>
      </c>
      <c r="O588" s="7">
        <v>0.55000000000000004</v>
      </c>
    </row>
    <row r="589" spans="1:42" ht="14.25" customHeight="1">
      <c r="A589" s="117" t="s">
        <v>2458</v>
      </c>
      <c r="B589" s="9">
        <v>9.5</v>
      </c>
      <c r="C589" s="1" t="s">
        <v>1280</v>
      </c>
      <c r="N589" s="183">
        <v>5</v>
      </c>
      <c r="O589" s="7">
        <v>0.55000000000000004</v>
      </c>
      <c r="AJ589" s="211" t="s">
        <v>1267</v>
      </c>
    </row>
    <row r="590" spans="1:42" ht="14.25" customHeight="1">
      <c r="A590" s="117" t="s">
        <v>2459</v>
      </c>
      <c r="B590" s="9">
        <v>9.5</v>
      </c>
      <c r="C590" s="1" t="s">
        <v>1268</v>
      </c>
      <c r="N590" s="183">
        <v>5</v>
      </c>
      <c r="O590" s="7">
        <v>0.55000000000000004</v>
      </c>
    </row>
    <row r="591" spans="1:42" ht="14.25" customHeight="1">
      <c r="A591" s="117" t="s">
        <v>2460</v>
      </c>
      <c r="B591" s="9">
        <v>9.5</v>
      </c>
      <c r="C591" s="1" t="s">
        <v>1269</v>
      </c>
      <c r="N591" s="183">
        <v>5</v>
      </c>
      <c r="O591" s="7">
        <v>0.55000000000000004</v>
      </c>
    </row>
    <row r="592" spans="1:42" ht="14.25" customHeight="1">
      <c r="A592" s="117" t="s">
        <v>2461</v>
      </c>
      <c r="B592" s="9">
        <v>9.5</v>
      </c>
      <c r="C592" s="1" t="s">
        <v>1270</v>
      </c>
      <c r="N592" s="183">
        <v>5</v>
      </c>
      <c r="O592" s="7">
        <v>0.55000000000000004</v>
      </c>
    </row>
    <row r="593" spans="1:42" ht="14.25" customHeight="1">
      <c r="A593" s="117" t="s">
        <v>2462</v>
      </c>
      <c r="B593" s="9">
        <v>9.5</v>
      </c>
      <c r="C593" s="1" t="s">
        <v>1367</v>
      </c>
      <c r="N593" s="183">
        <v>5</v>
      </c>
      <c r="O593" s="7">
        <v>0.55000000000000004</v>
      </c>
      <c r="AP593" s="4"/>
    </row>
    <row r="594" spans="1:42" ht="14.25" customHeight="1">
      <c r="A594" s="117" t="s">
        <v>2463</v>
      </c>
      <c r="B594" s="9">
        <v>9.5</v>
      </c>
      <c r="C594" s="1" t="s">
        <v>1271</v>
      </c>
      <c r="N594" s="183">
        <v>5</v>
      </c>
      <c r="O594" s="7">
        <v>0.55000000000000004</v>
      </c>
    </row>
    <row r="595" spans="1:42" ht="14.25" customHeight="1">
      <c r="A595" s="117" t="s">
        <v>3130</v>
      </c>
      <c r="B595" s="9">
        <v>9.5</v>
      </c>
      <c r="C595" s="1" t="s">
        <v>1272</v>
      </c>
      <c r="N595" s="183">
        <v>5</v>
      </c>
      <c r="O595" s="7">
        <v>0.55000000000000004</v>
      </c>
    </row>
    <row r="596" spans="1:42" ht="14.25" customHeight="1">
      <c r="A596" s="117" t="s">
        <v>2464</v>
      </c>
      <c r="B596" s="9">
        <v>9.5</v>
      </c>
      <c r="C596" s="1" t="s">
        <v>1273</v>
      </c>
      <c r="N596" s="183">
        <v>5</v>
      </c>
      <c r="O596" s="7">
        <v>0.55000000000000004</v>
      </c>
    </row>
    <row r="597" spans="1:42" ht="14.25" customHeight="1">
      <c r="A597" s="117" t="s">
        <v>2465</v>
      </c>
      <c r="B597" s="9">
        <v>9.5</v>
      </c>
      <c r="C597" s="1" t="s">
        <v>1295</v>
      </c>
      <c r="N597" s="183">
        <v>5</v>
      </c>
      <c r="O597" s="7">
        <v>0.55000000000000004</v>
      </c>
    </row>
    <row r="598" spans="1:42" ht="14.25" customHeight="1">
      <c r="A598" s="117" t="s">
        <v>2466</v>
      </c>
      <c r="B598" s="9">
        <v>9.5</v>
      </c>
      <c r="C598" s="1" t="s">
        <v>1274</v>
      </c>
      <c r="N598" s="183">
        <v>5</v>
      </c>
      <c r="O598" s="7">
        <v>0.55000000000000004</v>
      </c>
    </row>
    <row r="599" spans="1:42" ht="14.25" customHeight="1">
      <c r="A599" s="117" t="s">
        <v>2467</v>
      </c>
      <c r="B599" s="9">
        <v>9.5</v>
      </c>
      <c r="C599" s="1" t="s">
        <v>1275</v>
      </c>
      <c r="N599" s="183">
        <v>5</v>
      </c>
      <c r="O599" s="7">
        <v>0.55000000000000004</v>
      </c>
    </row>
    <row r="600" spans="1:42" s="4" customFormat="1" ht="14.25" customHeight="1">
      <c r="A600" s="117" t="s">
        <v>2468</v>
      </c>
      <c r="B600" s="9">
        <v>9.5</v>
      </c>
      <c r="C600" s="1" t="s">
        <v>1276</v>
      </c>
      <c r="D600" s="183"/>
      <c r="E600" s="183"/>
      <c r="F600" s="188"/>
      <c r="G600" s="188"/>
      <c r="H600" s="183"/>
      <c r="I600" s="183"/>
      <c r="J600" s="188"/>
      <c r="K600" s="188"/>
      <c r="L600" s="9"/>
      <c r="M600" s="9"/>
      <c r="N600" s="183">
        <v>5</v>
      </c>
      <c r="O600" s="7">
        <v>0.55000000000000004</v>
      </c>
      <c r="P600" s="9"/>
      <c r="Q600" s="9"/>
      <c r="R600" s="7"/>
      <c r="S600" s="126"/>
      <c r="T600" s="126"/>
      <c r="U600" s="236"/>
      <c r="V600" s="103"/>
      <c r="W600" s="9"/>
      <c r="X600" s="9"/>
      <c r="Y600" s="9"/>
      <c r="Z600" s="9"/>
      <c r="AA600" s="126"/>
      <c r="AB600" s="9"/>
      <c r="AC600" s="9"/>
      <c r="AD600" s="9"/>
      <c r="AE600" s="9"/>
      <c r="AF600" s="9"/>
      <c r="AG600" s="9"/>
      <c r="AH600" s="9"/>
      <c r="AI600" s="9"/>
      <c r="AJ600" s="7"/>
      <c r="AK600" s="7"/>
      <c r="AL600" s="7"/>
      <c r="AM600" s="7"/>
      <c r="AN600" s="7"/>
      <c r="AO600" s="7"/>
      <c r="AP600" s="7"/>
    </row>
    <row r="601" spans="1:42" ht="14.25" customHeight="1">
      <c r="A601" s="117" t="s">
        <v>2469</v>
      </c>
      <c r="B601" s="9">
        <v>9.5</v>
      </c>
      <c r="C601" s="1" t="s">
        <v>1277</v>
      </c>
      <c r="N601" s="183">
        <v>5</v>
      </c>
      <c r="O601" s="7">
        <v>0.55000000000000004</v>
      </c>
    </row>
    <row r="602" spans="1:42" ht="14.25" customHeight="1">
      <c r="A602" s="117" t="s">
        <v>2470</v>
      </c>
      <c r="B602" s="9">
        <v>9.5</v>
      </c>
      <c r="C602" s="1" t="s">
        <v>1279</v>
      </c>
      <c r="N602" s="183">
        <v>5</v>
      </c>
      <c r="O602" s="7">
        <v>0.55000000000000004</v>
      </c>
    </row>
    <row r="603" spans="1:42" ht="14.25" customHeight="1">
      <c r="A603" s="117" t="s">
        <v>2471</v>
      </c>
      <c r="B603" s="9">
        <v>9.5</v>
      </c>
      <c r="C603" s="1" t="s">
        <v>1278</v>
      </c>
      <c r="N603" s="183">
        <v>5</v>
      </c>
      <c r="O603" s="7">
        <v>0.55000000000000004</v>
      </c>
    </row>
    <row r="604" spans="1:42" ht="14.25" customHeight="1">
      <c r="A604" s="117" t="s">
        <v>2472</v>
      </c>
      <c r="B604" s="9">
        <v>9.5</v>
      </c>
      <c r="C604" s="1" t="s">
        <v>1368</v>
      </c>
      <c r="N604" s="183">
        <v>5</v>
      </c>
      <c r="O604" s="7">
        <v>0.55000000000000004</v>
      </c>
    </row>
    <row r="605" spans="1:42" ht="14.25" customHeight="1">
      <c r="A605" s="117" t="s">
        <v>2473</v>
      </c>
      <c r="B605" s="9">
        <v>9.5</v>
      </c>
      <c r="C605" s="1" t="s">
        <v>1281</v>
      </c>
      <c r="N605" s="183">
        <v>5</v>
      </c>
      <c r="O605" s="7">
        <v>0.55000000000000004</v>
      </c>
    </row>
    <row r="606" spans="1:42" ht="14.25" customHeight="1">
      <c r="A606" s="117" t="s">
        <v>2474</v>
      </c>
      <c r="B606" s="9">
        <v>20</v>
      </c>
      <c r="C606" s="211" t="s">
        <v>1296</v>
      </c>
      <c r="N606" s="183">
        <v>3</v>
      </c>
      <c r="O606" s="7">
        <v>1.1000000000000001</v>
      </c>
    </row>
    <row r="607" spans="1:42" ht="14.25" customHeight="1">
      <c r="A607" s="117" t="s">
        <v>2475</v>
      </c>
      <c r="B607" s="9">
        <v>20</v>
      </c>
      <c r="C607" s="1" t="s">
        <v>3129</v>
      </c>
      <c r="N607" s="183">
        <v>3</v>
      </c>
      <c r="O607" s="7">
        <v>1.1000000000000001</v>
      </c>
      <c r="AJ607" s="211" t="s">
        <v>1296</v>
      </c>
    </row>
    <row r="608" spans="1:42" ht="14.25" customHeight="1">
      <c r="A608" s="117" t="s">
        <v>2476</v>
      </c>
      <c r="B608" s="9">
        <v>20</v>
      </c>
      <c r="C608" s="1" t="s">
        <v>1282</v>
      </c>
      <c r="N608" s="183">
        <v>3</v>
      </c>
      <c r="O608" s="7">
        <v>1.1000000000000001</v>
      </c>
      <c r="AP608" s="4"/>
    </row>
    <row r="609" spans="1:42" ht="14.25" customHeight="1">
      <c r="A609" s="117" t="s">
        <v>2477</v>
      </c>
      <c r="B609" s="9">
        <v>20</v>
      </c>
      <c r="C609" s="1" t="s">
        <v>1283</v>
      </c>
      <c r="N609" s="183">
        <v>3</v>
      </c>
      <c r="O609" s="7">
        <v>1.1000000000000001</v>
      </c>
    </row>
    <row r="610" spans="1:42" ht="14.25" customHeight="1">
      <c r="A610" s="117" t="s">
        <v>2478</v>
      </c>
      <c r="B610" s="9">
        <v>20</v>
      </c>
      <c r="C610" s="1" t="s">
        <v>1284</v>
      </c>
      <c r="N610" s="183">
        <v>3</v>
      </c>
      <c r="O610" s="7">
        <v>1.1000000000000001</v>
      </c>
    </row>
    <row r="611" spans="1:42" ht="14.25" customHeight="1">
      <c r="A611" s="117" t="s">
        <v>2479</v>
      </c>
      <c r="B611" s="9">
        <v>20</v>
      </c>
      <c r="C611" s="1" t="s">
        <v>1370</v>
      </c>
      <c r="N611" s="183">
        <v>3</v>
      </c>
      <c r="O611" s="7">
        <v>1.1000000000000001</v>
      </c>
    </row>
    <row r="612" spans="1:42" ht="14.25" customHeight="1">
      <c r="A612" s="117" t="s">
        <v>2480</v>
      </c>
      <c r="B612" s="9">
        <v>20</v>
      </c>
      <c r="C612" s="1" t="s">
        <v>1285</v>
      </c>
      <c r="N612" s="183">
        <v>3</v>
      </c>
      <c r="O612" s="7">
        <v>1.1000000000000001</v>
      </c>
    </row>
    <row r="613" spans="1:42" ht="14.25" customHeight="1">
      <c r="A613" s="117" t="s">
        <v>2481</v>
      </c>
      <c r="B613" s="9">
        <v>20</v>
      </c>
      <c r="C613" s="1" t="s">
        <v>1286</v>
      </c>
      <c r="N613" s="183">
        <v>3</v>
      </c>
      <c r="O613" s="7">
        <v>1.1000000000000001</v>
      </c>
    </row>
    <row r="614" spans="1:42" ht="14.25" customHeight="1">
      <c r="A614" s="117" t="s">
        <v>2482</v>
      </c>
      <c r="B614" s="9">
        <v>20</v>
      </c>
      <c r="C614" s="1" t="s">
        <v>1287</v>
      </c>
      <c r="N614" s="183">
        <v>3</v>
      </c>
      <c r="O614" s="7">
        <v>1.1000000000000001</v>
      </c>
    </row>
    <row r="615" spans="1:42" s="4" customFormat="1" ht="14.25" customHeight="1">
      <c r="A615" s="117" t="s">
        <v>2483</v>
      </c>
      <c r="B615" s="9">
        <v>20</v>
      </c>
      <c r="C615" s="1" t="s">
        <v>1297</v>
      </c>
      <c r="D615" s="183"/>
      <c r="E615" s="183"/>
      <c r="F615" s="188"/>
      <c r="G615" s="188"/>
      <c r="H615" s="183"/>
      <c r="I615" s="183"/>
      <c r="J615" s="188"/>
      <c r="K615" s="188"/>
      <c r="L615" s="9"/>
      <c r="M615" s="9"/>
      <c r="N615" s="183">
        <v>3</v>
      </c>
      <c r="O615" s="7">
        <v>1.1000000000000001</v>
      </c>
      <c r="P615" s="9"/>
      <c r="Q615" s="9"/>
      <c r="R615" s="7"/>
      <c r="S615" s="126"/>
      <c r="T615" s="126"/>
      <c r="U615" s="236"/>
      <c r="V615" s="103"/>
      <c r="W615" s="9"/>
      <c r="X615" s="9"/>
      <c r="Y615" s="9"/>
      <c r="Z615" s="9"/>
      <c r="AA615" s="126"/>
      <c r="AB615" s="9"/>
      <c r="AC615" s="9"/>
      <c r="AD615" s="9"/>
      <c r="AE615" s="9"/>
      <c r="AF615" s="9"/>
      <c r="AG615" s="9"/>
      <c r="AH615" s="9"/>
      <c r="AI615" s="9"/>
      <c r="AJ615" s="7"/>
      <c r="AK615" s="7"/>
      <c r="AL615" s="7"/>
      <c r="AM615" s="7"/>
      <c r="AN615" s="7"/>
      <c r="AO615" s="7"/>
      <c r="AP615" s="7"/>
    </row>
    <row r="616" spans="1:42" ht="14.25" customHeight="1">
      <c r="A616" s="117" t="s">
        <v>2484</v>
      </c>
      <c r="B616" s="9">
        <v>20</v>
      </c>
      <c r="C616" s="1" t="s">
        <v>1369</v>
      </c>
      <c r="N616" s="183">
        <v>3</v>
      </c>
      <c r="O616" s="7">
        <v>1.1000000000000001</v>
      </c>
    </row>
    <row r="617" spans="1:42" ht="14.25" customHeight="1">
      <c r="A617" s="117" t="s">
        <v>2485</v>
      </c>
      <c r="B617" s="9">
        <v>20</v>
      </c>
      <c r="C617" s="1" t="s">
        <v>1289</v>
      </c>
      <c r="N617" s="183">
        <v>3</v>
      </c>
      <c r="O617" s="7">
        <v>1.1000000000000001</v>
      </c>
    </row>
    <row r="618" spans="1:42" ht="14.25" customHeight="1">
      <c r="A618" s="117" t="s">
        <v>2486</v>
      </c>
      <c r="B618" s="9">
        <v>20</v>
      </c>
      <c r="C618" s="1" t="s">
        <v>1290</v>
      </c>
      <c r="N618" s="183">
        <v>3</v>
      </c>
      <c r="O618" s="7">
        <v>1.1000000000000001</v>
      </c>
      <c r="AP618" s="4"/>
    </row>
    <row r="619" spans="1:42" ht="14.25" customHeight="1">
      <c r="A619" s="117" t="s">
        <v>2487</v>
      </c>
      <c r="B619" s="9">
        <v>20</v>
      </c>
      <c r="C619" s="1" t="s">
        <v>1291</v>
      </c>
      <c r="N619" s="183">
        <v>3</v>
      </c>
      <c r="O619" s="7">
        <v>1.1000000000000001</v>
      </c>
    </row>
    <row r="620" spans="1:42" ht="14.25" customHeight="1">
      <c r="A620" s="117" t="s">
        <v>2488</v>
      </c>
      <c r="B620" s="9">
        <v>20</v>
      </c>
      <c r="C620" s="1" t="s">
        <v>1292</v>
      </c>
      <c r="N620" s="183">
        <v>3</v>
      </c>
      <c r="O620" s="7">
        <v>1.1000000000000001</v>
      </c>
      <c r="AP620" s="4"/>
    </row>
    <row r="621" spans="1:42" ht="14.25" customHeight="1">
      <c r="A621" s="117" t="s">
        <v>2489</v>
      </c>
      <c r="B621" s="9">
        <v>20</v>
      </c>
      <c r="C621" s="1" t="s">
        <v>1293</v>
      </c>
      <c r="N621" s="183">
        <v>3</v>
      </c>
      <c r="O621" s="7">
        <v>1.1000000000000001</v>
      </c>
    </row>
    <row r="622" spans="1:42" ht="14.25" customHeight="1">
      <c r="A622" s="117" t="s">
        <v>2490</v>
      </c>
      <c r="B622" s="9">
        <v>20</v>
      </c>
      <c r="C622" s="1" t="s">
        <v>1288</v>
      </c>
      <c r="N622" s="183">
        <v>3</v>
      </c>
      <c r="O622" s="7">
        <v>1.1000000000000001</v>
      </c>
    </row>
    <row r="623" spans="1:42" ht="14.25" customHeight="1">
      <c r="A623" s="117" t="s">
        <v>2491</v>
      </c>
      <c r="B623" s="9">
        <v>20</v>
      </c>
      <c r="C623" s="1" t="s">
        <v>1294</v>
      </c>
      <c r="N623" s="183">
        <v>3</v>
      </c>
      <c r="O623" s="7">
        <v>1.1000000000000001</v>
      </c>
    </row>
    <row r="624" spans="1:42" ht="14.25" customHeight="1">
      <c r="A624" s="116" t="s">
        <v>2815</v>
      </c>
      <c r="B624" s="9">
        <v>16.5</v>
      </c>
      <c r="C624" s="211" t="s">
        <v>1877</v>
      </c>
      <c r="D624" s="184"/>
      <c r="E624" s="184"/>
      <c r="H624" s="184"/>
      <c r="I624" s="184"/>
      <c r="L624" s="3"/>
      <c r="M624" s="3"/>
      <c r="N624" s="184">
        <v>5</v>
      </c>
      <c r="O624" s="6">
        <v>1.2</v>
      </c>
      <c r="P624" s="222"/>
      <c r="Q624" s="222"/>
    </row>
    <row r="625" spans="1:42" s="4" customFormat="1" ht="14.25" customHeight="1">
      <c r="A625" s="116" t="s">
        <v>2816</v>
      </c>
      <c r="B625" s="9">
        <v>11.7</v>
      </c>
      <c r="C625" s="1" t="s">
        <v>1878</v>
      </c>
      <c r="D625" s="184"/>
      <c r="E625" s="184"/>
      <c r="F625" s="188"/>
      <c r="G625" s="188"/>
      <c r="H625" s="184"/>
      <c r="I625" s="184"/>
      <c r="J625" s="188"/>
      <c r="K625" s="188"/>
      <c r="L625" s="3"/>
      <c r="M625" s="3"/>
      <c r="N625" s="184">
        <v>5</v>
      </c>
      <c r="O625" s="6">
        <v>1.7</v>
      </c>
      <c r="P625" s="222"/>
      <c r="Q625" s="222"/>
      <c r="R625" s="7"/>
      <c r="S625" s="126"/>
      <c r="T625" s="126"/>
      <c r="U625" s="236"/>
      <c r="V625" s="103"/>
      <c r="W625" s="9"/>
      <c r="X625" s="9"/>
      <c r="Y625" s="9"/>
      <c r="Z625" s="9"/>
      <c r="AA625" s="126"/>
      <c r="AB625" s="9"/>
      <c r="AC625" s="9"/>
      <c r="AD625" s="9"/>
      <c r="AE625" s="9"/>
      <c r="AF625" s="9"/>
      <c r="AG625" s="9"/>
      <c r="AH625" s="9"/>
      <c r="AI625" s="9"/>
      <c r="AJ625" s="211" t="s">
        <v>1877</v>
      </c>
      <c r="AK625" s="7"/>
      <c r="AL625" s="7"/>
      <c r="AM625" s="7"/>
      <c r="AN625" s="7"/>
      <c r="AO625" s="7"/>
      <c r="AP625" s="7"/>
    </row>
    <row r="626" spans="1:42" ht="14.25" customHeight="1">
      <c r="A626" s="116" t="s">
        <v>3134</v>
      </c>
      <c r="B626" s="9">
        <v>60.8</v>
      </c>
      <c r="C626" s="211" t="s">
        <v>1873</v>
      </c>
      <c r="D626" s="184"/>
      <c r="E626" s="184"/>
      <c r="H626" s="184"/>
      <c r="I626" s="184"/>
      <c r="L626" s="3"/>
      <c r="M626" s="3"/>
      <c r="N626" s="184">
        <v>3</v>
      </c>
      <c r="O626" s="6">
        <v>2.15</v>
      </c>
      <c r="P626" s="222"/>
      <c r="Q626" s="222"/>
    </row>
    <row r="627" spans="1:42" s="4" customFormat="1" ht="14.25" customHeight="1">
      <c r="A627" s="116" t="s">
        <v>3135</v>
      </c>
      <c r="B627" s="9">
        <v>62.2</v>
      </c>
      <c r="C627" s="1" t="s">
        <v>1872</v>
      </c>
      <c r="D627" s="184"/>
      <c r="E627" s="184"/>
      <c r="F627" s="188"/>
      <c r="G627" s="188"/>
      <c r="H627" s="184"/>
      <c r="I627" s="184"/>
      <c r="J627" s="188"/>
      <c r="K627" s="188"/>
      <c r="L627" s="3"/>
      <c r="M627" s="3"/>
      <c r="N627" s="184">
        <v>3</v>
      </c>
      <c r="O627" s="6">
        <v>2.15</v>
      </c>
      <c r="P627" s="222"/>
      <c r="Q627" s="222"/>
      <c r="R627" s="7"/>
      <c r="S627" s="126"/>
      <c r="T627" s="126"/>
      <c r="U627" s="236"/>
      <c r="V627" s="103"/>
      <c r="W627" s="9"/>
      <c r="X627" s="9"/>
      <c r="Y627" s="9"/>
      <c r="Z627" s="9"/>
      <c r="AA627" s="126"/>
      <c r="AB627" s="9"/>
      <c r="AC627" s="9"/>
      <c r="AD627" s="9"/>
      <c r="AE627" s="9"/>
      <c r="AF627" s="9"/>
      <c r="AG627" s="9"/>
      <c r="AH627" s="9"/>
      <c r="AI627" s="9"/>
      <c r="AJ627" s="211" t="s">
        <v>1873</v>
      </c>
      <c r="AK627" s="7"/>
      <c r="AL627" s="7"/>
      <c r="AM627" s="7"/>
      <c r="AN627" s="7"/>
      <c r="AO627" s="7"/>
      <c r="AP627" s="7"/>
    </row>
    <row r="628" spans="1:42" ht="14.25" customHeight="1">
      <c r="A628" s="116" t="s">
        <v>3133</v>
      </c>
      <c r="B628" s="9">
        <v>22.3</v>
      </c>
      <c r="C628" s="1" t="s">
        <v>1879</v>
      </c>
      <c r="D628" s="184"/>
      <c r="E628" s="184"/>
      <c r="H628" s="184"/>
      <c r="I628" s="184"/>
      <c r="L628" s="3"/>
      <c r="M628" s="3"/>
      <c r="N628" s="184">
        <v>5</v>
      </c>
      <c r="O628" s="6">
        <f>11.39*2.38/(1.19+1.68+2.38+2.97+3.56)</f>
        <v>2.3012054329371816</v>
      </c>
      <c r="P628" s="222"/>
      <c r="Q628" s="222"/>
    </row>
    <row r="629" spans="1:42" ht="14.25" customHeight="1">
      <c r="A629" s="116" t="s">
        <v>2817</v>
      </c>
      <c r="B629" s="9">
        <v>27.5</v>
      </c>
      <c r="C629" s="1" t="s">
        <v>1880</v>
      </c>
      <c r="D629" s="184"/>
      <c r="E629" s="184"/>
      <c r="H629" s="184"/>
      <c r="I629" s="184"/>
      <c r="L629" s="3"/>
      <c r="M629" s="3"/>
      <c r="N629" s="184">
        <v>5</v>
      </c>
      <c r="O629" s="6">
        <f>11.39*2.97/(1.19+1.68+2.38+2.97+3.56)</f>
        <v>2.8716723259762311</v>
      </c>
      <c r="P629" s="222"/>
      <c r="Q629" s="222"/>
    </row>
    <row r="630" spans="1:42" ht="14.25" customHeight="1">
      <c r="A630" s="116" t="s">
        <v>2818</v>
      </c>
      <c r="B630" s="9">
        <v>30.5</v>
      </c>
      <c r="C630" s="1" t="s">
        <v>1881</v>
      </c>
      <c r="D630" s="184"/>
      <c r="E630" s="184"/>
      <c r="H630" s="184"/>
      <c r="I630" s="184"/>
      <c r="L630" s="3"/>
      <c r="M630" s="3"/>
      <c r="N630" s="184">
        <v>5</v>
      </c>
      <c r="O630" s="6">
        <f>11.39*3.56/(1.19+1.68+2.38+2.97+3.56)</f>
        <v>3.4421392190152797</v>
      </c>
      <c r="P630" s="222"/>
      <c r="Q630" s="222"/>
    </row>
    <row r="631" spans="1:42" ht="14.25" customHeight="1">
      <c r="A631" s="116" t="s">
        <v>2819</v>
      </c>
      <c r="B631" s="9">
        <v>63</v>
      </c>
      <c r="C631" s="1" t="s">
        <v>1871</v>
      </c>
      <c r="D631" s="184"/>
      <c r="E631" s="184"/>
      <c r="H631" s="184"/>
      <c r="I631" s="184"/>
      <c r="L631" s="3"/>
      <c r="M631" s="3"/>
      <c r="N631" s="184">
        <v>3</v>
      </c>
      <c r="O631" s="6">
        <v>2.15</v>
      </c>
      <c r="P631" s="222"/>
      <c r="Q631" s="222"/>
    </row>
    <row r="632" spans="1:42" ht="14.25" customHeight="1">
      <c r="A632" s="116" t="s">
        <v>3136</v>
      </c>
      <c r="B632" s="9">
        <v>78.8</v>
      </c>
      <c r="C632" s="1" t="s">
        <v>1876</v>
      </c>
      <c r="D632" s="184"/>
      <c r="E632" s="184"/>
      <c r="H632" s="184"/>
      <c r="I632" s="184"/>
      <c r="L632" s="3"/>
      <c r="M632" s="3"/>
      <c r="N632" s="184">
        <v>3</v>
      </c>
      <c r="O632" s="6">
        <v>2.15</v>
      </c>
      <c r="P632" s="222"/>
      <c r="Q632" s="222"/>
    </row>
    <row r="633" spans="1:42" ht="14.25" customHeight="1">
      <c r="A633" s="116" t="s">
        <v>2820</v>
      </c>
      <c r="B633" s="9">
        <v>58.6</v>
      </c>
      <c r="C633" s="1" t="s">
        <v>1874</v>
      </c>
      <c r="D633" s="184"/>
      <c r="E633" s="184"/>
      <c r="H633" s="184"/>
      <c r="I633" s="184"/>
      <c r="L633" s="3"/>
      <c r="M633" s="3"/>
      <c r="N633" s="184">
        <v>3</v>
      </c>
      <c r="O633" s="6">
        <v>2.15</v>
      </c>
      <c r="P633" s="222"/>
      <c r="Q633" s="222"/>
    </row>
    <row r="634" spans="1:42" ht="14.25" customHeight="1">
      <c r="A634" s="116" t="s">
        <v>2821</v>
      </c>
      <c r="B634" s="9">
        <v>82.4</v>
      </c>
      <c r="C634" s="1" t="s">
        <v>1875</v>
      </c>
      <c r="D634" s="184"/>
      <c r="E634" s="184"/>
      <c r="H634" s="184"/>
      <c r="I634" s="184"/>
      <c r="L634" s="3"/>
      <c r="M634" s="3"/>
      <c r="N634" s="184">
        <v>3</v>
      </c>
      <c r="O634" s="6">
        <v>2.15</v>
      </c>
      <c r="P634" s="222"/>
      <c r="Q634" s="222"/>
    </row>
    <row r="635" spans="1:42" ht="14.25" customHeight="1">
      <c r="A635" s="133" t="s">
        <v>2492</v>
      </c>
      <c r="B635" s="9">
        <v>10</v>
      </c>
      <c r="C635" s="211" t="s">
        <v>1300</v>
      </c>
      <c r="N635" s="183">
        <v>20</v>
      </c>
      <c r="O635" s="7">
        <v>0.68</v>
      </c>
    </row>
    <row r="636" spans="1:42" ht="14.25" customHeight="1">
      <c r="A636" s="133" t="s">
        <v>2493</v>
      </c>
      <c r="B636" s="9">
        <v>10</v>
      </c>
      <c r="C636" s="7" t="s">
        <v>1301</v>
      </c>
      <c r="N636" s="183">
        <v>10</v>
      </c>
      <c r="O636" s="7">
        <v>0.68</v>
      </c>
      <c r="AJ636" s="211" t="s">
        <v>1300</v>
      </c>
    </row>
    <row r="637" spans="1:42" ht="14.25" customHeight="1">
      <c r="A637" s="133" t="s">
        <v>2494</v>
      </c>
      <c r="B637" s="9">
        <v>10</v>
      </c>
      <c r="C637" s="7" t="s">
        <v>1302</v>
      </c>
      <c r="N637" s="183">
        <v>10</v>
      </c>
      <c r="O637" s="7">
        <v>0.68</v>
      </c>
    </row>
    <row r="638" spans="1:42" ht="14.25" customHeight="1">
      <c r="A638" s="133" t="s">
        <v>2495</v>
      </c>
      <c r="B638" s="9">
        <v>10</v>
      </c>
      <c r="C638" s="7" t="s">
        <v>1303</v>
      </c>
      <c r="N638" s="183">
        <v>10</v>
      </c>
      <c r="O638" s="7">
        <v>0.68</v>
      </c>
      <c r="AP638" s="4"/>
    </row>
    <row r="639" spans="1:42" ht="14.25" customHeight="1">
      <c r="A639" s="133" t="s">
        <v>2496</v>
      </c>
      <c r="B639" s="9">
        <v>10</v>
      </c>
      <c r="C639" s="7" t="s">
        <v>1304</v>
      </c>
      <c r="N639" s="183">
        <v>10</v>
      </c>
      <c r="O639" s="7">
        <v>0.68</v>
      </c>
    </row>
    <row r="640" spans="1:42" ht="14.25" customHeight="1">
      <c r="A640" s="116" t="s">
        <v>2734</v>
      </c>
      <c r="B640" s="9">
        <f>60/30</f>
        <v>2</v>
      </c>
      <c r="C640" s="211" t="s">
        <v>1627</v>
      </c>
      <c r="N640" s="183">
        <v>60</v>
      </c>
      <c r="O640" s="56">
        <f>4.5/30</f>
        <v>0.15</v>
      </c>
      <c r="P640" s="107"/>
      <c r="Q640" s="107"/>
    </row>
    <row r="641" spans="1:42" ht="14.25" customHeight="1">
      <c r="A641" s="116" t="s">
        <v>2735</v>
      </c>
      <c r="B641" s="107">
        <f>57.8/30</f>
        <v>1.9266666666666665</v>
      </c>
      <c r="C641" s="7" t="s">
        <v>1626</v>
      </c>
      <c r="N641" s="183">
        <v>60</v>
      </c>
      <c r="O641" s="56">
        <f>4.5/30</f>
        <v>0.15</v>
      </c>
      <c r="P641" s="107"/>
      <c r="Q641" s="107"/>
      <c r="AJ641" s="211" t="s">
        <v>1627</v>
      </c>
    </row>
    <row r="642" spans="1:42" ht="14.25" customHeight="1">
      <c r="A642" s="116" t="s">
        <v>2736</v>
      </c>
      <c r="B642" s="107">
        <f>68.2/30</f>
        <v>2.2733333333333334</v>
      </c>
      <c r="C642" s="7" t="s">
        <v>1628</v>
      </c>
      <c r="N642" s="183">
        <v>60</v>
      </c>
      <c r="O642" s="56">
        <f>5.5/30</f>
        <v>0.18333333333333332</v>
      </c>
      <c r="P642" s="107"/>
      <c r="Q642" s="107"/>
    </row>
    <row r="643" spans="1:42" ht="14.25" customHeight="1">
      <c r="A643" s="116" t="s">
        <v>2737</v>
      </c>
      <c r="B643" s="107">
        <f>69.7/50</f>
        <v>1.3940000000000001</v>
      </c>
      <c r="C643" s="211" t="s">
        <v>1623</v>
      </c>
      <c r="N643" s="183">
        <v>50</v>
      </c>
      <c r="O643" s="56">
        <v>0.08</v>
      </c>
      <c r="P643" s="107"/>
      <c r="Q643" s="107"/>
    </row>
    <row r="644" spans="1:42" ht="14.25" customHeight="1">
      <c r="A644" s="116" t="s">
        <v>2738</v>
      </c>
      <c r="B644" s="107">
        <f>70.6/50</f>
        <v>1.4119999999999999</v>
      </c>
      <c r="C644" s="7" t="s">
        <v>1624</v>
      </c>
      <c r="N644" s="183">
        <v>50</v>
      </c>
      <c r="O644" s="56">
        <v>0.08</v>
      </c>
      <c r="P644" s="107"/>
      <c r="Q644" s="107"/>
      <c r="AJ644" s="211" t="s">
        <v>1623</v>
      </c>
    </row>
    <row r="645" spans="1:42" s="4" customFormat="1" ht="14.25" customHeight="1">
      <c r="A645" s="116" t="s">
        <v>2739</v>
      </c>
      <c r="B645" s="107">
        <f>123.4/50</f>
        <v>2.468</v>
      </c>
      <c r="C645" s="7" t="s">
        <v>1625</v>
      </c>
      <c r="D645" s="183"/>
      <c r="E645" s="183"/>
      <c r="F645" s="188"/>
      <c r="G645" s="188"/>
      <c r="H645" s="183"/>
      <c r="I645" s="183"/>
      <c r="J645" s="188"/>
      <c r="K645" s="188"/>
      <c r="L645" s="9"/>
      <c r="M645" s="9"/>
      <c r="N645" s="183">
        <v>50</v>
      </c>
      <c r="O645" s="56">
        <v>0.12</v>
      </c>
      <c r="P645" s="107"/>
      <c r="Q645" s="107"/>
      <c r="R645" s="7"/>
      <c r="S645" s="126"/>
      <c r="T645" s="126"/>
      <c r="U645" s="236"/>
      <c r="V645" s="103"/>
      <c r="W645" s="9"/>
      <c r="X645" s="9"/>
      <c r="Y645" s="9"/>
      <c r="Z645" s="9"/>
      <c r="AA645" s="126"/>
      <c r="AB645" s="9"/>
      <c r="AC645" s="9"/>
      <c r="AD645" s="9"/>
      <c r="AE645" s="9"/>
      <c r="AF645" s="9"/>
      <c r="AG645" s="9"/>
      <c r="AH645" s="9"/>
      <c r="AI645" s="9"/>
      <c r="AJ645" s="7"/>
      <c r="AK645" s="7"/>
      <c r="AL645" s="7"/>
      <c r="AM645" s="7"/>
      <c r="AN645" s="7"/>
      <c r="AO645" s="7"/>
    </row>
    <row r="646" spans="1:42" ht="14.25" customHeight="1">
      <c r="A646" s="116" t="s">
        <v>2748</v>
      </c>
      <c r="B646" s="107">
        <f>232.5/1000</f>
        <v>0.23250000000000001</v>
      </c>
      <c r="C646" s="211" t="s">
        <v>1653</v>
      </c>
      <c r="N646" s="183">
        <v>1000</v>
      </c>
      <c r="O646" s="56">
        <f>15/N646</f>
        <v>1.4999999999999999E-2</v>
      </c>
      <c r="P646" s="107"/>
      <c r="Q646" s="107"/>
    </row>
    <row r="647" spans="1:42" ht="14.25" customHeight="1">
      <c r="A647" s="116" t="s">
        <v>2749</v>
      </c>
      <c r="B647" s="107">
        <f>262.8/1000</f>
        <v>0.26280000000000003</v>
      </c>
      <c r="C647" s="7" t="s">
        <v>1654</v>
      </c>
      <c r="N647" s="183">
        <v>1000</v>
      </c>
      <c r="O647" s="56">
        <f>15/N647</f>
        <v>1.4999999999999999E-2</v>
      </c>
      <c r="P647" s="107"/>
      <c r="Q647" s="107"/>
      <c r="AJ647" s="211" t="s">
        <v>1653</v>
      </c>
    </row>
    <row r="648" spans="1:42" ht="14.25" customHeight="1">
      <c r="A648" s="116" t="s">
        <v>2750</v>
      </c>
      <c r="B648" s="9">
        <f>5/10</f>
        <v>0.5</v>
      </c>
      <c r="C648" s="7" t="s">
        <v>1655</v>
      </c>
      <c r="N648" s="183">
        <v>1000</v>
      </c>
      <c r="O648" s="56">
        <f>28/N648</f>
        <v>2.8000000000000001E-2</v>
      </c>
      <c r="P648" s="107"/>
      <c r="Q648" s="107"/>
    </row>
    <row r="649" spans="1:42" ht="14.25" customHeight="1">
      <c r="A649" s="116" t="s">
        <v>2720</v>
      </c>
      <c r="B649" s="9">
        <f>3.9/5</f>
        <v>0.78</v>
      </c>
      <c r="C649" s="211" t="s">
        <v>1638</v>
      </c>
      <c r="N649" s="183">
        <v>1000</v>
      </c>
      <c r="O649" s="56">
        <f>40/N649</f>
        <v>0.04</v>
      </c>
      <c r="P649" s="107"/>
      <c r="Q649" s="107"/>
    </row>
    <row r="650" spans="1:42" ht="14.25" customHeight="1">
      <c r="A650" s="116" t="s">
        <v>2721</v>
      </c>
      <c r="B650" s="9">
        <f>3.6/5</f>
        <v>0.72</v>
      </c>
      <c r="C650" s="7" t="s">
        <v>1639</v>
      </c>
      <c r="N650" s="183">
        <v>1000</v>
      </c>
      <c r="O650" s="56">
        <f>47/N650</f>
        <v>4.7E-2</v>
      </c>
      <c r="P650" s="107"/>
      <c r="Q650" s="107"/>
      <c r="AJ650" s="211" t="s">
        <v>1638</v>
      </c>
    </row>
    <row r="651" spans="1:42" ht="14.25" customHeight="1">
      <c r="A651" s="116" t="s">
        <v>2722</v>
      </c>
      <c r="B651" s="9">
        <f>4.7/5</f>
        <v>0.94000000000000006</v>
      </c>
      <c r="C651" s="7" t="s">
        <v>1640</v>
      </c>
      <c r="N651" s="183">
        <v>500</v>
      </c>
      <c r="O651" s="56">
        <f>42.5/N651</f>
        <v>8.5000000000000006E-2</v>
      </c>
      <c r="P651" s="107"/>
      <c r="Q651" s="107"/>
    </row>
    <row r="652" spans="1:42" s="4" customFormat="1" ht="14.25" customHeight="1">
      <c r="A652" s="116" t="s">
        <v>2723</v>
      </c>
      <c r="B652" s="107">
        <f>12.9/50</f>
        <v>0.25800000000000001</v>
      </c>
      <c r="C652" s="211" t="s">
        <v>1642</v>
      </c>
      <c r="D652" s="183"/>
      <c r="E652" s="183"/>
      <c r="F652" s="188"/>
      <c r="G652" s="188"/>
      <c r="H652" s="183"/>
      <c r="I652" s="183"/>
      <c r="J652" s="188"/>
      <c r="K652" s="188"/>
      <c r="L652" s="9"/>
      <c r="M652" s="9"/>
      <c r="N652" s="183">
        <v>50</v>
      </c>
      <c r="O652" s="7">
        <v>0.14000000000000001</v>
      </c>
      <c r="P652" s="9"/>
      <c r="Q652" s="9"/>
      <c r="R652" s="7"/>
      <c r="S652" s="126"/>
      <c r="T652" s="126"/>
      <c r="U652" s="236"/>
      <c r="V652" s="103"/>
      <c r="W652" s="9"/>
      <c r="X652" s="9"/>
      <c r="Y652" s="9"/>
      <c r="Z652" s="9"/>
      <c r="AA652" s="126"/>
      <c r="AB652" s="9"/>
      <c r="AC652" s="9"/>
      <c r="AD652" s="9"/>
      <c r="AE652" s="9"/>
      <c r="AF652" s="9"/>
      <c r="AG652" s="9"/>
      <c r="AH652" s="9"/>
      <c r="AI652" s="9"/>
      <c r="AJ652" s="7"/>
      <c r="AK652" s="7"/>
      <c r="AL652" s="7"/>
      <c r="AM652" s="7"/>
      <c r="AN652" s="7"/>
      <c r="AO652" s="7"/>
      <c r="AP652" s="7"/>
    </row>
    <row r="653" spans="1:42" ht="14.25" customHeight="1">
      <c r="A653" s="116" t="s">
        <v>2724</v>
      </c>
      <c r="B653" s="107">
        <f>41.2/50</f>
        <v>0.82400000000000007</v>
      </c>
      <c r="C653" s="7" t="s">
        <v>1641</v>
      </c>
      <c r="N653" s="183">
        <v>50</v>
      </c>
      <c r="O653" s="7">
        <v>0.11</v>
      </c>
      <c r="AJ653" s="211" t="s">
        <v>1642</v>
      </c>
    </row>
    <row r="654" spans="1:42" ht="14.25" customHeight="1">
      <c r="A654" s="116" t="s">
        <v>2725</v>
      </c>
      <c r="B654" s="107">
        <f>48.9/50</f>
        <v>0.97799999999999998</v>
      </c>
      <c r="C654" s="7" t="s">
        <v>1643</v>
      </c>
      <c r="N654" s="183">
        <v>50</v>
      </c>
      <c r="O654" s="7">
        <v>0.14000000000000001</v>
      </c>
    </row>
    <row r="655" spans="1:42" ht="14.25" customHeight="1">
      <c r="A655" s="116" t="s">
        <v>2726</v>
      </c>
      <c r="B655" s="107">
        <f>84.9/50</f>
        <v>1.6980000000000002</v>
      </c>
      <c r="C655" s="7" t="s">
        <v>1644</v>
      </c>
      <c r="N655" s="183">
        <v>50</v>
      </c>
      <c r="O655" s="7">
        <v>0.2</v>
      </c>
    </row>
    <row r="656" spans="1:42" ht="14.25" customHeight="1">
      <c r="A656" s="116" t="s">
        <v>2727</v>
      </c>
      <c r="B656" s="107">
        <f>5/30</f>
        <v>0.16666666666666666</v>
      </c>
      <c r="C656" s="211" t="s">
        <v>1645</v>
      </c>
      <c r="N656" s="183">
        <v>30</v>
      </c>
      <c r="O656" s="7">
        <v>0.27</v>
      </c>
    </row>
    <row r="657" spans="1:42" ht="14.25" customHeight="1">
      <c r="A657" s="116" t="s">
        <v>2728</v>
      </c>
      <c r="B657" s="107">
        <f>9.6/30</f>
        <v>0.32</v>
      </c>
      <c r="C657" s="7" t="s">
        <v>1646</v>
      </c>
      <c r="N657" s="183">
        <v>30</v>
      </c>
      <c r="O657" s="7">
        <v>0.33</v>
      </c>
      <c r="AJ657" s="211" t="s">
        <v>1645</v>
      </c>
    </row>
    <row r="658" spans="1:42" ht="14.25" customHeight="1">
      <c r="A658" s="116" t="s">
        <v>2729</v>
      </c>
      <c r="B658" s="107">
        <f>18.7/30</f>
        <v>0.62333333333333329</v>
      </c>
      <c r="C658" s="7" t="s">
        <v>1647</v>
      </c>
      <c r="N658" s="183">
        <v>30</v>
      </c>
      <c r="O658" s="7">
        <v>0.36</v>
      </c>
    </row>
    <row r="659" spans="1:42" ht="14.25" customHeight="1">
      <c r="A659" s="116" t="s">
        <v>2730</v>
      </c>
      <c r="B659" s="107">
        <f>24.5/30</f>
        <v>0.81666666666666665</v>
      </c>
      <c r="C659" s="7" t="s">
        <v>1648</v>
      </c>
      <c r="N659" s="183">
        <v>30</v>
      </c>
      <c r="O659" s="7">
        <v>0.43</v>
      </c>
    </row>
    <row r="660" spans="1:42" ht="14.25" customHeight="1">
      <c r="A660" s="116" t="s">
        <v>2731</v>
      </c>
      <c r="B660" s="9">
        <f>7.2/5</f>
        <v>1.44</v>
      </c>
      <c r="C660" s="211" t="s">
        <v>1649</v>
      </c>
      <c r="N660" s="183">
        <v>50</v>
      </c>
      <c r="O660" s="56">
        <f>5/N660</f>
        <v>0.1</v>
      </c>
      <c r="P660" s="107"/>
      <c r="Q660" s="107"/>
    </row>
    <row r="661" spans="1:42" ht="14.25" customHeight="1">
      <c r="A661" s="116" t="s">
        <v>2732</v>
      </c>
      <c r="B661" s="9">
        <f>7.8/5</f>
        <v>1.56</v>
      </c>
      <c r="C661" s="7" t="s">
        <v>1650</v>
      </c>
      <c r="N661" s="183">
        <v>50</v>
      </c>
      <c r="O661" s="56">
        <f>5/N661</f>
        <v>0.1</v>
      </c>
      <c r="P661" s="107"/>
      <c r="Q661" s="107"/>
      <c r="AJ661" s="211" t="s">
        <v>1649</v>
      </c>
      <c r="AP661" s="4"/>
    </row>
    <row r="662" spans="1:42" ht="14.25" customHeight="1">
      <c r="A662" s="116" t="s">
        <v>2733</v>
      </c>
      <c r="B662" s="9">
        <f>9.6/5</f>
        <v>1.92</v>
      </c>
      <c r="C662" s="7" t="s">
        <v>1651</v>
      </c>
      <c r="N662" s="183">
        <v>50</v>
      </c>
      <c r="O662" s="56">
        <f>10/N662</f>
        <v>0.2</v>
      </c>
      <c r="P662" s="107"/>
      <c r="Q662" s="107"/>
    </row>
    <row r="663" spans="1:42" ht="14.25" customHeight="1">
      <c r="A663" s="116" t="s">
        <v>2751</v>
      </c>
      <c r="B663" s="9">
        <f>7.8/5</f>
        <v>1.56</v>
      </c>
      <c r="C663" s="211" t="s">
        <v>1656</v>
      </c>
      <c r="N663" s="183">
        <v>60</v>
      </c>
      <c r="O663" s="7">
        <v>0.35</v>
      </c>
    </row>
    <row r="664" spans="1:42" ht="14.25" customHeight="1">
      <c r="A664" s="116" t="s">
        <v>2752</v>
      </c>
      <c r="B664" s="9">
        <f>8.4/5</f>
        <v>1.6800000000000002</v>
      </c>
      <c r="C664" s="7" t="s">
        <v>1657</v>
      </c>
      <c r="N664" s="183">
        <v>60</v>
      </c>
      <c r="O664" s="7">
        <v>0.35</v>
      </c>
      <c r="AJ664" s="211" t="s">
        <v>1656</v>
      </c>
    </row>
    <row r="665" spans="1:42" ht="14.25" customHeight="1">
      <c r="A665" s="116" t="s">
        <v>2753</v>
      </c>
      <c r="B665" s="9">
        <f>11/5</f>
        <v>2.2000000000000002</v>
      </c>
      <c r="C665" s="7" t="s">
        <v>1658</v>
      </c>
      <c r="N665" s="183">
        <v>30</v>
      </c>
      <c r="O665" s="7">
        <v>0.6</v>
      </c>
    </row>
    <row r="666" spans="1:42" ht="14.25" customHeight="1">
      <c r="A666" s="116" t="s">
        <v>3157</v>
      </c>
      <c r="B666" s="9">
        <f>8.6/5</f>
        <v>1.72</v>
      </c>
      <c r="C666" s="211" t="s">
        <v>1659</v>
      </c>
      <c r="N666" s="183">
        <v>60</v>
      </c>
      <c r="O666" s="7">
        <v>0.35</v>
      </c>
    </row>
    <row r="667" spans="1:42" ht="14.25" customHeight="1">
      <c r="A667" s="116" t="s">
        <v>2754</v>
      </c>
      <c r="B667" s="9">
        <f>9/5</f>
        <v>1.8</v>
      </c>
      <c r="C667" s="7" t="s">
        <v>1660</v>
      </c>
      <c r="N667" s="183">
        <v>60</v>
      </c>
      <c r="O667" s="7">
        <v>0.35</v>
      </c>
      <c r="AJ667" s="211" t="s">
        <v>1659</v>
      </c>
    </row>
    <row r="668" spans="1:42" s="4" customFormat="1" ht="14.25" customHeight="1">
      <c r="A668" s="116" t="s">
        <v>3158</v>
      </c>
      <c r="B668" s="9">
        <f>10.5/5</f>
        <v>2.1</v>
      </c>
      <c r="C668" s="7" t="s">
        <v>1661</v>
      </c>
      <c r="D668" s="183"/>
      <c r="E668" s="183"/>
      <c r="F668" s="188"/>
      <c r="G668" s="188"/>
      <c r="H668" s="183"/>
      <c r="I668" s="183"/>
      <c r="J668" s="188"/>
      <c r="K668" s="188"/>
      <c r="L668" s="9"/>
      <c r="M668" s="9"/>
      <c r="N668" s="183">
        <v>30</v>
      </c>
      <c r="O668" s="7">
        <v>0.6</v>
      </c>
      <c r="P668" s="9"/>
      <c r="Q668" s="9"/>
      <c r="R668" s="7"/>
      <c r="S668" s="126"/>
      <c r="T668" s="126"/>
      <c r="U668" s="236"/>
      <c r="V668" s="103"/>
      <c r="W668" s="9"/>
      <c r="X668" s="9"/>
      <c r="Y668" s="9"/>
      <c r="Z668" s="9"/>
      <c r="AA668" s="126"/>
      <c r="AB668" s="9"/>
      <c r="AC668" s="9"/>
      <c r="AD668" s="9"/>
      <c r="AE668" s="9"/>
      <c r="AF668" s="9"/>
      <c r="AG668" s="9"/>
      <c r="AH668" s="9"/>
      <c r="AI668" s="9"/>
      <c r="AJ668" s="7"/>
      <c r="AK668" s="7"/>
      <c r="AL668" s="7"/>
      <c r="AM668" s="7"/>
      <c r="AN668" s="7"/>
      <c r="AO668" s="7"/>
      <c r="AP668" s="7"/>
    </row>
    <row r="669" spans="1:42" ht="14.25" customHeight="1">
      <c r="A669" s="116" t="s">
        <v>2740</v>
      </c>
      <c r="B669" s="107">
        <f>56.8/30</f>
        <v>1.8933333333333333</v>
      </c>
      <c r="C669" s="211" t="s">
        <v>1629</v>
      </c>
      <c r="N669" s="183">
        <v>30</v>
      </c>
      <c r="O669" s="56">
        <v>0.25</v>
      </c>
      <c r="P669" s="107"/>
      <c r="Q669" s="107"/>
      <c r="AP669" s="4"/>
    </row>
    <row r="670" spans="1:42" ht="14.25" customHeight="1">
      <c r="A670" s="116" t="s">
        <v>2741</v>
      </c>
      <c r="B670" s="107">
        <f>50.5/30</f>
        <v>1.6833333333333333</v>
      </c>
      <c r="C670" s="7" t="s">
        <v>1630</v>
      </c>
      <c r="N670" s="183">
        <v>30</v>
      </c>
      <c r="O670" s="56">
        <v>0.25</v>
      </c>
      <c r="P670" s="107"/>
      <c r="Q670" s="107"/>
      <c r="AJ670" s="211" t="s">
        <v>1629</v>
      </c>
    </row>
    <row r="671" spans="1:42" ht="14.25" customHeight="1">
      <c r="A671" s="116" t="s">
        <v>2742</v>
      </c>
      <c r="B671" s="9">
        <f>92.1/30</f>
        <v>3.07</v>
      </c>
      <c r="C671" s="7" t="s">
        <v>1631</v>
      </c>
      <c r="N671" s="183">
        <v>30</v>
      </c>
      <c r="O671" s="56">
        <v>0.26</v>
      </c>
      <c r="P671" s="107"/>
      <c r="Q671" s="107"/>
    </row>
    <row r="672" spans="1:42" ht="14.25" customHeight="1">
      <c r="A672" s="116" t="s">
        <v>2743</v>
      </c>
      <c r="B672" s="107">
        <f>83.2/30</f>
        <v>2.7733333333333334</v>
      </c>
      <c r="C672" s="7" t="s">
        <v>1632</v>
      </c>
      <c r="N672" s="183">
        <v>30</v>
      </c>
      <c r="O672" s="56">
        <v>0.26</v>
      </c>
      <c r="P672" s="107"/>
      <c r="Q672" s="107"/>
    </row>
    <row r="673" spans="1:42" ht="14.25" customHeight="1">
      <c r="A673" s="116" t="s">
        <v>2744</v>
      </c>
      <c r="B673" s="107">
        <f>144.4/30</f>
        <v>4.8133333333333335</v>
      </c>
      <c r="C673" s="7" t="s">
        <v>1633</v>
      </c>
      <c r="N673" s="183">
        <v>30</v>
      </c>
      <c r="O673" s="56">
        <v>0.35</v>
      </c>
      <c r="P673" s="107"/>
      <c r="Q673" s="107"/>
    </row>
    <row r="674" spans="1:42" ht="14.25" customHeight="1">
      <c r="A674" s="116" t="s">
        <v>2745</v>
      </c>
      <c r="B674" s="9">
        <f>133.5/30</f>
        <v>4.45</v>
      </c>
      <c r="C674" s="7" t="s">
        <v>1634</v>
      </c>
      <c r="N674" s="183">
        <v>30</v>
      </c>
      <c r="O674" s="56">
        <v>0.35</v>
      </c>
      <c r="P674" s="107"/>
      <c r="Q674" s="107"/>
    </row>
    <row r="675" spans="1:42" ht="14.25" customHeight="1">
      <c r="A675" s="116" t="s">
        <v>2746</v>
      </c>
      <c r="B675" s="9">
        <f>201.3/30</f>
        <v>6.71</v>
      </c>
      <c r="C675" s="7" t="s">
        <v>1635</v>
      </c>
      <c r="N675" s="183">
        <v>30</v>
      </c>
      <c r="O675" s="56">
        <v>0.5</v>
      </c>
      <c r="P675" s="107"/>
      <c r="Q675" s="107"/>
    </row>
    <row r="676" spans="1:42" s="4" customFormat="1" ht="14.25" customHeight="1">
      <c r="A676" s="116" t="s">
        <v>2747</v>
      </c>
      <c r="B676" s="107">
        <f>190.3/30</f>
        <v>6.3433333333333337</v>
      </c>
      <c r="C676" s="7" t="s">
        <v>1636</v>
      </c>
      <c r="D676" s="183"/>
      <c r="E676" s="183"/>
      <c r="F676" s="188"/>
      <c r="G676" s="188"/>
      <c r="H676" s="183"/>
      <c r="I676" s="183"/>
      <c r="J676" s="188"/>
      <c r="K676" s="188"/>
      <c r="L676" s="9"/>
      <c r="M676" s="9"/>
      <c r="N676" s="183">
        <v>30</v>
      </c>
      <c r="O676" s="56">
        <v>0.5</v>
      </c>
      <c r="P676" s="107"/>
      <c r="Q676" s="107"/>
      <c r="R676" s="7"/>
      <c r="S676" s="126"/>
      <c r="T676" s="126"/>
      <c r="U676" s="236"/>
      <c r="V676" s="103"/>
      <c r="W676" s="9"/>
      <c r="X676" s="9"/>
      <c r="Y676" s="9"/>
      <c r="Z676" s="9"/>
      <c r="AA676" s="126"/>
      <c r="AB676" s="9"/>
      <c r="AC676" s="9"/>
      <c r="AD676" s="9"/>
      <c r="AE676" s="9"/>
      <c r="AF676" s="9"/>
      <c r="AG676" s="9"/>
      <c r="AH676" s="9"/>
      <c r="AI676" s="9"/>
      <c r="AJ676" s="7"/>
      <c r="AK676" s="7"/>
      <c r="AL676" s="7"/>
      <c r="AM676" s="7"/>
      <c r="AN676" s="7"/>
      <c r="AO676" s="7"/>
      <c r="AP676" s="7"/>
    </row>
    <row r="677" spans="1:42" ht="14.25" customHeight="1">
      <c r="A677" s="116" t="s">
        <v>3039</v>
      </c>
      <c r="B677" s="9">
        <f>26.7</f>
        <v>26.7</v>
      </c>
      <c r="C677" s="211" t="s">
        <v>3164</v>
      </c>
      <c r="D677" s="184"/>
      <c r="E677" s="184"/>
      <c r="H677" s="184"/>
      <c r="I677" s="184"/>
      <c r="L677" s="3"/>
      <c r="M677" s="3"/>
      <c r="N677" s="184">
        <v>50</v>
      </c>
      <c r="O677" s="6">
        <v>0.12</v>
      </c>
      <c r="P677" s="222"/>
      <c r="Q677" s="222"/>
      <c r="AP677" s="4"/>
    </row>
    <row r="678" spans="1:42" ht="14.25" customHeight="1">
      <c r="A678" s="116" t="s">
        <v>3140</v>
      </c>
      <c r="B678" s="9">
        <v>24.7</v>
      </c>
      <c r="C678" s="1" t="s">
        <v>3165</v>
      </c>
      <c r="D678" s="184"/>
      <c r="E678" s="184"/>
      <c r="H678" s="184"/>
      <c r="I678" s="184"/>
      <c r="L678" s="3"/>
      <c r="M678" s="3"/>
      <c r="N678" s="184">
        <v>50</v>
      </c>
      <c r="O678" s="6">
        <v>0.12</v>
      </c>
      <c r="P678" s="222"/>
      <c r="Q678" s="222"/>
      <c r="AJ678" s="211" t="s">
        <v>3164</v>
      </c>
    </row>
    <row r="679" spans="1:42" ht="14.25" customHeight="1">
      <c r="A679" s="116" t="s">
        <v>3141</v>
      </c>
      <c r="B679" s="9">
        <v>25.2</v>
      </c>
      <c r="C679" s="1" t="s">
        <v>3166</v>
      </c>
      <c r="D679" s="184"/>
      <c r="E679" s="184"/>
      <c r="H679" s="184"/>
      <c r="I679" s="184"/>
      <c r="L679" s="3"/>
      <c r="M679" s="3"/>
      <c r="N679" s="184">
        <v>20</v>
      </c>
      <c r="O679" s="6">
        <v>0.12</v>
      </c>
      <c r="P679" s="222"/>
      <c r="Q679" s="222"/>
    </row>
    <row r="680" spans="1:42" ht="14.25" customHeight="1">
      <c r="A680" s="116" t="s">
        <v>3142</v>
      </c>
      <c r="B680" s="9">
        <v>23.6</v>
      </c>
      <c r="C680" s="1" t="s">
        <v>3167</v>
      </c>
      <c r="D680" s="184"/>
      <c r="E680" s="184"/>
      <c r="H680" s="184"/>
      <c r="I680" s="184"/>
      <c r="L680" s="3"/>
      <c r="M680" s="3"/>
      <c r="N680" s="184">
        <v>50</v>
      </c>
      <c r="O680" s="6">
        <v>0.12</v>
      </c>
      <c r="P680" s="222"/>
      <c r="Q680" s="222"/>
      <c r="AP680" s="4"/>
    </row>
    <row r="681" spans="1:42" ht="14.25" customHeight="1">
      <c r="A681" s="116" t="s">
        <v>3143</v>
      </c>
      <c r="B681" s="9">
        <v>25.1</v>
      </c>
      <c r="C681" s="1" t="s">
        <v>3168</v>
      </c>
      <c r="D681" s="184"/>
      <c r="E681" s="184"/>
      <c r="H681" s="184"/>
      <c r="I681" s="184"/>
      <c r="L681" s="3"/>
      <c r="M681" s="3"/>
      <c r="N681" s="184">
        <v>50</v>
      </c>
      <c r="O681" s="6">
        <v>0.12</v>
      </c>
      <c r="P681" s="222"/>
      <c r="Q681" s="222"/>
    </row>
    <row r="682" spans="1:42" ht="14.25" customHeight="1">
      <c r="A682" s="116" t="s">
        <v>3144</v>
      </c>
      <c r="B682" s="9">
        <v>24.4</v>
      </c>
      <c r="C682" s="1" t="s">
        <v>3169</v>
      </c>
      <c r="D682" s="184"/>
      <c r="E682" s="184"/>
      <c r="H682" s="184"/>
      <c r="I682" s="184"/>
      <c r="L682" s="3"/>
      <c r="M682" s="3"/>
      <c r="N682" s="184">
        <v>20</v>
      </c>
      <c r="O682" s="6">
        <v>0.12</v>
      </c>
      <c r="P682" s="222"/>
      <c r="Q682" s="222"/>
    </row>
    <row r="683" spans="1:42" ht="14.25" customHeight="1">
      <c r="A683" s="116" t="s">
        <v>3145</v>
      </c>
      <c r="B683" s="9">
        <v>23.3</v>
      </c>
      <c r="C683" s="1" t="s">
        <v>3170</v>
      </c>
      <c r="D683" s="184"/>
      <c r="E683" s="184"/>
      <c r="H683" s="184"/>
      <c r="I683" s="184"/>
      <c r="L683" s="3"/>
      <c r="M683" s="3"/>
      <c r="N683" s="184">
        <v>50</v>
      </c>
      <c r="O683" s="6">
        <v>0.12</v>
      </c>
      <c r="P683" s="222"/>
      <c r="Q683" s="222"/>
    </row>
    <row r="684" spans="1:42" s="4" customFormat="1" ht="14.25" customHeight="1">
      <c r="A684" s="116" t="s">
        <v>3146</v>
      </c>
      <c r="B684" s="9">
        <v>10.9</v>
      </c>
      <c r="C684" s="1" t="s">
        <v>3171</v>
      </c>
      <c r="D684" s="184"/>
      <c r="E684" s="184"/>
      <c r="F684" s="188"/>
      <c r="G684" s="188"/>
      <c r="H684" s="184"/>
      <c r="I684" s="184"/>
      <c r="J684" s="188"/>
      <c r="K684" s="188"/>
      <c r="L684" s="3"/>
      <c r="M684" s="3"/>
      <c r="N684" s="184">
        <v>50</v>
      </c>
      <c r="O684" s="6">
        <v>0.12</v>
      </c>
      <c r="P684" s="222"/>
      <c r="Q684" s="222"/>
      <c r="R684" s="7"/>
      <c r="S684" s="126"/>
      <c r="T684" s="126"/>
      <c r="U684" s="236"/>
      <c r="V684" s="103"/>
      <c r="W684" s="9"/>
      <c r="X684" s="9"/>
      <c r="Y684" s="9"/>
      <c r="Z684" s="9"/>
      <c r="AA684" s="126"/>
      <c r="AB684" s="9"/>
      <c r="AC684" s="9"/>
      <c r="AD684" s="9"/>
      <c r="AE684" s="9"/>
      <c r="AF684" s="9"/>
      <c r="AG684" s="9"/>
      <c r="AH684" s="9"/>
      <c r="AI684" s="9"/>
      <c r="AJ684" s="7"/>
      <c r="AK684" s="7"/>
      <c r="AL684" s="7"/>
      <c r="AM684" s="7"/>
      <c r="AN684" s="7"/>
      <c r="AO684" s="7"/>
      <c r="AP684" s="7"/>
    </row>
    <row r="685" spans="1:42" ht="14.25" customHeight="1">
      <c r="A685" s="116" t="s">
        <v>3147</v>
      </c>
      <c r="B685" s="9">
        <v>10.5</v>
      </c>
      <c r="C685" s="1" t="s">
        <v>3172</v>
      </c>
      <c r="D685" s="184"/>
      <c r="E685" s="184"/>
      <c r="H685" s="184"/>
      <c r="I685" s="184"/>
      <c r="L685" s="3"/>
      <c r="M685" s="3"/>
      <c r="N685" s="184">
        <v>50</v>
      </c>
      <c r="O685" s="6">
        <v>0.12</v>
      </c>
      <c r="P685" s="222"/>
      <c r="Q685" s="222"/>
    </row>
    <row r="686" spans="1:42" ht="14.25" customHeight="1">
      <c r="A686" s="116" t="s">
        <v>3149</v>
      </c>
      <c r="B686" s="9">
        <v>26.7</v>
      </c>
      <c r="C686" s="211" t="s">
        <v>3184</v>
      </c>
      <c r="D686" s="184"/>
      <c r="E686" s="184"/>
      <c r="H686" s="184"/>
      <c r="I686" s="184"/>
      <c r="L686" s="3"/>
      <c r="M686" s="3"/>
      <c r="N686" s="184">
        <v>20</v>
      </c>
      <c r="O686" s="6">
        <v>0.13</v>
      </c>
      <c r="P686" s="222"/>
      <c r="Q686" s="222"/>
    </row>
    <row r="687" spans="1:42" s="4" customFormat="1" ht="14.25" customHeight="1">
      <c r="A687" s="116" t="s">
        <v>3150</v>
      </c>
      <c r="B687" s="9">
        <v>28.2</v>
      </c>
      <c r="C687" s="1" t="s">
        <v>3185</v>
      </c>
      <c r="D687" s="184"/>
      <c r="E687" s="184"/>
      <c r="F687" s="188"/>
      <c r="G687" s="188"/>
      <c r="H687" s="184"/>
      <c r="I687" s="184"/>
      <c r="J687" s="188"/>
      <c r="K687" s="188"/>
      <c r="L687" s="3"/>
      <c r="M687" s="3"/>
      <c r="N687" s="184">
        <v>20</v>
      </c>
      <c r="O687" s="6">
        <v>0.1</v>
      </c>
      <c r="P687" s="222"/>
      <c r="Q687" s="222"/>
      <c r="R687" s="7"/>
      <c r="S687" s="126"/>
      <c r="T687" s="126"/>
      <c r="U687" s="236"/>
      <c r="V687" s="103"/>
      <c r="W687" s="9"/>
      <c r="X687" s="9"/>
      <c r="Y687" s="9"/>
      <c r="Z687" s="9"/>
      <c r="AA687" s="126"/>
      <c r="AB687" s="9"/>
      <c r="AC687" s="9"/>
      <c r="AD687" s="9"/>
      <c r="AE687" s="9"/>
      <c r="AF687" s="9"/>
      <c r="AG687" s="9"/>
      <c r="AH687" s="9"/>
      <c r="AI687" s="9"/>
      <c r="AJ687" s="211" t="s">
        <v>3184</v>
      </c>
      <c r="AK687" s="7"/>
      <c r="AL687" s="7"/>
      <c r="AM687" s="7"/>
      <c r="AN687" s="7"/>
      <c r="AO687" s="7"/>
      <c r="AP687" s="7"/>
    </row>
    <row r="688" spans="1:42" ht="14.25" customHeight="1">
      <c r="A688" s="116" t="s">
        <v>3151</v>
      </c>
      <c r="B688" s="9">
        <v>64</v>
      </c>
      <c r="C688" s="1" t="s">
        <v>3186</v>
      </c>
      <c r="D688" s="184"/>
      <c r="E688" s="184"/>
      <c r="H688" s="184"/>
      <c r="I688" s="184"/>
      <c r="L688" s="3"/>
      <c r="M688" s="3"/>
      <c r="N688" s="184">
        <v>50</v>
      </c>
      <c r="O688" s="6">
        <v>0.1</v>
      </c>
      <c r="P688" s="222"/>
      <c r="Q688" s="222"/>
    </row>
    <row r="689" spans="1:42" ht="14.25" customHeight="1">
      <c r="A689" s="116" t="s">
        <v>3040</v>
      </c>
      <c r="B689" s="9">
        <v>13.2</v>
      </c>
      <c r="C689" s="211" t="s">
        <v>3173</v>
      </c>
      <c r="D689" s="184"/>
      <c r="E689" s="184"/>
      <c r="H689" s="184"/>
      <c r="I689" s="184"/>
      <c r="L689" s="3"/>
      <c r="M689" s="3"/>
      <c r="N689" s="184">
        <v>20</v>
      </c>
      <c r="O689" s="6">
        <v>0.13</v>
      </c>
      <c r="P689" s="222"/>
      <c r="Q689" s="222"/>
    </row>
    <row r="690" spans="1:42" ht="14.25" customHeight="1">
      <c r="A690" s="116" t="s">
        <v>3041</v>
      </c>
      <c r="B690" s="9">
        <v>13.7</v>
      </c>
      <c r="C690" s="1" t="s">
        <v>3174</v>
      </c>
      <c r="D690" s="184"/>
      <c r="E690" s="184"/>
      <c r="H690" s="184"/>
      <c r="I690" s="184"/>
      <c r="L690" s="3"/>
      <c r="M690" s="3"/>
      <c r="N690" s="184">
        <v>20</v>
      </c>
      <c r="O690" s="6">
        <v>0.1</v>
      </c>
      <c r="P690" s="222"/>
      <c r="Q690" s="222"/>
      <c r="AJ690" s="211" t="s">
        <v>3173</v>
      </c>
      <c r="AP690" s="4"/>
    </row>
    <row r="691" spans="1:42" ht="14.25" customHeight="1">
      <c r="A691" s="116" t="s">
        <v>3042</v>
      </c>
      <c r="B691" s="9">
        <v>32.9</v>
      </c>
      <c r="C691" s="1" t="s">
        <v>3175</v>
      </c>
      <c r="D691" s="184"/>
      <c r="E691" s="184"/>
      <c r="H691" s="184"/>
      <c r="I691" s="184"/>
      <c r="L691" s="3"/>
      <c r="M691" s="3"/>
      <c r="N691" s="184">
        <v>50</v>
      </c>
      <c r="O691" s="6">
        <v>0.1</v>
      </c>
      <c r="P691" s="222"/>
      <c r="Q691" s="222"/>
    </row>
    <row r="692" spans="1:42" ht="14.25" customHeight="1">
      <c r="A692" s="116" t="s">
        <v>3043</v>
      </c>
      <c r="B692" s="9">
        <v>27.9</v>
      </c>
      <c r="C692" s="1" t="s">
        <v>3176</v>
      </c>
      <c r="D692" s="184"/>
      <c r="E692" s="184"/>
      <c r="H692" s="184"/>
      <c r="I692" s="184"/>
      <c r="L692" s="3"/>
      <c r="M692" s="3"/>
      <c r="N692" s="184">
        <v>50</v>
      </c>
      <c r="O692" s="6">
        <v>0.1</v>
      </c>
      <c r="P692" s="222"/>
      <c r="Q692" s="222"/>
    </row>
    <row r="693" spans="1:42" ht="14.25" customHeight="1">
      <c r="A693" s="116" t="s">
        <v>3044</v>
      </c>
      <c r="B693" s="9">
        <v>36.1</v>
      </c>
      <c r="C693" s="1" t="s">
        <v>3177</v>
      </c>
      <c r="D693" s="184"/>
      <c r="E693" s="184"/>
      <c r="H693" s="184"/>
      <c r="I693" s="184"/>
      <c r="L693" s="3"/>
      <c r="M693" s="3"/>
      <c r="N693" s="184">
        <v>50</v>
      </c>
      <c r="O693" s="6">
        <v>0.1</v>
      </c>
      <c r="P693" s="222"/>
      <c r="Q693" s="222"/>
    </row>
    <row r="694" spans="1:42" ht="14.25" customHeight="1">
      <c r="A694" s="116" t="s">
        <v>3045</v>
      </c>
      <c r="B694" s="9">
        <v>33.9</v>
      </c>
      <c r="C694" s="1" t="s">
        <v>3178</v>
      </c>
      <c r="D694" s="184"/>
      <c r="E694" s="184"/>
      <c r="H694" s="184"/>
      <c r="I694" s="184"/>
      <c r="L694" s="3"/>
      <c r="M694" s="3"/>
      <c r="N694" s="184">
        <v>50</v>
      </c>
      <c r="O694" s="6">
        <v>0.1</v>
      </c>
      <c r="P694" s="222"/>
      <c r="Q694" s="222"/>
    </row>
    <row r="695" spans="1:42" ht="14.25" customHeight="1">
      <c r="A695" s="116" t="s">
        <v>3046</v>
      </c>
      <c r="B695" s="9">
        <v>30.7</v>
      </c>
      <c r="C695" s="1" t="s">
        <v>3179</v>
      </c>
      <c r="D695" s="184"/>
      <c r="E695" s="184"/>
      <c r="H695" s="184"/>
      <c r="I695" s="184"/>
      <c r="L695" s="3"/>
      <c r="M695" s="3"/>
      <c r="N695" s="184">
        <v>50</v>
      </c>
      <c r="O695" s="6">
        <v>0.1</v>
      </c>
      <c r="P695" s="222"/>
      <c r="Q695" s="222"/>
    </row>
    <row r="696" spans="1:42" ht="14.25" customHeight="1">
      <c r="A696" s="116" t="s">
        <v>3047</v>
      </c>
      <c r="B696" s="9">
        <v>29.4</v>
      </c>
      <c r="C696" s="1" t="s">
        <v>3180</v>
      </c>
      <c r="D696" s="184"/>
      <c r="E696" s="184"/>
      <c r="H696" s="184"/>
      <c r="I696" s="184"/>
      <c r="L696" s="3"/>
      <c r="M696" s="3"/>
      <c r="N696" s="184">
        <v>20</v>
      </c>
      <c r="O696" s="6">
        <v>0.1</v>
      </c>
      <c r="P696" s="222"/>
      <c r="Q696" s="222"/>
    </row>
    <row r="697" spans="1:42" s="4" customFormat="1" ht="14.25" customHeight="1">
      <c r="A697" s="116" t="s">
        <v>3048</v>
      </c>
      <c r="B697" s="9">
        <v>34.1</v>
      </c>
      <c r="C697" s="1" t="s">
        <v>3181</v>
      </c>
      <c r="D697" s="184"/>
      <c r="E697" s="184"/>
      <c r="F697" s="188"/>
      <c r="G697" s="188"/>
      <c r="H697" s="184"/>
      <c r="I697" s="184"/>
      <c r="J697" s="188"/>
      <c r="K697" s="188"/>
      <c r="L697" s="3"/>
      <c r="M697" s="3"/>
      <c r="N697" s="184">
        <v>50</v>
      </c>
      <c r="O697" s="6">
        <v>0.1</v>
      </c>
      <c r="P697" s="222"/>
      <c r="Q697" s="222"/>
      <c r="R697" s="7"/>
      <c r="S697" s="126"/>
      <c r="T697" s="126"/>
      <c r="U697" s="236"/>
      <c r="V697" s="103"/>
      <c r="W697" s="9"/>
      <c r="X697" s="9"/>
      <c r="Y697" s="9"/>
      <c r="Z697" s="9"/>
      <c r="AA697" s="126"/>
      <c r="AB697" s="9"/>
      <c r="AC697" s="9"/>
      <c r="AD697" s="9"/>
      <c r="AE697" s="9"/>
      <c r="AF697" s="9"/>
      <c r="AG697" s="9"/>
      <c r="AH697" s="9"/>
      <c r="AI697" s="9"/>
      <c r="AJ697" s="7"/>
      <c r="AK697" s="7"/>
      <c r="AL697" s="7"/>
      <c r="AM697" s="7"/>
      <c r="AN697" s="7"/>
      <c r="AO697" s="7"/>
      <c r="AP697" s="7"/>
    </row>
    <row r="698" spans="1:42" ht="14.25" customHeight="1">
      <c r="A698" s="116" t="s">
        <v>3148</v>
      </c>
      <c r="B698" s="9">
        <v>15.9</v>
      </c>
      <c r="C698" s="1" t="s">
        <v>3182</v>
      </c>
      <c r="D698" s="184"/>
      <c r="E698" s="184"/>
      <c r="H698" s="184"/>
      <c r="I698" s="184"/>
      <c r="L698" s="3"/>
      <c r="M698" s="3"/>
      <c r="N698" s="184">
        <v>50</v>
      </c>
      <c r="O698" s="6">
        <v>0.1</v>
      </c>
      <c r="P698" s="222"/>
      <c r="Q698" s="222"/>
    </row>
    <row r="699" spans="1:42" ht="14.25" customHeight="1">
      <c r="A699" s="116" t="s">
        <v>2763</v>
      </c>
      <c r="B699" s="9">
        <v>17.3</v>
      </c>
      <c r="C699" s="1" t="s">
        <v>3183</v>
      </c>
      <c r="D699" s="184"/>
      <c r="E699" s="184"/>
      <c r="H699" s="184"/>
      <c r="I699" s="184"/>
      <c r="L699" s="3"/>
      <c r="M699" s="3"/>
      <c r="N699" s="184">
        <v>20</v>
      </c>
      <c r="O699" s="6">
        <v>0.1</v>
      </c>
      <c r="P699" s="222"/>
      <c r="Q699" s="222"/>
    </row>
    <row r="700" spans="1:42" ht="14.25" customHeight="1">
      <c r="A700" s="116" t="s">
        <v>3152</v>
      </c>
      <c r="B700" s="9">
        <v>68.900000000000006</v>
      </c>
      <c r="C700" s="1" t="s">
        <v>3187</v>
      </c>
      <c r="D700" s="184"/>
      <c r="E700" s="184"/>
      <c r="H700" s="184"/>
      <c r="I700" s="184"/>
      <c r="L700" s="3"/>
      <c r="M700" s="3"/>
      <c r="N700" s="184">
        <v>50</v>
      </c>
      <c r="O700" s="6">
        <v>0.1</v>
      </c>
      <c r="P700" s="222"/>
      <c r="Q700" s="222"/>
      <c r="AP700" s="4"/>
    </row>
    <row r="701" spans="1:42" ht="14.25" customHeight="1">
      <c r="A701" s="116" t="s">
        <v>2764</v>
      </c>
      <c r="B701" s="9">
        <v>71.900000000000006</v>
      </c>
      <c r="C701" s="1" t="s">
        <v>3188</v>
      </c>
      <c r="D701" s="184"/>
      <c r="E701" s="184"/>
      <c r="H701" s="184"/>
      <c r="I701" s="184"/>
      <c r="L701" s="3"/>
      <c r="M701" s="3"/>
      <c r="N701" s="184">
        <v>50</v>
      </c>
      <c r="O701" s="6">
        <v>0.1</v>
      </c>
      <c r="P701" s="222"/>
      <c r="Q701" s="222"/>
    </row>
    <row r="702" spans="1:42" ht="14.25" customHeight="1">
      <c r="A702" s="116" t="s">
        <v>2765</v>
      </c>
      <c r="B702" s="9">
        <v>71</v>
      </c>
      <c r="C702" s="1" t="s">
        <v>3189</v>
      </c>
      <c r="D702" s="184"/>
      <c r="E702" s="184"/>
      <c r="H702" s="184"/>
      <c r="I702" s="184"/>
      <c r="L702" s="3"/>
      <c r="M702" s="3"/>
      <c r="N702" s="184">
        <v>50</v>
      </c>
      <c r="O702" s="6">
        <v>0.1</v>
      </c>
      <c r="P702" s="222"/>
      <c r="Q702" s="222"/>
    </row>
    <row r="703" spans="1:42" ht="14.25" customHeight="1">
      <c r="A703" s="116" t="s">
        <v>2766</v>
      </c>
      <c r="B703" s="9">
        <v>73.400000000000006</v>
      </c>
      <c r="C703" s="1" t="s">
        <v>3190</v>
      </c>
      <c r="D703" s="184"/>
      <c r="E703" s="184"/>
      <c r="H703" s="184"/>
      <c r="I703" s="184"/>
      <c r="L703" s="3"/>
      <c r="M703" s="3"/>
      <c r="N703" s="184">
        <v>50</v>
      </c>
      <c r="O703" s="6">
        <v>0.1</v>
      </c>
      <c r="P703" s="222"/>
      <c r="Q703" s="222"/>
    </row>
    <row r="704" spans="1:42" ht="14.25" customHeight="1">
      <c r="A704" s="116" t="s">
        <v>2767</v>
      </c>
      <c r="B704" s="9">
        <v>70.400000000000006</v>
      </c>
      <c r="C704" s="1" t="s">
        <v>3191</v>
      </c>
      <c r="D704" s="184"/>
      <c r="E704" s="184"/>
      <c r="H704" s="184"/>
      <c r="I704" s="184"/>
      <c r="L704" s="3"/>
      <c r="M704" s="3"/>
      <c r="N704" s="184">
        <v>50</v>
      </c>
      <c r="O704" s="6">
        <v>0.1</v>
      </c>
      <c r="P704" s="222"/>
      <c r="Q704" s="222"/>
    </row>
    <row r="705" spans="1:42" ht="14.25" customHeight="1">
      <c r="A705" s="116" t="s">
        <v>2768</v>
      </c>
      <c r="B705" s="9">
        <v>69.3</v>
      </c>
      <c r="C705" s="1" t="s">
        <v>3192</v>
      </c>
      <c r="D705" s="184"/>
      <c r="E705" s="184"/>
      <c r="H705" s="184"/>
      <c r="I705" s="184"/>
      <c r="L705" s="3"/>
      <c r="M705" s="3"/>
      <c r="N705" s="184">
        <v>50</v>
      </c>
      <c r="O705" s="6">
        <v>0.1</v>
      </c>
      <c r="P705" s="222"/>
      <c r="Q705" s="222"/>
    </row>
    <row r="706" spans="1:42" ht="14.25" customHeight="1">
      <c r="A706" s="116" t="s">
        <v>2769</v>
      </c>
      <c r="B706" s="9">
        <v>28.1</v>
      </c>
      <c r="C706" s="1" t="s">
        <v>3193</v>
      </c>
      <c r="D706" s="184"/>
      <c r="E706" s="184"/>
      <c r="H706" s="184"/>
      <c r="I706" s="184"/>
      <c r="L706" s="3"/>
      <c r="M706" s="3"/>
      <c r="N706" s="184">
        <v>20</v>
      </c>
      <c r="O706" s="6">
        <v>0.1</v>
      </c>
      <c r="P706" s="222"/>
      <c r="Q706" s="222"/>
    </row>
    <row r="707" spans="1:42" s="4" customFormat="1" ht="14.25" customHeight="1">
      <c r="A707" s="116" t="s">
        <v>2770</v>
      </c>
      <c r="B707" s="9">
        <v>28.7</v>
      </c>
      <c r="C707" s="1" t="s">
        <v>3194</v>
      </c>
      <c r="D707" s="184"/>
      <c r="E707" s="184"/>
      <c r="F707" s="188"/>
      <c r="G707" s="188"/>
      <c r="H707" s="184"/>
      <c r="I707" s="184"/>
      <c r="J707" s="188"/>
      <c r="K707" s="188"/>
      <c r="L707" s="3"/>
      <c r="M707" s="3"/>
      <c r="N707" s="184">
        <v>20</v>
      </c>
      <c r="O707" s="6">
        <v>0.1</v>
      </c>
      <c r="P707" s="222"/>
      <c r="Q707" s="222"/>
      <c r="R707" s="7"/>
      <c r="S707" s="126"/>
      <c r="T707" s="126"/>
      <c r="U707" s="236"/>
      <c r="V707" s="103"/>
      <c r="W707" s="9"/>
      <c r="X707" s="9"/>
      <c r="Y707" s="9"/>
      <c r="Z707" s="9"/>
      <c r="AA707" s="126"/>
      <c r="AB707" s="9"/>
      <c r="AC707" s="9"/>
      <c r="AD707" s="9"/>
      <c r="AE707" s="9"/>
      <c r="AF707" s="9"/>
      <c r="AG707" s="9"/>
      <c r="AH707" s="9"/>
      <c r="AI707" s="9"/>
      <c r="AJ707" s="7"/>
      <c r="AK707" s="7"/>
      <c r="AL707" s="7"/>
      <c r="AM707" s="7"/>
      <c r="AN707" s="7"/>
      <c r="AO707" s="7"/>
      <c r="AP707" s="7"/>
    </row>
    <row r="708" spans="1:42" ht="14.25" customHeight="1">
      <c r="A708" s="116" t="s">
        <v>2771</v>
      </c>
      <c r="B708" s="9">
        <v>26.5</v>
      </c>
      <c r="C708" s="1" t="s">
        <v>3195</v>
      </c>
      <c r="D708" s="184"/>
      <c r="E708" s="184"/>
      <c r="H708" s="184"/>
      <c r="I708" s="184"/>
      <c r="L708" s="3"/>
      <c r="M708" s="3"/>
      <c r="N708" s="184">
        <v>20</v>
      </c>
      <c r="O708" s="6">
        <v>0.12</v>
      </c>
      <c r="P708" s="222"/>
      <c r="Q708" s="222"/>
    </row>
    <row r="709" spans="1:42" ht="14.25" customHeight="1">
      <c r="A709" s="116" t="s">
        <v>2785</v>
      </c>
      <c r="B709" s="107">
        <f>16.9/3</f>
        <v>5.6333333333333329</v>
      </c>
      <c r="C709" s="211" t="s">
        <v>3196</v>
      </c>
      <c r="D709" s="184"/>
      <c r="E709" s="184"/>
      <c r="H709" s="184"/>
      <c r="I709" s="184"/>
      <c r="L709" s="3"/>
      <c r="M709" s="3"/>
      <c r="N709" s="184">
        <v>3</v>
      </c>
      <c r="O709" s="6">
        <v>1</v>
      </c>
      <c r="P709" s="222"/>
      <c r="Q709" s="222"/>
    </row>
    <row r="710" spans="1:42" ht="14.25" customHeight="1">
      <c r="A710" s="116" t="s">
        <v>2786</v>
      </c>
      <c r="B710" s="107">
        <f>17.1/3</f>
        <v>5.7</v>
      </c>
      <c r="C710" s="1" t="s">
        <v>3197</v>
      </c>
      <c r="D710" s="184"/>
      <c r="E710" s="184"/>
      <c r="H710" s="184"/>
      <c r="I710" s="184"/>
      <c r="L710" s="3"/>
      <c r="M710" s="3"/>
      <c r="N710" s="184">
        <v>3</v>
      </c>
      <c r="O710" s="6">
        <v>1</v>
      </c>
      <c r="P710" s="222"/>
      <c r="Q710" s="222"/>
      <c r="AJ710" s="211" t="s">
        <v>3196</v>
      </c>
    </row>
    <row r="711" spans="1:42" ht="14.25" customHeight="1">
      <c r="A711" s="116" t="s">
        <v>2787</v>
      </c>
      <c r="B711" s="107">
        <f>20/3</f>
        <v>6.666666666666667</v>
      </c>
      <c r="C711" s="1" t="s">
        <v>3198</v>
      </c>
      <c r="D711" s="184"/>
      <c r="E711" s="184"/>
      <c r="H711" s="184"/>
      <c r="I711" s="184"/>
      <c r="L711" s="3"/>
      <c r="M711" s="3"/>
      <c r="N711" s="184">
        <v>3</v>
      </c>
      <c r="O711" s="6">
        <v>1</v>
      </c>
      <c r="P711" s="222"/>
      <c r="Q711" s="222"/>
    </row>
    <row r="712" spans="1:42" ht="14.25" customHeight="1">
      <c r="A712" s="116" t="s">
        <v>2788</v>
      </c>
      <c r="B712" s="107">
        <f>19.2/3</f>
        <v>6.3999999999999995</v>
      </c>
      <c r="C712" s="1" t="s">
        <v>3199</v>
      </c>
      <c r="D712" s="184"/>
      <c r="E712" s="184"/>
      <c r="H712" s="184"/>
      <c r="I712" s="184"/>
      <c r="L712" s="3"/>
      <c r="M712" s="3"/>
      <c r="N712" s="184">
        <v>3</v>
      </c>
      <c r="O712" s="6">
        <v>1</v>
      </c>
      <c r="P712" s="222"/>
      <c r="Q712" s="222"/>
    </row>
    <row r="713" spans="1:42" ht="14.25" customHeight="1">
      <c r="A713" s="116" t="s">
        <v>2789</v>
      </c>
      <c r="B713" s="107">
        <f>20.2/3</f>
        <v>6.7333333333333334</v>
      </c>
      <c r="C713" s="1" t="s">
        <v>3200</v>
      </c>
      <c r="D713" s="184"/>
      <c r="E713" s="184"/>
      <c r="H713" s="184"/>
      <c r="I713" s="184"/>
      <c r="L713" s="3"/>
      <c r="M713" s="3"/>
      <c r="N713" s="184">
        <v>3</v>
      </c>
      <c r="O713" s="6">
        <v>1</v>
      </c>
      <c r="P713" s="222"/>
      <c r="Q713" s="222"/>
    </row>
    <row r="714" spans="1:42" ht="14.25" customHeight="1">
      <c r="A714" s="116" t="s">
        <v>2790</v>
      </c>
      <c r="B714" s="107">
        <f>18.8/3</f>
        <v>6.2666666666666666</v>
      </c>
      <c r="C714" s="1" t="s">
        <v>3201</v>
      </c>
      <c r="D714" s="184"/>
      <c r="E714" s="184"/>
      <c r="H714" s="184"/>
      <c r="I714" s="184"/>
      <c r="L714" s="3"/>
      <c r="M714" s="3"/>
      <c r="N714" s="184">
        <v>3</v>
      </c>
      <c r="O714" s="6">
        <v>1</v>
      </c>
      <c r="P714" s="222"/>
      <c r="Q714" s="222"/>
    </row>
    <row r="715" spans="1:42" ht="14.25" customHeight="1">
      <c r="A715" s="116" t="s">
        <v>2791</v>
      </c>
      <c r="B715" s="107">
        <f>20/3</f>
        <v>6.666666666666667</v>
      </c>
      <c r="C715" s="1" t="s">
        <v>3202</v>
      </c>
      <c r="D715" s="184"/>
      <c r="E715" s="184"/>
      <c r="H715" s="184"/>
      <c r="I715" s="184"/>
      <c r="L715" s="3"/>
      <c r="M715" s="3"/>
      <c r="N715" s="184">
        <v>3</v>
      </c>
      <c r="O715" s="6">
        <v>1</v>
      </c>
      <c r="P715" s="222"/>
      <c r="Q715" s="222"/>
    </row>
    <row r="716" spans="1:42" ht="14.25" customHeight="1">
      <c r="A716" s="116" t="s">
        <v>2774</v>
      </c>
      <c r="B716" s="107">
        <f t="shared" ref="B716:B725" si="61">358/500</f>
        <v>0.71599999999999997</v>
      </c>
      <c r="C716" s="211" t="s">
        <v>3203</v>
      </c>
      <c r="D716" s="184"/>
      <c r="E716" s="184"/>
      <c r="H716" s="184"/>
      <c r="I716" s="184"/>
      <c r="L716" s="3"/>
      <c r="M716" s="3"/>
      <c r="N716" s="184">
        <v>100</v>
      </c>
      <c r="O716" s="6">
        <f t="shared" ref="O716:O725" si="62">6/100</f>
        <v>0.06</v>
      </c>
      <c r="P716" s="222"/>
      <c r="Q716" s="222"/>
    </row>
    <row r="717" spans="1:42" ht="14.25" customHeight="1">
      <c r="A717" s="116" t="s">
        <v>2775</v>
      </c>
      <c r="B717" s="107">
        <f t="shared" si="61"/>
        <v>0.71599999999999997</v>
      </c>
      <c r="C717" s="1" t="s">
        <v>3204</v>
      </c>
      <c r="D717" s="184"/>
      <c r="E717" s="184"/>
      <c r="H717" s="184"/>
      <c r="I717" s="184"/>
      <c r="L717" s="3"/>
      <c r="M717" s="3"/>
      <c r="N717" s="184">
        <v>100</v>
      </c>
      <c r="O717" s="6">
        <f t="shared" si="62"/>
        <v>0.06</v>
      </c>
      <c r="P717" s="222"/>
      <c r="Q717" s="222"/>
      <c r="AJ717" s="211" t="s">
        <v>3203</v>
      </c>
      <c r="AP717" s="4"/>
    </row>
    <row r="718" spans="1:42" ht="14.25" customHeight="1">
      <c r="A718" s="116" t="s">
        <v>2776</v>
      </c>
      <c r="B718" s="107">
        <f t="shared" si="61"/>
        <v>0.71599999999999997</v>
      </c>
      <c r="C718" s="1" t="s">
        <v>3205</v>
      </c>
      <c r="D718" s="184"/>
      <c r="E718" s="184"/>
      <c r="H718" s="184"/>
      <c r="I718" s="184"/>
      <c r="L718" s="3"/>
      <c r="M718" s="3"/>
      <c r="N718" s="184">
        <v>100</v>
      </c>
      <c r="O718" s="6">
        <f t="shared" si="62"/>
        <v>0.06</v>
      </c>
      <c r="P718" s="222"/>
      <c r="Q718" s="222"/>
    </row>
    <row r="719" spans="1:42" ht="14.25" customHeight="1">
      <c r="A719" s="116" t="s">
        <v>2777</v>
      </c>
      <c r="B719" s="107">
        <f t="shared" si="61"/>
        <v>0.71599999999999997</v>
      </c>
      <c r="C719" s="1" t="s">
        <v>3206</v>
      </c>
      <c r="D719" s="184"/>
      <c r="E719" s="184"/>
      <c r="H719" s="184"/>
      <c r="I719" s="184"/>
      <c r="L719" s="3"/>
      <c r="M719" s="3"/>
      <c r="N719" s="184">
        <v>100</v>
      </c>
      <c r="O719" s="6">
        <f t="shared" si="62"/>
        <v>0.06</v>
      </c>
      <c r="P719" s="222"/>
      <c r="Q719" s="222"/>
    </row>
    <row r="720" spans="1:42" ht="14.25" customHeight="1">
      <c r="A720" s="116" t="s">
        <v>2778</v>
      </c>
      <c r="B720" s="107">
        <f t="shared" si="61"/>
        <v>0.71599999999999997</v>
      </c>
      <c r="C720" s="1" t="s">
        <v>3207</v>
      </c>
      <c r="D720" s="184"/>
      <c r="E720" s="184"/>
      <c r="H720" s="184"/>
      <c r="I720" s="184"/>
      <c r="L720" s="3"/>
      <c r="M720" s="3"/>
      <c r="N720" s="184">
        <v>100</v>
      </c>
      <c r="O720" s="6">
        <f t="shared" si="62"/>
        <v>0.06</v>
      </c>
      <c r="P720" s="222"/>
      <c r="Q720" s="222"/>
    </row>
    <row r="721" spans="1:42" ht="14.25" customHeight="1">
      <c r="A721" s="116" t="s">
        <v>2779</v>
      </c>
      <c r="B721" s="107">
        <f t="shared" si="61"/>
        <v>0.71599999999999997</v>
      </c>
      <c r="C721" s="1" t="s">
        <v>3208</v>
      </c>
      <c r="D721" s="184"/>
      <c r="E721" s="184"/>
      <c r="H721" s="184"/>
      <c r="I721" s="184"/>
      <c r="L721" s="3"/>
      <c r="M721" s="3"/>
      <c r="N721" s="184">
        <v>100</v>
      </c>
      <c r="O721" s="6">
        <f t="shared" si="62"/>
        <v>0.06</v>
      </c>
      <c r="P721" s="222"/>
      <c r="Q721" s="222"/>
    </row>
    <row r="722" spans="1:42" ht="14.25" customHeight="1">
      <c r="A722" s="116" t="s">
        <v>2780</v>
      </c>
      <c r="B722" s="107">
        <f t="shared" si="61"/>
        <v>0.71599999999999997</v>
      </c>
      <c r="C722" s="1" t="s">
        <v>3209</v>
      </c>
      <c r="D722" s="184"/>
      <c r="E722" s="184"/>
      <c r="H722" s="184"/>
      <c r="I722" s="184"/>
      <c r="L722" s="3"/>
      <c r="M722" s="3"/>
      <c r="N722" s="184">
        <v>100</v>
      </c>
      <c r="O722" s="6">
        <f t="shared" si="62"/>
        <v>0.06</v>
      </c>
      <c r="P722" s="222"/>
      <c r="Q722" s="222"/>
    </row>
    <row r="723" spans="1:42" ht="14.25" customHeight="1">
      <c r="A723" s="116" t="s">
        <v>2781</v>
      </c>
      <c r="B723" s="107">
        <f t="shared" si="61"/>
        <v>0.71599999999999997</v>
      </c>
      <c r="C723" s="1" t="s">
        <v>3210</v>
      </c>
      <c r="D723" s="184"/>
      <c r="E723" s="184"/>
      <c r="H723" s="184"/>
      <c r="I723" s="184"/>
      <c r="L723" s="3"/>
      <c r="M723" s="3"/>
      <c r="N723" s="184">
        <v>100</v>
      </c>
      <c r="O723" s="6">
        <f t="shared" si="62"/>
        <v>0.06</v>
      </c>
      <c r="P723" s="222"/>
      <c r="Q723" s="222"/>
    </row>
    <row r="724" spans="1:42" s="4" customFormat="1" ht="14.25" customHeight="1">
      <c r="A724" s="116" t="s">
        <v>2782</v>
      </c>
      <c r="B724" s="107">
        <f t="shared" si="61"/>
        <v>0.71599999999999997</v>
      </c>
      <c r="C724" s="1" t="s">
        <v>3211</v>
      </c>
      <c r="D724" s="184"/>
      <c r="E724" s="184"/>
      <c r="F724" s="188"/>
      <c r="G724" s="188"/>
      <c r="H724" s="184"/>
      <c r="I724" s="184"/>
      <c r="J724" s="188"/>
      <c r="K724" s="188"/>
      <c r="L724" s="3"/>
      <c r="M724" s="3"/>
      <c r="N724" s="184">
        <v>100</v>
      </c>
      <c r="O724" s="6">
        <f t="shared" si="62"/>
        <v>0.06</v>
      </c>
      <c r="P724" s="222"/>
      <c r="Q724" s="222"/>
      <c r="R724" s="7"/>
      <c r="S724" s="126"/>
      <c r="T724" s="126"/>
      <c r="U724" s="236"/>
      <c r="V724" s="103"/>
      <c r="W724" s="9"/>
      <c r="X724" s="9"/>
      <c r="Y724" s="9"/>
      <c r="Z724" s="9"/>
      <c r="AA724" s="126"/>
      <c r="AB724" s="9"/>
      <c r="AC724" s="9"/>
      <c r="AD724" s="9"/>
      <c r="AE724" s="9"/>
      <c r="AF724" s="9"/>
      <c r="AG724" s="9"/>
      <c r="AH724" s="9"/>
      <c r="AI724" s="9"/>
      <c r="AJ724" s="7"/>
      <c r="AK724" s="7"/>
      <c r="AL724" s="7"/>
      <c r="AM724" s="7"/>
      <c r="AN724" s="7"/>
      <c r="AO724" s="7"/>
      <c r="AP724" s="7"/>
    </row>
    <row r="725" spans="1:42" ht="14.25" customHeight="1">
      <c r="A725" s="116" t="s">
        <v>2783</v>
      </c>
      <c r="B725" s="107">
        <f t="shared" si="61"/>
        <v>0.71599999999999997</v>
      </c>
      <c r="C725" s="1" t="s">
        <v>3212</v>
      </c>
      <c r="D725" s="184"/>
      <c r="E725" s="184"/>
      <c r="H725" s="184"/>
      <c r="I725" s="184"/>
      <c r="L725" s="3"/>
      <c r="M725" s="3"/>
      <c r="N725" s="184">
        <v>100</v>
      </c>
      <c r="O725" s="6">
        <f t="shared" si="62"/>
        <v>0.06</v>
      </c>
      <c r="P725" s="222"/>
      <c r="Q725" s="222"/>
    </row>
    <row r="726" spans="1:42" ht="14.25" customHeight="1">
      <c r="A726" s="116" t="s">
        <v>2792</v>
      </c>
      <c r="B726" s="107">
        <f t="shared" ref="B726:B734" si="63">497/400</f>
        <v>1.2424999999999999</v>
      </c>
      <c r="C726" s="211" t="s">
        <v>3213</v>
      </c>
      <c r="D726" s="184"/>
      <c r="E726" s="184"/>
      <c r="H726" s="184"/>
      <c r="I726" s="184"/>
      <c r="L726" s="3"/>
      <c r="M726" s="3"/>
      <c r="N726" s="184">
        <v>100</v>
      </c>
      <c r="O726" s="6">
        <f t="shared" ref="O726:O734" si="64">7/100</f>
        <v>7.0000000000000007E-2</v>
      </c>
      <c r="P726" s="222"/>
      <c r="Q726" s="222"/>
    </row>
    <row r="727" spans="1:42" ht="14.25" customHeight="1">
      <c r="A727" s="116" t="s">
        <v>2793</v>
      </c>
      <c r="B727" s="107">
        <f t="shared" si="63"/>
        <v>1.2424999999999999</v>
      </c>
      <c r="C727" s="1" t="s">
        <v>3214</v>
      </c>
      <c r="D727" s="184"/>
      <c r="E727" s="184"/>
      <c r="H727" s="184"/>
      <c r="I727" s="184"/>
      <c r="L727" s="3"/>
      <c r="M727" s="3"/>
      <c r="N727" s="184">
        <v>100</v>
      </c>
      <c r="O727" s="6">
        <f t="shared" si="64"/>
        <v>7.0000000000000007E-2</v>
      </c>
      <c r="P727" s="222"/>
      <c r="Q727" s="222"/>
      <c r="AJ727" s="211" t="s">
        <v>3213</v>
      </c>
    </row>
    <row r="728" spans="1:42" ht="14.25" customHeight="1">
      <c r="A728" s="116" t="s">
        <v>2794</v>
      </c>
      <c r="B728" s="107">
        <f t="shared" si="63"/>
        <v>1.2424999999999999</v>
      </c>
      <c r="C728" s="1" t="s">
        <v>3215</v>
      </c>
      <c r="D728" s="184"/>
      <c r="E728" s="184"/>
      <c r="H728" s="184"/>
      <c r="I728" s="184"/>
      <c r="L728" s="3"/>
      <c r="M728" s="3"/>
      <c r="N728" s="184">
        <v>100</v>
      </c>
      <c r="O728" s="6">
        <f t="shared" si="64"/>
        <v>7.0000000000000007E-2</v>
      </c>
      <c r="P728" s="222"/>
      <c r="Q728" s="222"/>
    </row>
    <row r="729" spans="1:42" ht="14.25" customHeight="1">
      <c r="A729" s="116" t="s">
        <v>2795</v>
      </c>
      <c r="B729" s="107">
        <f t="shared" si="63"/>
        <v>1.2424999999999999</v>
      </c>
      <c r="C729" s="1" t="s">
        <v>3216</v>
      </c>
      <c r="D729" s="184"/>
      <c r="E729" s="184"/>
      <c r="H729" s="184"/>
      <c r="I729" s="184"/>
      <c r="L729" s="3"/>
      <c r="M729" s="3"/>
      <c r="N729" s="184">
        <v>100</v>
      </c>
      <c r="O729" s="6">
        <f t="shared" si="64"/>
        <v>7.0000000000000007E-2</v>
      </c>
      <c r="P729" s="222"/>
      <c r="Q729" s="222"/>
    </row>
    <row r="730" spans="1:42" ht="14.25" customHeight="1">
      <c r="A730" s="116" t="s">
        <v>2796</v>
      </c>
      <c r="B730" s="107">
        <f t="shared" si="63"/>
        <v>1.2424999999999999</v>
      </c>
      <c r="C730" s="1" t="s">
        <v>3217</v>
      </c>
      <c r="D730" s="184"/>
      <c r="E730" s="184"/>
      <c r="H730" s="184"/>
      <c r="I730" s="184"/>
      <c r="L730" s="3"/>
      <c r="M730" s="3"/>
      <c r="N730" s="184">
        <v>100</v>
      </c>
      <c r="O730" s="6">
        <f t="shared" si="64"/>
        <v>7.0000000000000007E-2</v>
      </c>
      <c r="P730" s="222"/>
      <c r="Q730" s="222"/>
    </row>
    <row r="731" spans="1:42" ht="14.25" customHeight="1">
      <c r="A731" s="116" t="s">
        <v>2797</v>
      </c>
      <c r="B731" s="107">
        <f t="shared" si="63"/>
        <v>1.2424999999999999</v>
      </c>
      <c r="C731" s="1" t="s">
        <v>3218</v>
      </c>
      <c r="D731" s="184"/>
      <c r="E731" s="184"/>
      <c r="H731" s="184"/>
      <c r="I731" s="184"/>
      <c r="L731" s="3"/>
      <c r="M731" s="3"/>
      <c r="N731" s="184">
        <v>100</v>
      </c>
      <c r="O731" s="6">
        <f t="shared" si="64"/>
        <v>7.0000000000000007E-2</v>
      </c>
      <c r="P731" s="222"/>
      <c r="Q731" s="222"/>
    </row>
    <row r="732" spans="1:42" ht="14.25" customHeight="1">
      <c r="A732" s="116" t="s">
        <v>2798</v>
      </c>
      <c r="B732" s="107">
        <f t="shared" si="63"/>
        <v>1.2424999999999999</v>
      </c>
      <c r="C732" s="1" t="s">
        <v>3219</v>
      </c>
      <c r="D732" s="184"/>
      <c r="E732" s="184"/>
      <c r="H732" s="184"/>
      <c r="I732" s="184"/>
      <c r="L732" s="3"/>
      <c r="M732" s="3"/>
      <c r="N732" s="184">
        <v>100</v>
      </c>
      <c r="O732" s="6">
        <f t="shared" si="64"/>
        <v>7.0000000000000007E-2</v>
      </c>
      <c r="P732" s="222"/>
      <c r="Q732" s="222"/>
    </row>
    <row r="733" spans="1:42" ht="14.25" customHeight="1">
      <c r="A733" s="116" t="s">
        <v>2799</v>
      </c>
      <c r="B733" s="107">
        <f t="shared" si="63"/>
        <v>1.2424999999999999</v>
      </c>
      <c r="C733" s="1" t="s">
        <v>3220</v>
      </c>
      <c r="D733" s="184"/>
      <c r="E733" s="184"/>
      <c r="H733" s="184"/>
      <c r="I733" s="184"/>
      <c r="L733" s="3"/>
      <c r="M733" s="3"/>
      <c r="N733" s="184">
        <v>100</v>
      </c>
      <c r="O733" s="6">
        <f t="shared" si="64"/>
        <v>7.0000000000000007E-2</v>
      </c>
      <c r="P733" s="222"/>
      <c r="Q733" s="222"/>
    </row>
    <row r="734" spans="1:42" ht="14.25" customHeight="1">
      <c r="A734" s="116" t="s">
        <v>2800</v>
      </c>
      <c r="B734" s="107">
        <f t="shared" si="63"/>
        <v>1.2424999999999999</v>
      </c>
      <c r="C734" s="1" t="s">
        <v>3221</v>
      </c>
      <c r="D734" s="184"/>
      <c r="E734" s="184"/>
      <c r="H734" s="184"/>
      <c r="I734" s="184"/>
      <c r="L734" s="3"/>
      <c r="M734" s="3"/>
      <c r="N734" s="184">
        <v>100</v>
      </c>
      <c r="O734" s="6">
        <f t="shared" si="64"/>
        <v>7.0000000000000007E-2</v>
      </c>
      <c r="P734" s="222"/>
      <c r="Q734" s="222"/>
      <c r="AB734" s="20"/>
      <c r="AC734" s="20"/>
    </row>
    <row r="735" spans="1:42" ht="14.25" customHeight="1">
      <c r="A735" s="116" t="s">
        <v>3139</v>
      </c>
      <c r="B735" s="9">
        <f>36.1/5</f>
        <v>7.2200000000000006</v>
      </c>
      <c r="C735" s="211" t="s">
        <v>5834</v>
      </c>
      <c r="D735" s="184"/>
      <c r="E735" s="184"/>
      <c r="H735" s="184"/>
      <c r="I735" s="184"/>
      <c r="L735" s="3"/>
      <c r="M735" s="3"/>
      <c r="N735" s="184">
        <v>5</v>
      </c>
      <c r="O735" s="6">
        <v>1.7</v>
      </c>
      <c r="P735" s="222"/>
      <c r="Q735" s="222"/>
      <c r="V735" s="233"/>
      <c r="W735" s="20"/>
      <c r="X735" s="20"/>
      <c r="Y735" s="20"/>
      <c r="Z735" s="20"/>
      <c r="AB735" s="20"/>
      <c r="AC735" s="20"/>
      <c r="AD735" s="20"/>
      <c r="AE735" s="20"/>
      <c r="AF735" s="20"/>
      <c r="AG735" s="20"/>
      <c r="AH735" s="20"/>
      <c r="AI735" s="20"/>
    </row>
    <row r="736" spans="1:42" ht="14.25" customHeight="1">
      <c r="A736" s="116" t="s">
        <v>2759</v>
      </c>
      <c r="B736" s="9">
        <f>39.8/5</f>
        <v>7.9599999999999991</v>
      </c>
      <c r="C736" s="1" t="s">
        <v>3223</v>
      </c>
      <c r="D736" s="184"/>
      <c r="E736" s="184"/>
      <c r="H736" s="184"/>
      <c r="I736" s="184"/>
      <c r="L736" s="3"/>
      <c r="M736" s="3"/>
      <c r="N736" s="184">
        <f>5+5</f>
        <v>10</v>
      </c>
      <c r="O736" s="6">
        <v>1.7</v>
      </c>
      <c r="P736" s="222"/>
      <c r="Q736" s="222"/>
      <c r="V736" s="233"/>
      <c r="W736" s="20"/>
      <c r="X736" s="20"/>
      <c r="Y736" s="20"/>
      <c r="Z736" s="20"/>
      <c r="AB736" s="20"/>
      <c r="AC736" s="20"/>
      <c r="AD736" s="20"/>
      <c r="AE736" s="20"/>
      <c r="AF736" s="20"/>
      <c r="AG736" s="20"/>
      <c r="AH736" s="20"/>
      <c r="AI736" s="20"/>
      <c r="AJ736" s="211" t="s">
        <v>5834</v>
      </c>
      <c r="AP736" s="4"/>
    </row>
    <row r="737" spans="1:42" ht="14.25" customHeight="1">
      <c r="A737" s="116" t="s">
        <v>2760</v>
      </c>
      <c r="B737" s="9">
        <f>35.3/5</f>
        <v>7.06</v>
      </c>
      <c r="C737" s="211" t="s">
        <v>5835</v>
      </c>
      <c r="D737" s="184"/>
      <c r="E737" s="184"/>
      <c r="H737" s="184"/>
      <c r="I737" s="184"/>
      <c r="L737" s="3"/>
      <c r="M737" s="3"/>
      <c r="N737" s="184">
        <v>5</v>
      </c>
      <c r="O737" s="6">
        <v>1.7</v>
      </c>
      <c r="P737" s="222"/>
      <c r="Q737" s="222"/>
      <c r="V737" s="233"/>
      <c r="W737" s="20"/>
      <c r="X737" s="20"/>
      <c r="Y737" s="20"/>
      <c r="Z737" s="20"/>
      <c r="AB737" s="20"/>
      <c r="AC737" s="20"/>
      <c r="AD737" s="20"/>
      <c r="AE737" s="20"/>
      <c r="AF737" s="20"/>
      <c r="AG737" s="20"/>
      <c r="AH737" s="20"/>
      <c r="AI737" s="20"/>
    </row>
    <row r="738" spans="1:42" ht="14.25" customHeight="1">
      <c r="A738" s="110" t="s">
        <v>3287</v>
      </c>
      <c r="B738" s="9">
        <f>39.5/5</f>
        <v>7.9</v>
      </c>
      <c r="C738" s="1" t="s">
        <v>3225</v>
      </c>
      <c r="D738" s="184"/>
      <c r="E738" s="184"/>
      <c r="H738" s="184"/>
      <c r="I738" s="184"/>
      <c r="L738" s="3"/>
      <c r="M738" s="3"/>
      <c r="N738" s="184">
        <v>10</v>
      </c>
      <c r="O738" s="6">
        <v>1.7</v>
      </c>
      <c r="P738" s="222"/>
      <c r="Q738" s="222"/>
      <c r="V738" s="233"/>
      <c r="W738" s="20"/>
      <c r="X738" s="20"/>
      <c r="Y738" s="20"/>
      <c r="Z738" s="20"/>
      <c r="AB738" s="20"/>
      <c r="AC738" s="20"/>
      <c r="AD738" s="20"/>
      <c r="AE738" s="20"/>
      <c r="AF738" s="20"/>
      <c r="AG738" s="20"/>
      <c r="AH738" s="20"/>
      <c r="AI738" s="20"/>
      <c r="AJ738" s="211" t="s">
        <v>5835</v>
      </c>
      <c r="AP738" s="4"/>
    </row>
    <row r="739" spans="1:42" ht="14.25" customHeight="1">
      <c r="A739" s="116" t="s">
        <v>2761</v>
      </c>
      <c r="B739" s="9">
        <f>48.6/5</f>
        <v>9.7200000000000006</v>
      </c>
      <c r="C739" s="211" t="s">
        <v>5836</v>
      </c>
      <c r="D739" s="184"/>
      <c r="E739" s="184"/>
      <c r="H739" s="184"/>
      <c r="I739" s="184"/>
      <c r="L739" s="3"/>
      <c r="M739" s="3"/>
      <c r="N739" s="184">
        <v>5</v>
      </c>
      <c r="O739" s="6">
        <v>1.7</v>
      </c>
      <c r="P739" s="222"/>
      <c r="Q739" s="222"/>
      <c r="V739" s="233"/>
      <c r="W739" s="20"/>
      <c r="X739" s="20"/>
      <c r="Y739" s="20"/>
      <c r="Z739" s="20"/>
      <c r="AB739" s="20"/>
      <c r="AC739" s="20"/>
      <c r="AD739" s="20"/>
      <c r="AE739" s="20"/>
      <c r="AF739" s="20"/>
      <c r="AG739" s="20"/>
      <c r="AH739" s="20"/>
      <c r="AI739" s="20"/>
    </row>
    <row r="740" spans="1:42" ht="14.25" customHeight="1">
      <c r="A740" s="116" t="s">
        <v>2762</v>
      </c>
      <c r="B740" s="9">
        <f>53.5/5</f>
        <v>10.7</v>
      </c>
      <c r="C740" s="1" t="s">
        <v>3227</v>
      </c>
      <c r="D740" s="184"/>
      <c r="E740" s="184"/>
      <c r="H740" s="184"/>
      <c r="I740" s="184"/>
      <c r="L740" s="3"/>
      <c r="M740" s="3"/>
      <c r="N740" s="184">
        <v>5</v>
      </c>
      <c r="O740" s="6">
        <v>1.7</v>
      </c>
      <c r="P740" s="222"/>
      <c r="Q740" s="222"/>
      <c r="V740" s="233"/>
      <c r="W740" s="20"/>
      <c r="X740" s="20"/>
      <c r="Y740" s="20"/>
      <c r="Z740" s="20"/>
      <c r="AB740" s="20"/>
      <c r="AC740" s="20"/>
      <c r="AD740" s="20"/>
      <c r="AE740" s="20"/>
      <c r="AF740" s="20"/>
      <c r="AG740" s="20"/>
      <c r="AH740" s="20"/>
      <c r="AI740" s="20"/>
      <c r="AJ740" s="211" t="s">
        <v>5836</v>
      </c>
    </row>
    <row r="741" spans="1:42" ht="14.25" customHeight="1">
      <c r="A741" s="116" t="s">
        <v>2772</v>
      </c>
      <c r="B741" s="9">
        <f>11.3/10</f>
        <v>1.1300000000000001</v>
      </c>
      <c r="C741" s="1" t="s">
        <v>5837</v>
      </c>
      <c r="D741" s="184"/>
      <c r="E741" s="184"/>
      <c r="H741" s="184"/>
      <c r="I741" s="184"/>
      <c r="L741" s="3"/>
      <c r="M741" s="3"/>
      <c r="N741" s="184">
        <v>10</v>
      </c>
      <c r="O741" s="6">
        <v>0.9</v>
      </c>
      <c r="P741" s="222"/>
      <c r="Q741" s="222"/>
      <c r="V741" s="233"/>
      <c r="W741" s="20"/>
      <c r="X741" s="20"/>
      <c r="Y741" s="20"/>
      <c r="Z741" s="20"/>
      <c r="AB741" s="20"/>
      <c r="AC741" s="20"/>
      <c r="AD741" s="20"/>
      <c r="AE741" s="20"/>
      <c r="AF741" s="20"/>
      <c r="AG741" s="20"/>
      <c r="AH741" s="20"/>
      <c r="AI741" s="20"/>
    </row>
    <row r="742" spans="1:42" s="4" customFormat="1" ht="14.25" customHeight="1">
      <c r="A742" s="116" t="s">
        <v>2773</v>
      </c>
      <c r="B742" s="9">
        <f>90.2/5</f>
        <v>18.04</v>
      </c>
      <c r="C742" s="134" t="s">
        <v>3302</v>
      </c>
      <c r="D742" s="184"/>
      <c r="E742" s="184"/>
      <c r="F742" s="188"/>
      <c r="G742" s="188"/>
      <c r="H742" s="184"/>
      <c r="I742" s="184"/>
      <c r="J742" s="188"/>
      <c r="K742" s="188"/>
      <c r="L742" s="3"/>
      <c r="M742" s="3"/>
      <c r="N742" s="184">
        <f>10+5</f>
        <v>15</v>
      </c>
      <c r="O742" s="6">
        <v>1.5</v>
      </c>
      <c r="P742" s="222"/>
      <c r="Q742" s="222"/>
      <c r="R742" s="7"/>
      <c r="S742" s="126"/>
      <c r="T742" s="126"/>
      <c r="U742" s="236"/>
      <c r="V742" s="233"/>
      <c r="W742" s="20"/>
      <c r="X742" s="20"/>
      <c r="Y742" s="20"/>
      <c r="Z742" s="20"/>
      <c r="AA742" s="126"/>
      <c r="AB742" s="20"/>
      <c r="AC742" s="20"/>
      <c r="AD742" s="20"/>
      <c r="AE742" s="20"/>
      <c r="AF742" s="20"/>
      <c r="AG742" s="20"/>
      <c r="AH742" s="20"/>
      <c r="AI742" s="20"/>
      <c r="AJ742" s="7"/>
      <c r="AK742" s="7"/>
      <c r="AL742" s="7"/>
      <c r="AM742" s="7"/>
      <c r="AN742" s="7"/>
      <c r="AO742" s="7"/>
      <c r="AP742" s="7"/>
    </row>
    <row r="743" spans="1:42" s="4" customFormat="1" ht="14.25" customHeight="1">
      <c r="A743" s="116" t="s">
        <v>5868</v>
      </c>
      <c r="B743" s="107">
        <f>26.9/50</f>
        <v>0.53799999999999992</v>
      </c>
      <c r="C743" s="1" t="s">
        <v>5869</v>
      </c>
      <c r="D743" s="184"/>
      <c r="E743" s="184"/>
      <c r="F743" s="188"/>
      <c r="G743" s="188"/>
      <c r="H743" s="184"/>
      <c r="I743" s="184"/>
      <c r="J743" s="188"/>
      <c r="K743" s="188"/>
      <c r="L743" s="3"/>
      <c r="M743" s="3"/>
      <c r="N743" s="184">
        <v>50</v>
      </c>
      <c r="O743" s="6">
        <v>0.05</v>
      </c>
      <c r="P743" s="222"/>
      <c r="Q743" s="222"/>
      <c r="R743" s="7"/>
      <c r="S743" s="126"/>
      <c r="T743" s="126"/>
      <c r="U743" s="236"/>
      <c r="V743" s="233"/>
      <c r="W743" s="20"/>
      <c r="X743" s="20"/>
      <c r="Y743" s="20"/>
      <c r="Z743" s="20"/>
      <c r="AA743" s="126"/>
      <c r="AB743" s="20"/>
      <c r="AC743" s="20"/>
      <c r="AD743" s="20"/>
      <c r="AE743" s="20"/>
      <c r="AF743" s="20"/>
      <c r="AG743" s="20"/>
      <c r="AH743" s="20"/>
      <c r="AI743" s="20"/>
      <c r="AJ743" s="7"/>
      <c r="AK743" s="7"/>
      <c r="AL743" s="7"/>
      <c r="AM743" s="7"/>
      <c r="AN743" s="7"/>
      <c r="AO743" s="7"/>
      <c r="AP743" s="7"/>
    </row>
    <row r="744" spans="1:42" ht="14.25" customHeight="1">
      <c r="A744" s="125" t="s">
        <v>3137</v>
      </c>
      <c r="B744" s="9">
        <f>24.7/5</f>
        <v>4.9399999999999995</v>
      </c>
      <c r="C744" s="211" t="s">
        <v>3229</v>
      </c>
      <c r="N744" s="183">
        <v>10</v>
      </c>
      <c r="O744" s="7">
        <f>5.92/10</f>
        <v>0.59199999999999997</v>
      </c>
      <c r="V744" s="233"/>
      <c r="W744" s="20"/>
      <c r="X744" s="20"/>
      <c r="Y744" s="20"/>
      <c r="Z744" s="20"/>
      <c r="AB744" s="20"/>
      <c r="AC744" s="20"/>
      <c r="AD744" s="20"/>
      <c r="AE744" s="20"/>
      <c r="AF744" s="20"/>
      <c r="AG744" s="20"/>
      <c r="AH744" s="20"/>
      <c r="AI744" s="20"/>
    </row>
    <row r="745" spans="1:42" ht="14.25" customHeight="1">
      <c r="A745" s="125" t="s">
        <v>3138</v>
      </c>
      <c r="B745" s="9">
        <f>45.7/5</f>
        <v>9.14</v>
      </c>
      <c r="C745" s="7" t="s">
        <v>3230</v>
      </c>
      <c r="N745" s="183">
        <v>10</v>
      </c>
      <c r="O745" s="7">
        <f>6.91/10</f>
        <v>0.69100000000000006</v>
      </c>
      <c r="V745" s="233"/>
      <c r="W745" s="20"/>
      <c r="X745" s="20"/>
      <c r="Y745" s="20"/>
      <c r="Z745" s="20"/>
      <c r="AB745" s="20"/>
      <c r="AC745" s="20"/>
      <c r="AD745" s="20"/>
      <c r="AE745" s="20"/>
      <c r="AF745" s="20"/>
      <c r="AG745" s="20"/>
      <c r="AH745" s="20"/>
      <c r="AI745" s="20"/>
      <c r="AJ745" s="211" t="s">
        <v>3229</v>
      </c>
    </row>
    <row r="746" spans="1:42" ht="14.25" customHeight="1">
      <c r="A746" s="167" t="s">
        <v>3504</v>
      </c>
      <c r="B746" s="191">
        <f>92.5/3</f>
        <v>30.833333333333332</v>
      </c>
      <c r="C746" s="216" t="s">
        <v>6084</v>
      </c>
      <c r="N746" s="183">
        <v>3</v>
      </c>
      <c r="O746" s="7">
        <v>0.5</v>
      </c>
      <c r="R746"/>
      <c r="S746" s="228"/>
      <c r="T746" s="228"/>
      <c r="V746" s="233"/>
      <c r="W746" s="20"/>
      <c r="X746" s="20"/>
      <c r="Y746" s="20"/>
      <c r="Z746" s="20"/>
      <c r="AB746" s="20"/>
      <c r="AC746" s="20"/>
      <c r="AD746" s="20"/>
      <c r="AE746" s="20"/>
      <c r="AF746" s="20"/>
      <c r="AG746" s="20"/>
      <c r="AH746" s="20"/>
      <c r="AI746" s="20"/>
    </row>
    <row r="747" spans="1:42" ht="14.25" customHeight="1">
      <c r="A747" s="167" t="s">
        <v>3505</v>
      </c>
      <c r="B747" s="165">
        <v>81.3</v>
      </c>
      <c r="C747" s="169" t="s">
        <v>6085</v>
      </c>
      <c r="N747" s="183">
        <v>3</v>
      </c>
      <c r="O747" s="7">
        <v>2</v>
      </c>
      <c r="R747"/>
      <c r="S747" s="228"/>
      <c r="T747" s="228"/>
      <c r="U747" s="237"/>
      <c r="V747" s="233"/>
      <c r="W747" s="20"/>
      <c r="X747" s="20"/>
      <c r="Y747" s="20"/>
      <c r="Z747" s="20"/>
      <c r="AA747" s="228"/>
      <c r="AB747" s="20"/>
      <c r="AC747" s="20"/>
      <c r="AD747" s="20"/>
      <c r="AE747" s="20"/>
      <c r="AF747" s="20"/>
      <c r="AG747" s="20"/>
      <c r="AH747" s="20"/>
      <c r="AI747" s="20"/>
      <c r="AJ747" s="213" t="s">
        <v>3867</v>
      </c>
      <c r="AK747"/>
      <c r="AL747"/>
      <c r="AM747"/>
      <c r="AN747"/>
    </row>
    <row r="748" spans="1:42" ht="14.25" customHeight="1">
      <c r="A748" s="167" t="s">
        <v>3506</v>
      </c>
      <c r="B748" s="165">
        <v>84.5</v>
      </c>
      <c r="C748" s="169" t="s">
        <v>6086</v>
      </c>
      <c r="N748" s="183">
        <v>3</v>
      </c>
      <c r="O748" s="7">
        <v>2</v>
      </c>
      <c r="R748"/>
      <c r="S748" s="228"/>
      <c r="T748" s="228"/>
      <c r="U748" s="237"/>
      <c r="V748" s="233"/>
      <c r="W748" s="20"/>
      <c r="X748" s="20"/>
      <c r="Y748" s="20"/>
      <c r="Z748" s="20"/>
      <c r="AA748" s="228"/>
      <c r="AB748" s="20"/>
      <c r="AC748" s="20"/>
      <c r="AD748" s="20"/>
      <c r="AE748" s="20"/>
      <c r="AF748" s="20"/>
      <c r="AG748" s="20"/>
      <c r="AH748" s="20"/>
      <c r="AI748" s="20"/>
      <c r="AJ748" s="169" t="s">
        <v>6085</v>
      </c>
      <c r="AK748"/>
      <c r="AL748"/>
      <c r="AM748"/>
      <c r="AN748"/>
    </row>
    <row r="749" spans="1:42" ht="14.25" customHeight="1">
      <c r="A749" s="171" t="s">
        <v>3885</v>
      </c>
      <c r="B749" s="165">
        <v>13</v>
      </c>
      <c r="C749" s="166" t="s">
        <v>6087</v>
      </c>
      <c r="N749" s="183">
        <v>3</v>
      </c>
      <c r="O749" s="7">
        <v>0.18</v>
      </c>
      <c r="R749"/>
      <c r="S749" s="228"/>
      <c r="T749" s="228"/>
      <c r="U749" s="237"/>
      <c r="V749" s="233"/>
      <c r="W749" s="20"/>
      <c r="X749" s="20"/>
      <c r="Y749" s="20"/>
      <c r="Z749" s="20"/>
      <c r="AA749" s="228"/>
      <c r="AB749" s="20"/>
      <c r="AC749" s="20"/>
      <c r="AD749" s="20"/>
      <c r="AE749" s="20"/>
      <c r="AF749" s="20"/>
      <c r="AG749" s="20"/>
      <c r="AH749" s="20"/>
      <c r="AI749" s="20"/>
      <c r="AJ749"/>
      <c r="AK749"/>
      <c r="AL749"/>
      <c r="AM749"/>
      <c r="AN749"/>
    </row>
    <row r="750" spans="1:42" ht="14.25" customHeight="1">
      <c r="A750" s="171" t="s">
        <v>3886</v>
      </c>
      <c r="B750" s="165">
        <v>22.2</v>
      </c>
      <c r="C750" s="166" t="s">
        <v>6088</v>
      </c>
      <c r="N750" s="183">
        <v>3</v>
      </c>
      <c r="O750" s="7">
        <v>0.3</v>
      </c>
      <c r="R750"/>
      <c r="S750" s="228"/>
      <c r="T750" s="228"/>
      <c r="U750" s="237"/>
      <c r="V750" s="233"/>
      <c r="W750" s="20"/>
      <c r="X750" s="20"/>
      <c r="Y750" s="20"/>
      <c r="Z750" s="20"/>
      <c r="AA750" s="228"/>
      <c r="AB750" s="168"/>
      <c r="AC750" s="168"/>
      <c r="AD750" s="20"/>
      <c r="AE750" s="20"/>
      <c r="AF750" s="20"/>
      <c r="AG750" s="20"/>
      <c r="AH750" s="20"/>
      <c r="AI750" s="20"/>
      <c r="AJ750"/>
      <c r="AK750"/>
      <c r="AL750"/>
      <c r="AM750"/>
      <c r="AN750"/>
    </row>
    <row r="751" spans="1:42" ht="14.25" customHeight="1">
      <c r="A751" s="171" t="s">
        <v>3507</v>
      </c>
      <c r="B751" s="165">
        <v>32.700000000000003</v>
      </c>
      <c r="C751" s="169" t="s">
        <v>6089</v>
      </c>
      <c r="N751" s="183">
        <v>3</v>
      </c>
      <c r="O751" s="7">
        <v>0.8</v>
      </c>
      <c r="R751"/>
      <c r="S751" s="228"/>
      <c r="T751" s="228"/>
      <c r="U751" s="237"/>
      <c r="V751" s="232"/>
      <c r="W751" s="168"/>
      <c r="X751" s="168"/>
      <c r="Y751" s="168"/>
      <c r="Z751" s="168"/>
      <c r="AA751" s="228"/>
      <c r="AD751" s="168"/>
      <c r="AE751" s="168"/>
      <c r="AF751" s="168"/>
      <c r="AG751" s="168"/>
      <c r="AH751" s="168"/>
      <c r="AI751" s="168"/>
      <c r="AJ751"/>
      <c r="AK751"/>
      <c r="AL751"/>
      <c r="AM751"/>
      <c r="AN751"/>
    </row>
    <row r="752" spans="1:42" ht="14.25" customHeight="1">
      <c r="A752" s="171" t="s">
        <v>3508</v>
      </c>
      <c r="B752" s="165">
        <v>32</v>
      </c>
      <c r="C752" s="169" t="s">
        <v>6090</v>
      </c>
      <c r="N752" s="183">
        <v>3</v>
      </c>
      <c r="O752" s="7">
        <v>0.8</v>
      </c>
      <c r="R752"/>
      <c r="S752" s="228"/>
      <c r="T752" s="228"/>
      <c r="U752" s="237"/>
      <c r="AA752" s="228"/>
      <c r="AJ752" s="169" t="s">
        <v>6089</v>
      </c>
      <c r="AK752"/>
      <c r="AL752"/>
      <c r="AM752"/>
      <c r="AN752"/>
    </row>
    <row r="753" spans="1:40" ht="14.25" customHeight="1">
      <c r="A753" s="172" t="s">
        <v>3456</v>
      </c>
      <c r="B753" s="165">
        <f>29.4/5</f>
        <v>5.88</v>
      </c>
      <c r="C753" s="166" t="s">
        <v>3384</v>
      </c>
      <c r="N753" s="183">
        <v>5</v>
      </c>
      <c r="O753" s="7">
        <v>0.5</v>
      </c>
      <c r="R753"/>
      <c r="S753" s="228"/>
      <c r="T753" s="228"/>
      <c r="U753" s="237"/>
      <c r="AA753" s="228"/>
      <c r="AJ753"/>
      <c r="AK753"/>
      <c r="AL753"/>
      <c r="AM753"/>
      <c r="AN753"/>
    </row>
    <row r="754" spans="1:40" ht="14.25" customHeight="1">
      <c r="A754" s="172" t="s">
        <v>3457</v>
      </c>
      <c r="B754" s="165">
        <f>59/5</f>
        <v>11.8</v>
      </c>
      <c r="C754" s="166" t="s">
        <v>3443</v>
      </c>
      <c r="N754" s="183">
        <v>5</v>
      </c>
      <c r="O754" s="7">
        <v>0.75</v>
      </c>
      <c r="R754"/>
      <c r="S754" s="228"/>
      <c r="T754" s="228"/>
      <c r="U754" s="237"/>
      <c r="AA754" s="228"/>
      <c r="AJ754"/>
      <c r="AK754"/>
      <c r="AL754"/>
      <c r="AM754"/>
      <c r="AN754"/>
    </row>
    <row r="755" spans="1:40" ht="14.25" customHeight="1">
      <c r="A755" s="172" t="s">
        <v>3458</v>
      </c>
      <c r="B755" s="165">
        <f>42.2/5</f>
        <v>8.4400000000000013</v>
      </c>
      <c r="C755" s="166" t="s">
        <v>3419</v>
      </c>
      <c r="N755" s="183">
        <v>5</v>
      </c>
      <c r="O755" s="7">
        <v>0.68</v>
      </c>
      <c r="R755"/>
      <c r="S755" s="228"/>
      <c r="T755" s="228"/>
      <c r="U755" s="237"/>
      <c r="AA755" s="228"/>
      <c r="AJ755"/>
      <c r="AK755"/>
      <c r="AL755"/>
      <c r="AM755"/>
      <c r="AN755"/>
    </row>
    <row r="756" spans="1:40" ht="14.25" customHeight="1">
      <c r="A756" s="172" t="s">
        <v>3459</v>
      </c>
      <c r="B756" s="165">
        <f>51.8/5</f>
        <v>10.36</v>
      </c>
      <c r="C756" s="166" t="s">
        <v>3442</v>
      </c>
      <c r="N756" s="183">
        <v>5</v>
      </c>
      <c r="O756" s="7">
        <v>0.8</v>
      </c>
      <c r="R756"/>
      <c r="S756" s="228"/>
      <c r="T756" s="228"/>
      <c r="U756" s="237"/>
      <c r="AA756" s="228"/>
      <c r="AJ756"/>
      <c r="AK756"/>
      <c r="AL756"/>
      <c r="AM756"/>
      <c r="AN756"/>
    </row>
    <row r="757" spans="1:40" ht="14.25" customHeight="1">
      <c r="A757" s="172" t="s">
        <v>3460</v>
      </c>
      <c r="B757" s="165">
        <f>60.9/5</f>
        <v>12.18</v>
      </c>
      <c r="C757" s="135" t="s">
        <v>3408</v>
      </c>
      <c r="N757" s="183">
        <v>5</v>
      </c>
      <c r="O757" s="7">
        <v>1.4</v>
      </c>
      <c r="R757"/>
      <c r="S757" s="228"/>
      <c r="T757" s="228"/>
      <c r="U757" s="237"/>
      <c r="AA757" s="228"/>
      <c r="AJ757"/>
      <c r="AK757"/>
      <c r="AL757"/>
      <c r="AM757"/>
      <c r="AN757"/>
    </row>
    <row r="758" spans="1:40" ht="14.25" customHeight="1">
      <c r="A758" s="172" t="s">
        <v>3461</v>
      </c>
      <c r="B758" s="165">
        <f>55/5</f>
        <v>11</v>
      </c>
      <c r="C758" s="135" t="s">
        <v>3410</v>
      </c>
      <c r="N758" s="183">
        <v>5</v>
      </c>
      <c r="O758" s="7">
        <v>0.55000000000000004</v>
      </c>
      <c r="R758"/>
      <c r="S758" s="228"/>
      <c r="T758" s="228"/>
      <c r="U758" s="237"/>
      <c r="AA758" s="228"/>
      <c r="AB758" s="20"/>
      <c r="AC758" s="20"/>
      <c r="AJ758"/>
      <c r="AK758"/>
      <c r="AL758"/>
      <c r="AM758"/>
      <c r="AN758"/>
    </row>
    <row r="759" spans="1:40" ht="14.25" customHeight="1">
      <c r="A759" s="172" t="s">
        <v>3462</v>
      </c>
      <c r="B759" s="165">
        <f>21.3/5</f>
        <v>4.26</v>
      </c>
      <c r="C759" s="166" t="s">
        <v>3416</v>
      </c>
      <c r="N759" s="183">
        <v>5</v>
      </c>
      <c r="O759" s="7">
        <v>0.3</v>
      </c>
      <c r="R759"/>
      <c r="S759" s="228"/>
      <c r="T759" s="228"/>
      <c r="U759" s="237"/>
      <c r="V759" s="233"/>
      <c r="W759" s="20"/>
      <c r="X759" s="20"/>
      <c r="Y759" s="20"/>
      <c r="Z759" s="20"/>
      <c r="AA759" s="228"/>
      <c r="AB759" s="20"/>
      <c r="AC759" s="20"/>
      <c r="AD759" s="20"/>
      <c r="AE759" s="20"/>
      <c r="AF759" s="20"/>
      <c r="AG759" s="20"/>
      <c r="AH759" s="20"/>
      <c r="AI759" s="20"/>
      <c r="AJ759"/>
      <c r="AK759"/>
      <c r="AL759"/>
      <c r="AM759"/>
      <c r="AN759"/>
    </row>
    <row r="760" spans="1:40" ht="14.25" customHeight="1">
      <c r="A760" s="172" t="s">
        <v>3463</v>
      </c>
      <c r="B760" s="165">
        <f>49.3/5</f>
        <v>9.86</v>
      </c>
      <c r="C760" s="135" t="s">
        <v>3409</v>
      </c>
      <c r="N760" s="183">
        <v>5</v>
      </c>
      <c r="O760" s="7">
        <v>1.5</v>
      </c>
      <c r="R760"/>
      <c r="S760" s="228"/>
      <c r="T760" s="228"/>
      <c r="U760" s="237"/>
      <c r="V760" s="233"/>
      <c r="W760" s="20"/>
      <c r="X760" s="20"/>
      <c r="Y760" s="20"/>
      <c r="Z760" s="20"/>
      <c r="AA760" s="228"/>
      <c r="AB760" s="20"/>
      <c r="AC760" s="20"/>
      <c r="AD760" s="20"/>
      <c r="AE760" s="20"/>
      <c r="AF760" s="20"/>
      <c r="AG760" s="20"/>
      <c r="AH760" s="20"/>
      <c r="AI760" s="20"/>
      <c r="AJ760"/>
      <c r="AK760"/>
      <c r="AL760"/>
      <c r="AM760"/>
      <c r="AN760"/>
    </row>
    <row r="761" spans="1:40" ht="14.25" customHeight="1">
      <c r="A761" s="172" t="s">
        <v>3464</v>
      </c>
      <c r="B761" s="165">
        <f>41.2/5</f>
        <v>8.24</v>
      </c>
      <c r="C761" s="135" t="s">
        <v>3411</v>
      </c>
      <c r="N761" s="183">
        <v>5</v>
      </c>
      <c r="O761" s="7">
        <v>0.6</v>
      </c>
      <c r="R761"/>
      <c r="S761" s="228"/>
      <c r="T761" s="228"/>
      <c r="U761" s="237"/>
      <c r="V761" s="233"/>
      <c r="W761" s="20"/>
      <c r="X761" s="20"/>
      <c r="Y761" s="20"/>
      <c r="Z761" s="20"/>
      <c r="AA761" s="228"/>
      <c r="AB761" s="20"/>
      <c r="AC761" s="20"/>
      <c r="AD761" s="20"/>
      <c r="AE761" s="20"/>
      <c r="AF761" s="20"/>
      <c r="AG761" s="20"/>
      <c r="AH761" s="20"/>
      <c r="AI761" s="20"/>
      <c r="AJ761"/>
      <c r="AK761"/>
      <c r="AL761"/>
      <c r="AM761"/>
      <c r="AN761"/>
    </row>
    <row r="762" spans="1:40" ht="14.25" customHeight="1">
      <c r="A762" s="201" t="s">
        <v>6091</v>
      </c>
      <c r="B762" s="168">
        <f>37.8-4.2</f>
        <v>33.599999999999994</v>
      </c>
      <c r="C762" s="204" t="s">
        <v>5945</v>
      </c>
      <c r="D762" s="186"/>
      <c r="E762" s="186"/>
      <c r="H762" s="186"/>
      <c r="I762" s="186"/>
      <c r="L762" s="168"/>
      <c r="M762" s="168"/>
      <c r="N762" s="186">
        <v>5</v>
      </c>
      <c r="O762" s="120">
        <v>3.8</v>
      </c>
      <c r="P762" s="168"/>
      <c r="Q762" s="168"/>
      <c r="R762" s="120"/>
      <c r="S762" s="227"/>
      <c r="T762" s="227"/>
      <c r="U762" s="237"/>
      <c r="V762" s="233"/>
      <c r="W762" s="20"/>
      <c r="X762" s="20"/>
      <c r="Y762" s="20"/>
      <c r="Z762" s="20"/>
      <c r="AA762" s="228"/>
      <c r="AB762" s="20"/>
      <c r="AC762" s="20"/>
      <c r="AD762" s="20"/>
      <c r="AE762" s="20"/>
      <c r="AF762" s="20"/>
      <c r="AG762" s="20"/>
      <c r="AH762" s="20"/>
      <c r="AI762" s="20"/>
      <c r="AJ762"/>
      <c r="AK762"/>
      <c r="AL762"/>
      <c r="AM762"/>
      <c r="AN762"/>
    </row>
    <row r="763" spans="1:40" s="120" customFormat="1" ht="14.25" customHeight="1">
      <c r="A763" s="125" t="s">
        <v>3263</v>
      </c>
      <c r="B763" s="9">
        <f>27.8/5</f>
        <v>5.5600000000000005</v>
      </c>
      <c r="C763" s="137" t="s">
        <v>5838</v>
      </c>
      <c r="D763" s="183"/>
      <c r="E763" s="183"/>
      <c r="F763" s="188"/>
      <c r="G763" s="188"/>
      <c r="H763" s="183"/>
      <c r="I763" s="183"/>
      <c r="J763" s="188"/>
      <c r="K763" s="188"/>
      <c r="L763" s="9"/>
      <c r="M763" s="9"/>
      <c r="N763" s="183">
        <v>20</v>
      </c>
      <c r="O763" s="7">
        <v>0.24</v>
      </c>
      <c r="P763" s="9"/>
      <c r="Q763" s="9"/>
      <c r="R763" s="7"/>
      <c r="S763" s="126"/>
      <c r="T763" s="126"/>
      <c r="U763" s="236"/>
      <c r="V763" s="233"/>
      <c r="W763" s="20"/>
      <c r="X763" s="20"/>
      <c r="Y763" s="20"/>
      <c r="Z763" s="20"/>
      <c r="AA763" s="227"/>
      <c r="AB763" s="20"/>
      <c r="AC763" s="20"/>
      <c r="AD763" s="20"/>
      <c r="AE763" s="20"/>
      <c r="AF763" s="20"/>
      <c r="AG763" s="20"/>
      <c r="AH763" s="20"/>
      <c r="AI763" s="20"/>
    </row>
    <row r="764" spans="1:40" ht="14.25" customHeight="1">
      <c r="A764" s="125" t="s">
        <v>3264</v>
      </c>
      <c r="B764" s="9">
        <f>35.7/5</f>
        <v>7.1400000000000006</v>
      </c>
      <c r="C764" s="137" t="s">
        <v>5839</v>
      </c>
      <c r="N764" s="183">
        <v>20</v>
      </c>
      <c r="O764" s="7">
        <v>0.28000000000000003</v>
      </c>
      <c r="V764" s="233"/>
      <c r="W764" s="20"/>
      <c r="X764" s="20"/>
      <c r="Y764" s="20"/>
      <c r="Z764" s="20"/>
      <c r="AB764" s="20"/>
      <c r="AC764" s="20"/>
      <c r="AD764" s="20"/>
      <c r="AE764" s="20"/>
      <c r="AF764" s="20"/>
      <c r="AG764" s="20"/>
      <c r="AH764" s="20"/>
      <c r="AI764" s="20"/>
    </row>
    <row r="765" spans="1:40" ht="14.25" customHeight="1">
      <c r="A765" s="125" t="s">
        <v>3265</v>
      </c>
      <c r="B765" s="9">
        <f>37.6/5</f>
        <v>7.5200000000000005</v>
      </c>
      <c r="C765" s="137" t="s">
        <v>5840</v>
      </c>
      <c r="N765" s="183">
        <v>20</v>
      </c>
      <c r="O765" s="7">
        <v>1</v>
      </c>
      <c r="V765" s="233"/>
      <c r="W765" s="20"/>
      <c r="X765" s="20"/>
      <c r="Y765" s="20"/>
      <c r="Z765" s="20"/>
      <c r="AB765" s="20"/>
      <c r="AC765" s="20"/>
      <c r="AD765" s="20"/>
      <c r="AE765" s="20"/>
      <c r="AF765" s="20"/>
      <c r="AG765" s="20"/>
      <c r="AH765" s="20"/>
      <c r="AI765" s="20"/>
    </row>
    <row r="766" spans="1:40" ht="14.25" customHeight="1">
      <c r="A766" s="125" t="s">
        <v>3266</v>
      </c>
      <c r="B766" s="9">
        <f>40.4/5</f>
        <v>8.08</v>
      </c>
      <c r="C766" s="137" t="s">
        <v>5841</v>
      </c>
      <c r="N766" s="183">
        <v>20</v>
      </c>
      <c r="O766" s="7">
        <v>1.1000000000000001</v>
      </c>
      <c r="V766" s="233"/>
      <c r="W766" s="20"/>
      <c r="X766" s="20"/>
      <c r="Y766" s="20"/>
      <c r="Z766" s="20"/>
      <c r="AB766" s="20"/>
      <c r="AC766" s="20"/>
      <c r="AD766" s="20"/>
      <c r="AE766" s="20"/>
      <c r="AF766" s="20"/>
      <c r="AG766" s="20"/>
      <c r="AH766" s="20"/>
      <c r="AI766" s="20"/>
    </row>
    <row r="767" spans="1:40" ht="14.25" customHeight="1">
      <c r="A767" s="125" t="s">
        <v>3267</v>
      </c>
      <c r="B767" s="9">
        <f>30/5</f>
        <v>6</v>
      </c>
      <c r="C767" s="137" t="s">
        <v>5842</v>
      </c>
      <c r="N767" s="183">
        <f>10+5</f>
        <v>15</v>
      </c>
      <c r="O767" s="7">
        <v>0.3</v>
      </c>
      <c r="V767" s="233"/>
      <c r="W767" s="20"/>
      <c r="X767" s="20"/>
      <c r="Y767" s="20"/>
      <c r="Z767" s="20"/>
      <c r="AB767" s="20"/>
      <c r="AC767" s="20"/>
      <c r="AD767" s="20"/>
      <c r="AE767" s="20"/>
      <c r="AF767" s="20"/>
      <c r="AG767" s="20"/>
      <c r="AH767" s="20"/>
      <c r="AI767" s="20"/>
    </row>
    <row r="768" spans="1:40" ht="14.25" customHeight="1">
      <c r="A768" s="125" t="s">
        <v>3268</v>
      </c>
      <c r="B768" s="9">
        <f>39.5/5</f>
        <v>7.9</v>
      </c>
      <c r="C768" s="137" t="s">
        <v>5843</v>
      </c>
      <c r="N768" s="183">
        <f>10+5</f>
        <v>15</v>
      </c>
      <c r="O768" s="7">
        <v>0.24</v>
      </c>
      <c r="V768" s="233"/>
      <c r="W768" s="20"/>
      <c r="X768" s="20"/>
      <c r="Y768" s="20"/>
      <c r="Z768" s="20"/>
      <c r="AB768" s="20"/>
      <c r="AC768" s="20"/>
      <c r="AD768" s="20"/>
      <c r="AE768" s="20"/>
      <c r="AF768" s="20"/>
      <c r="AG768" s="20"/>
      <c r="AH768" s="20"/>
      <c r="AI768" s="20"/>
    </row>
    <row r="769" spans="1:40" ht="14.25" customHeight="1">
      <c r="A769" s="125" t="s">
        <v>3269</v>
      </c>
      <c r="B769" s="9">
        <f>217/10</f>
        <v>21.7</v>
      </c>
      <c r="C769" s="137" t="s">
        <v>3393</v>
      </c>
      <c r="N769" s="183">
        <v>10</v>
      </c>
      <c r="O769" s="7">
        <v>2</v>
      </c>
      <c r="V769" s="233"/>
      <c r="W769" s="20"/>
      <c r="X769" s="20"/>
      <c r="Y769" s="20"/>
      <c r="Z769" s="20"/>
      <c r="AB769" s="20"/>
      <c r="AC769" s="20"/>
      <c r="AD769" s="20"/>
      <c r="AE769" s="20"/>
      <c r="AF769" s="20"/>
      <c r="AG769" s="20"/>
      <c r="AH769" s="20"/>
      <c r="AI769" s="20"/>
    </row>
    <row r="770" spans="1:40" ht="14.25" customHeight="1">
      <c r="A770" s="171" t="s">
        <v>3872</v>
      </c>
      <c r="B770" s="191">
        <f>74.5/3</f>
        <v>24.833333333333332</v>
      </c>
      <c r="C770" s="166" t="s">
        <v>3450</v>
      </c>
      <c r="N770" s="183">
        <v>3</v>
      </c>
      <c r="O770" s="7">
        <v>0.99</v>
      </c>
      <c r="R770"/>
      <c r="S770" s="228"/>
      <c r="T770" s="228"/>
      <c r="V770" s="233"/>
      <c r="W770" s="20"/>
      <c r="X770" s="20"/>
      <c r="Y770" s="20"/>
      <c r="Z770" s="20"/>
      <c r="AB770" s="20"/>
      <c r="AC770" s="20"/>
      <c r="AD770" s="20"/>
      <c r="AE770" s="20"/>
      <c r="AF770" s="20"/>
      <c r="AG770" s="20"/>
      <c r="AH770" s="20"/>
      <c r="AI770" s="20"/>
    </row>
    <row r="771" spans="1:40" ht="14.25" customHeight="1">
      <c r="A771" s="171" t="s">
        <v>3873</v>
      </c>
      <c r="B771" s="191">
        <f>68.3/3</f>
        <v>22.766666666666666</v>
      </c>
      <c r="C771" s="166" t="s">
        <v>3451</v>
      </c>
      <c r="N771" s="183">
        <v>3</v>
      </c>
      <c r="O771" s="7">
        <v>0.72</v>
      </c>
      <c r="R771"/>
      <c r="S771" s="228"/>
      <c r="T771" s="228"/>
      <c r="U771" s="237"/>
      <c r="V771" s="233"/>
      <c r="W771" s="20"/>
      <c r="X771" s="20"/>
      <c r="Y771" s="20"/>
      <c r="Z771" s="20"/>
      <c r="AA771" s="228"/>
      <c r="AB771" s="20"/>
      <c r="AC771" s="20"/>
      <c r="AD771" s="20"/>
      <c r="AE771" s="20"/>
      <c r="AF771" s="20"/>
      <c r="AG771" s="20"/>
      <c r="AH771" s="20"/>
      <c r="AI771" s="20"/>
      <c r="AJ771"/>
      <c r="AK771"/>
      <c r="AL771"/>
      <c r="AM771"/>
      <c r="AN771"/>
    </row>
    <row r="772" spans="1:40" ht="14.25" customHeight="1">
      <c r="A772" s="171" t="s">
        <v>3874</v>
      </c>
      <c r="B772" s="165">
        <f>45.9/3</f>
        <v>15.299999999999999</v>
      </c>
      <c r="C772" s="166" t="s">
        <v>3452</v>
      </c>
      <c r="N772" s="183">
        <v>3</v>
      </c>
      <c r="O772" s="7">
        <v>1.43</v>
      </c>
      <c r="R772"/>
      <c r="S772" s="228"/>
      <c r="T772" s="228"/>
      <c r="U772" s="237"/>
      <c r="V772" s="233"/>
      <c r="W772" s="20"/>
      <c r="X772" s="20"/>
      <c r="Y772" s="20"/>
      <c r="Z772" s="20"/>
      <c r="AA772" s="228"/>
      <c r="AB772" s="20"/>
      <c r="AC772" s="20"/>
      <c r="AD772" s="20"/>
      <c r="AE772" s="20"/>
      <c r="AF772" s="20"/>
      <c r="AG772" s="20"/>
      <c r="AH772" s="20"/>
      <c r="AI772" s="20"/>
      <c r="AJ772"/>
      <c r="AK772"/>
      <c r="AL772"/>
      <c r="AM772"/>
      <c r="AN772"/>
    </row>
    <row r="773" spans="1:40" ht="14.25" customHeight="1">
      <c r="A773" s="171" t="s">
        <v>3875</v>
      </c>
      <c r="B773" s="191">
        <f>46.4/3</f>
        <v>15.466666666666667</v>
      </c>
      <c r="C773" s="166" t="s">
        <v>3453</v>
      </c>
      <c r="N773" s="183">
        <v>3</v>
      </c>
      <c r="O773" s="7">
        <v>1.54</v>
      </c>
      <c r="R773"/>
      <c r="S773" s="228"/>
      <c r="T773" s="228"/>
      <c r="U773" s="237"/>
      <c r="V773" s="233"/>
      <c r="W773" s="20"/>
      <c r="X773" s="20"/>
      <c r="Y773" s="20"/>
      <c r="Z773" s="20"/>
      <c r="AA773" s="228"/>
      <c r="AB773" s="20"/>
      <c r="AC773" s="20"/>
      <c r="AD773" s="20"/>
      <c r="AE773" s="20"/>
      <c r="AF773" s="20"/>
      <c r="AG773" s="20"/>
      <c r="AH773" s="20"/>
      <c r="AI773" s="20"/>
      <c r="AJ773"/>
      <c r="AK773"/>
      <c r="AL773"/>
      <c r="AM773"/>
      <c r="AN773"/>
    </row>
    <row r="774" spans="1:40" ht="14.25" customHeight="1">
      <c r="A774" s="171" t="s">
        <v>3876</v>
      </c>
      <c r="B774" s="165">
        <v>2.9</v>
      </c>
      <c r="C774" s="166" t="s">
        <v>3899</v>
      </c>
      <c r="N774" s="183">
        <v>3</v>
      </c>
      <c r="O774" s="7">
        <v>0.15</v>
      </c>
      <c r="R774"/>
      <c r="S774" s="228"/>
      <c r="T774" s="228"/>
      <c r="U774" s="237"/>
      <c r="V774" s="233"/>
      <c r="W774" s="20"/>
      <c r="X774" s="20"/>
      <c r="Y774" s="20"/>
      <c r="Z774" s="20"/>
      <c r="AA774" s="228"/>
      <c r="AB774" s="20"/>
      <c r="AC774" s="20"/>
      <c r="AD774" s="20"/>
      <c r="AE774" s="20"/>
      <c r="AF774" s="20"/>
      <c r="AG774" s="20"/>
      <c r="AH774" s="20"/>
      <c r="AI774" s="20"/>
      <c r="AJ774"/>
      <c r="AK774"/>
      <c r="AL774"/>
      <c r="AM774"/>
      <c r="AN774"/>
    </row>
    <row r="775" spans="1:40" ht="14.25" customHeight="1">
      <c r="A775" s="171" t="s">
        <v>3877</v>
      </c>
      <c r="B775" s="165">
        <v>5.4</v>
      </c>
      <c r="C775" s="166" t="s">
        <v>3898</v>
      </c>
      <c r="N775" s="183">
        <v>3</v>
      </c>
      <c r="O775" s="7">
        <v>0.22</v>
      </c>
      <c r="R775"/>
      <c r="S775" s="228"/>
      <c r="T775" s="228"/>
      <c r="U775" s="237"/>
      <c r="V775" s="233"/>
      <c r="W775" s="20"/>
      <c r="X775" s="20"/>
      <c r="Y775" s="20"/>
      <c r="Z775" s="20"/>
      <c r="AA775" s="228"/>
      <c r="AB775" s="20"/>
      <c r="AC775" s="20"/>
      <c r="AD775" s="20"/>
      <c r="AE775" s="20"/>
      <c r="AF775" s="20"/>
      <c r="AG775" s="20"/>
      <c r="AH775" s="20"/>
      <c r="AI775" s="20"/>
      <c r="AJ775"/>
      <c r="AK775"/>
      <c r="AL775"/>
      <c r="AM775"/>
      <c r="AN775"/>
    </row>
    <row r="776" spans="1:40" ht="14.25" customHeight="1">
      <c r="A776" s="171" t="s">
        <v>3465</v>
      </c>
      <c r="B776" s="165">
        <v>4.7</v>
      </c>
      <c r="C776" s="166" t="s">
        <v>3897</v>
      </c>
      <c r="N776" s="183">
        <v>3</v>
      </c>
      <c r="O776" s="7">
        <v>0.2</v>
      </c>
      <c r="R776"/>
      <c r="S776" s="228"/>
      <c r="T776" s="228"/>
      <c r="U776" s="237"/>
      <c r="V776" s="233"/>
      <c r="W776" s="20"/>
      <c r="X776" s="20"/>
      <c r="Y776" s="20"/>
      <c r="Z776" s="20"/>
      <c r="AA776" s="228"/>
      <c r="AB776" s="20"/>
      <c r="AC776" s="20"/>
      <c r="AD776" s="20"/>
      <c r="AE776" s="20"/>
      <c r="AF776" s="20"/>
      <c r="AG776" s="20"/>
      <c r="AH776" s="20"/>
      <c r="AI776" s="20"/>
      <c r="AJ776"/>
      <c r="AK776"/>
      <c r="AL776"/>
      <c r="AM776"/>
      <c r="AN776"/>
    </row>
    <row r="777" spans="1:40" ht="14.25" customHeight="1">
      <c r="A777" s="171" t="s">
        <v>3878</v>
      </c>
      <c r="B777" s="165">
        <v>6.8</v>
      </c>
      <c r="C777" s="166" t="s">
        <v>3896</v>
      </c>
      <c r="N777" s="183">
        <v>3</v>
      </c>
      <c r="O777" s="7">
        <v>0.18</v>
      </c>
      <c r="R777"/>
      <c r="S777" s="228"/>
      <c r="T777" s="228"/>
      <c r="U777" s="237"/>
      <c r="V777" s="233"/>
      <c r="W777" s="20"/>
      <c r="X777" s="20"/>
      <c r="Y777" s="20"/>
      <c r="Z777" s="20"/>
      <c r="AA777" s="228"/>
      <c r="AB777" s="20"/>
      <c r="AC777" s="20"/>
      <c r="AD777" s="20"/>
      <c r="AE777" s="20"/>
      <c r="AF777" s="20"/>
      <c r="AG777" s="20"/>
      <c r="AH777" s="20"/>
      <c r="AI777" s="20"/>
      <c r="AJ777"/>
      <c r="AK777"/>
      <c r="AL777"/>
      <c r="AM777"/>
      <c r="AN777"/>
    </row>
    <row r="778" spans="1:40" ht="14.25" customHeight="1">
      <c r="A778" s="171" t="s">
        <v>3888</v>
      </c>
      <c r="B778" s="165">
        <v>16.5</v>
      </c>
      <c r="C778" s="169" t="s">
        <v>3870</v>
      </c>
      <c r="N778" s="183">
        <v>3</v>
      </c>
      <c r="O778" s="7">
        <v>0.85</v>
      </c>
      <c r="R778"/>
      <c r="S778" s="228"/>
      <c r="T778" s="228"/>
      <c r="U778" s="237"/>
      <c r="V778" s="233"/>
      <c r="W778" s="20"/>
      <c r="X778" s="20"/>
      <c r="Y778" s="20"/>
      <c r="Z778" s="20"/>
      <c r="AA778" s="228"/>
      <c r="AB778" s="20"/>
      <c r="AC778" s="20"/>
      <c r="AD778" s="20"/>
      <c r="AE778" s="20"/>
      <c r="AF778" s="20"/>
      <c r="AG778" s="20"/>
      <c r="AH778" s="20"/>
      <c r="AI778" s="20"/>
      <c r="AJ778"/>
      <c r="AK778"/>
      <c r="AL778"/>
      <c r="AM778"/>
      <c r="AN778"/>
    </row>
    <row r="779" spans="1:40" ht="14.25" customHeight="1">
      <c r="A779" s="171" t="s">
        <v>3889</v>
      </c>
      <c r="B779" s="165">
        <v>18.2</v>
      </c>
      <c r="C779" s="169" t="s">
        <v>3871</v>
      </c>
      <c r="N779" s="183">
        <v>3</v>
      </c>
      <c r="O779" s="7">
        <v>0.85</v>
      </c>
      <c r="R779"/>
      <c r="S779" s="228"/>
      <c r="T779" s="228"/>
      <c r="U779" s="237"/>
      <c r="V779" s="233"/>
      <c r="W779" s="20"/>
      <c r="X779" s="20"/>
      <c r="Y779" s="20"/>
      <c r="Z779" s="20"/>
      <c r="AA779" s="228"/>
      <c r="AB779" s="20"/>
      <c r="AC779" s="20"/>
      <c r="AD779" s="20"/>
      <c r="AE779" s="20"/>
      <c r="AF779" s="20"/>
      <c r="AG779" s="20"/>
      <c r="AH779" s="20"/>
      <c r="AI779" s="20"/>
      <c r="AJ779" s="169" t="s">
        <v>3870</v>
      </c>
      <c r="AK779"/>
      <c r="AL779"/>
      <c r="AM779"/>
      <c r="AN779"/>
    </row>
    <row r="780" spans="1:40" ht="14.25" customHeight="1">
      <c r="A780" s="171" t="s">
        <v>3890</v>
      </c>
      <c r="B780" s="165">
        <v>26.9</v>
      </c>
      <c r="C780" s="166" t="s">
        <v>3509</v>
      </c>
      <c r="N780" s="183">
        <v>4</v>
      </c>
      <c r="O780" s="7">
        <v>0.3</v>
      </c>
      <c r="R780"/>
      <c r="S780" s="228"/>
      <c r="T780" s="228"/>
      <c r="U780" s="237"/>
      <c r="V780" s="233"/>
      <c r="W780" s="20"/>
      <c r="X780" s="20"/>
      <c r="Y780" s="20"/>
      <c r="Z780" s="20"/>
      <c r="AA780" s="228"/>
      <c r="AB780" s="20"/>
      <c r="AC780" s="20"/>
      <c r="AD780" s="20"/>
      <c r="AE780" s="20"/>
      <c r="AF780" s="20"/>
      <c r="AG780" s="20"/>
      <c r="AH780" s="20"/>
      <c r="AI780" s="20"/>
      <c r="AJ780"/>
      <c r="AK780"/>
      <c r="AL780"/>
      <c r="AM780"/>
      <c r="AN780"/>
    </row>
    <row r="781" spans="1:40" ht="14.25" customHeight="1">
      <c r="A781" s="171" t="s">
        <v>3879</v>
      </c>
      <c r="B781" s="165">
        <v>30.2</v>
      </c>
      <c r="C781" s="166" t="s">
        <v>3510</v>
      </c>
      <c r="N781" s="183">
        <v>4</v>
      </c>
      <c r="O781" s="7">
        <v>0.44</v>
      </c>
      <c r="R781"/>
      <c r="S781" s="228"/>
      <c r="T781" s="228"/>
      <c r="U781" s="237"/>
      <c r="V781" s="233"/>
      <c r="W781" s="20"/>
      <c r="X781" s="20"/>
      <c r="Y781" s="20"/>
      <c r="Z781" s="20"/>
      <c r="AA781" s="228"/>
      <c r="AB781" s="20"/>
      <c r="AC781" s="20"/>
      <c r="AD781" s="20"/>
      <c r="AE781" s="20"/>
      <c r="AF781" s="20"/>
      <c r="AG781" s="20"/>
      <c r="AH781" s="20"/>
      <c r="AI781" s="20"/>
      <c r="AJ781"/>
      <c r="AK781"/>
      <c r="AL781"/>
      <c r="AM781"/>
      <c r="AN781"/>
    </row>
    <row r="782" spans="1:40" ht="14.25" customHeight="1">
      <c r="A782" s="171" t="s">
        <v>3880</v>
      </c>
      <c r="B782" s="165">
        <v>7.4</v>
      </c>
      <c r="C782" s="166" t="s">
        <v>3893</v>
      </c>
      <c r="N782" s="183">
        <v>5</v>
      </c>
      <c r="O782" s="7">
        <v>0.13</v>
      </c>
      <c r="R782"/>
      <c r="S782" s="228"/>
      <c r="T782" s="228"/>
      <c r="U782" s="237"/>
      <c r="V782" s="233"/>
      <c r="W782" s="20"/>
      <c r="X782" s="20"/>
      <c r="Y782" s="20"/>
      <c r="Z782" s="20"/>
      <c r="AA782" s="228"/>
      <c r="AB782" s="20"/>
      <c r="AC782" s="20"/>
      <c r="AD782" s="20"/>
      <c r="AE782" s="20"/>
      <c r="AF782" s="20"/>
      <c r="AG782" s="20"/>
      <c r="AH782" s="20"/>
      <c r="AI782" s="20"/>
      <c r="AJ782"/>
      <c r="AK782"/>
      <c r="AL782"/>
      <c r="AM782"/>
      <c r="AN782"/>
    </row>
    <row r="783" spans="1:40" ht="14.25" customHeight="1">
      <c r="A783" s="171" t="s">
        <v>3881</v>
      </c>
      <c r="B783" s="165">
        <v>3</v>
      </c>
      <c r="C783" s="166" t="s">
        <v>3895</v>
      </c>
      <c r="N783" s="183">
        <v>5</v>
      </c>
      <c r="O783" s="7">
        <v>0.1</v>
      </c>
      <c r="R783"/>
      <c r="S783" s="228"/>
      <c r="T783" s="228"/>
      <c r="U783" s="237"/>
      <c r="V783" s="233"/>
      <c r="W783" s="20"/>
      <c r="X783" s="20"/>
      <c r="Y783" s="20"/>
      <c r="Z783" s="20"/>
      <c r="AA783" s="228"/>
      <c r="AB783" s="20"/>
      <c r="AC783" s="20"/>
      <c r="AD783" s="20"/>
      <c r="AE783" s="20"/>
      <c r="AF783" s="20"/>
      <c r="AG783" s="20"/>
      <c r="AH783" s="20"/>
      <c r="AI783" s="20"/>
      <c r="AJ783"/>
      <c r="AK783"/>
      <c r="AL783"/>
      <c r="AM783"/>
      <c r="AN783"/>
    </row>
    <row r="784" spans="1:40" ht="14.25" customHeight="1">
      <c r="A784" s="171" t="s">
        <v>3882</v>
      </c>
      <c r="B784" s="165">
        <v>4.0999999999999996</v>
      </c>
      <c r="C784" s="166" t="s">
        <v>3894</v>
      </c>
      <c r="N784" s="183">
        <v>5</v>
      </c>
      <c r="O784" s="7">
        <v>0.08</v>
      </c>
      <c r="R784"/>
      <c r="S784" s="228"/>
      <c r="T784" s="228"/>
      <c r="U784" s="237"/>
      <c r="V784" s="233"/>
      <c r="W784" s="20"/>
      <c r="X784" s="20"/>
      <c r="Y784" s="20"/>
      <c r="Z784" s="20"/>
      <c r="AA784" s="228"/>
      <c r="AB784" s="20"/>
      <c r="AC784" s="20"/>
      <c r="AD784" s="20"/>
      <c r="AE784" s="20"/>
      <c r="AF784" s="20"/>
      <c r="AG784" s="20"/>
      <c r="AH784" s="20"/>
      <c r="AI784" s="20"/>
      <c r="AJ784"/>
      <c r="AK784"/>
      <c r="AL784"/>
      <c r="AM784"/>
      <c r="AN784"/>
    </row>
    <row r="785" spans="1:40" ht="14.25" customHeight="1">
      <c r="A785" s="171" t="s">
        <v>3883</v>
      </c>
      <c r="B785" s="165">
        <v>7.6</v>
      </c>
      <c r="C785" s="166" t="s">
        <v>3390</v>
      </c>
      <c r="N785" s="183">
        <v>3</v>
      </c>
      <c r="O785" s="7">
        <v>0.5</v>
      </c>
      <c r="R785"/>
      <c r="S785" s="228"/>
      <c r="T785" s="228"/>
      <c r="U785" s="237"/>
      <c r="V785" s="233"/>
      <c r="W785" s="20"/>
      <c r="X785" s="20"/>
      <c r="Y785" s="20"/>
      <c r="Z785" s="20"/>
      <c r="AA785" s="228"/>
      <c r="AB785" s="20"/>
      <c r="AC785" s="20"/>
      <c r="AD785" s="20"/>
      <c r="AE785" s="20"/>
      <c r="AF785" s="20"/>
      <c r="AG785" s="20"/>
      <c r="AH785" s="20"/>
      <c r="AI785" s="20"/>
      <c r="AJ785"/>
      <c r="AK785"/>
      <c r="AL785"/>
      <c r="AM785"/>
      <c r="AN785"/>
    </row>
    <row r="786" spans="1:40" ht="14.25" customHeight="1">
      <c r="A786" s="167" t="s">
        <v>3498</v>
      </c>
      <c r="B786" s="165">
        <f>186.2/5</f>
        <v>37.239999999999995</v>
      </c>
      <c r="C786" s="166" t="s">
        <v>5844</v>
      </c>
      <c r="N786" s="183">
        <v>5</v>
      </c>
      <c r="O786" s="7">
        <v>2.04</v>
      </c>
      <c r="R786"/>
      <c r="S786" s="228"/>
      <c r="T786" s="228"/>
      <c r="U786" s="237"/>
      <c r="V786" s="233"/>
      <c r="W786" s="20"/>
      <c r="X786" s="20"/>
      <c r="Y786" s="20"/>
      <c r="Z786" s="20"/>
      <c r="AA786" s="228"/>
      <c r="AB786" s="20"/>
      <c r="AC786" s="20"/>
      <c r="AD786" s="20"/>
      <c r="AE786" s="20"/>
      <c r="AF786" s="20"/>
      <c r="AG786" s="20"/>
      <c r="AH786" s="20"/>
      <c r="AI786" s="20"/>
      <c r="AJ786"/>
      <c r="AK786"/>
      <c r="AL786"/>
      <c r="AM786"/>
      <c r="AN786"/>
    </row>
    <row r="787" spans="1:40" ht="14.25" customHeight="1">
      <c r="A787" s="167" t="s">
        <v>3499</v>
      </c>
      <c r="B787" s="165">
        <f>190.2/5</f>
        <v>38.04</v>
      </c>
      <c r="C787" s="166" t="s">
        <v>5845</v>
      </c>
      <c r="N787" s="183">
        <v>5</v>
      </c>
      <c r="O787" s="7">
        <v>1.85</v>
      </c>
      <c r="R787"/>
      <c r="S787" s="228"/>
      <c r="T787" s="228"/>
      <c r="U787" s="237"/>
      <c r="V787" s="233"/>
      <c r="W787" s="20"/>
      <c r="X787" s="20"/>
      <c r="Y787" s="20"/>
      <c r="Z787" s="20"/>
      <c r="AA787" s="228"/>
      <c r="AB787" s="20"/>
      <c r="AC787" s="20"/>
      <c r="AD787" s="20"/>
      <c r="AE787" s="20"/>
      <c r="AF787" s="20"/>
      <c r="AG787" s="20"/>
      <c r="AH787" s="20"/>
      <c r="AI787" s="20"/>
      <c r="AJ787"/>
      <c r="AK787"/>
      <c r="AL787"/>
      <c r="AM787"/>
      <c r="AN787"/>
    </row>
    <row r="788" spans="1:40" ht="14.25" customHeight="1">
      <c r="A788" s="167" t="s">
        <v>3500</v>
      </c>
      <c r="B788" s="165">
        <f>154.6/5</f>
        <v>30.919999999999998</v>
      </c>
      <c r="C788" s="166" t="s">
        <v>5846</v>
      </c>
      <c r="N788" s="183">
        <v>5</v>
      </c>
      <c r="O788" s="7">
        <v>1.6</v>
      </c>
      <c r="R788"/>
      <c r="S788" s="228"/>
      <c r="T788" s="228"/>
      <c r="U788" s="237"/>
      <c r="V788" s="233"/>
      <c r="W788" s="20"/>
      <c r="X788" s="20"/>
      <c r="Y788" s="20"/>
      <c r="Z788" s="20"/>
      <c r="AA788" s="228"/>
      <c r="AD788" s="20"/>
      <c r="AE788" s="20"/>
      <c r="AF788" s="20"/>
      <c r="AG788" s="20"/>
      <c r="AH788" s="20"/>
      <c r="AI788" s="20"/>
      <c r="AJ788"/>
      <c r="AK788"/>
      <c r="AL788"/>
      <c r="AM788"/>
      <c r="AN788"/>
    </row>
    <row r="789" spans="1:40" ht="14.25" customHeight="1">
      <c r="A789" s="167" t="s">
        <v>3501</v>
      </c>
      <c r="B789" s="165">
        <f>108/5</f>
        <v>21.6</v>
      </c>
      <c r="C789" s="166" t="s">
        <v>5951</v>
      </c>
      <c r="N789" s="183">
        <v>5</v>
      </c>
      <c r="O789" s="7">
        <v>1.65</v>
      </c>
      <c r="R789"/>
      <c r="S789" s="228"/>
      <c r="T789" s="228"/>
      <c r="U789" s="237"/>
      <c r="AA789" s="228"/>
      <c r="AJ789"/>
      <c r="AK789"/>
      <c r="AL789"/>
      <c r="AM789"/>
      <c r="AN789"/>
    </row>
    <row r="790" spans="1:40" s="4" customFormat="1" ht="14.25" customHeight="1">
      <c r="A790" s="167" t="s">
        <v>3502</v>
      </c>
      <c r="B790" s="165">
        <v>77.900000000000006</v>
      </c>
      <c r="C790" s="166" t="s">
        <v>5847</v>
      </c>
      <c r="D790" s="183"/>
      <c r="E790" s="183"/>
      <c r="F790" s="188"/>
      <c r="G790" s="188"/>
      <c r="H790" s="183"/>
      <c r="I790" s="183"/>
      <c r="J790" s="188"/>
      <c r="K790" s="188"/>
      <c r="L790" s="9"/>
      <c r="M790" s="9"/>
      <c r="N790" s="183">
        <v>5</v>
      </c>
      <c r="O790" s="7">
        <v>3</v>
      </c>
      <c r="P790" s="9"/>
      <c r="Q790" s="9"/>
      <c r="R790"/>
      <c r="S790" s="228"/>
      <c r="T790" s="228"/>
      <c r="U790" s="237"/>
      <c r="V790" s="103"/>
      <c r="W790" s="9"/>
      <c r="X790" s="9"/>
      <c r="Y790" s="9"/>
      <c r="Z790" s="9"/>
      <c r="AA790" s="228"/>
      <c r="AB790" s="9"/>
      <c r="AC790" s="9"/>
      <c r="AD790" s="9"/>
      <c r="AE790" s="9"/>
      <c r="AF790" s="9"/>
      <c r="AG790" s="9"/>
      <c r="AH790" s="9"/>
      <c r="AI790" s="9"/>
      <c r="AJ790"/>
      <c r="AK790"/>
      <c r="AL790"/>
      <c r="AM790"/>
      <c r="AN790"/>
    </row>
    <row r="791" spans="1:40" ht="14.25" customHeight="1">
      <c r="A791" s="167" t="s">
        <v>3503</v>
      </c>
      <c r="B791" s="165">
        <f>156.2/5</f>
        <v>31.24</v>
      </c>
      <c r="C791" s="166" t="s">
        <v>5848</v>
      </c>
      <c r="N791" s="183">
        <v>5</v>
      </c>
      <c r="O791" s="7">
        <v>1.76</v>
      </c>
      <c r="R791"/>
      <c r="S791" s="228"/>
      <c r="T791" s="228"/>
      <c r="U791" s="237"/>
      <c r="AA791" s="228"/>
      <c r="AJ791"/>
      <c r="AK791"/>
      <c r="AL791"/>
      <c r="AM791"/>
      <c r="AN791"/>
    </row>
    <row r="792" spans="1:40" ht="14.25" customHeight="1">
      <c r="A792" s="167" t="s">
        <v>3531</v>
      </c>
      <c r="B792" s="165">
        <f>100.3/5</f>
        <v>20.059999999999999</v>
      </c>
      <c r="C792" s="166" t="s">
        <v>3422</v>
      </c>
      <c r="N792" s="183">
        <v>5</v>
      </c>
      <c r="O792" s="7">
        <v>0.6</v>
      </c>
      <c r="R792"/>
      <c r="S792" s="228"/>
      <c r="T792" s="228"/>
      <c r="U792" s="237"/>
      <c r="AA792" s="228"/>
      <c r="AB792" s="20"/>
      <c r="AC792" s="20"/>
      <c r="AJ792"/>
      <c r="AK792"/>
      <c r="AL792"/>
      <c r="AM792"/>
      <c r="AN792"/>
    </row>
    <row r="793" spans="1:40" ht="14.25" customHeight="1">
      <c r="A793" s="167" t="s">
        <v>3532</v>
      </c>
      <c r="B793" s="165">
        <f>107.5/5</f>
        <v>21.5</v>
      </c>
      <c r="C793" s="166" t="s">
        <v>3421</v>
      </c>
      <c r="N793" s="183">
        <v>5</v>
      </c>
      <c r="O793" s="7">
        <v>0.72</v>
      </c>
      <c r="R793"/>
      <c r="S793" s="228"/>
      <c r="T793" s="228"/>
      <c r="U793" s="237"/>
      <c r="V793" s="233"/>
      <c r="W793" s="20"/>
      <c r="X793" s="20"/>
      <c r="Y793" s="20"/>
      <c r="Z793" s="20"/>
      <c r="AA793" s="228"/>
      <c r="AD793" s="20"/>
      <c r="AE793" s="20"/>
      <c r="AF793" s="20"/>
      <c r="AG793" s="20"/>
      <c r="AH793" s="20"/>
      <c r="AI793" s="20"/>
      <c r="AJ793"/>
      <c r="AK793"/>
      <c r="AL793"/>
      <c r="AM793"/>
      <c r="AN793"/>
    </row>
    <row r="794" spans="1:40" ht="14.25" customHeight="1">
      <c r="A794" s="167" t="s">
        <v>3533</v>
      </c>
      <c r="B794" s="165">
        <f>99.4/5</f>
        <v>19.880000000000003</v>
      </c>
      <c r="C794" s="166" t="s">
        <v>3402</v>
      </c>
      <c r="N794" s="183">
        <v>5</v>
      </c>
      <c r="O794" s="7">
        <v>0.53</v>
      </c>
      <c r="R794"/>
      <c r="S794" s="228"/>
      <c r="T794" s="228"/>
      <c r="U794" s="237"/>
      <c r="AA794" s="228"/>
      <c r="AJ794"/>
      <c r="AK794"/>
      <c r="AL794"/>
      <c r="AM794"/>
      <c r="AN794"/>
    </row>
    <row r="795" spans="1:40" ht="14.25" customHeight="1">
      <c r="A795" s="167" t="s">
        <v>3534</v>
      </c>
      <c r="B795" s="165">
        <f>104.7/5</f>
        <v>20.94</v>
      </c>
      <c r="C795" s="173" t="s">
        <v>3389</v>
      </c>
      <c r="N795" s="183">
        <v>10</v>
      </c>
      <c r="O795" s="7">
        <v>2.75</v>
      </c>
      <c r="R795"/>
      <c r="S795" s="228"/>
      <c r="T795" s="228"/>
      <c r="U795" s="237"/>
      <c r="AA795" s="228"/>
      <c r="AJ795"/>
      <c r="AK795"/>
      <c r="AL795"/>
      <c r="AM795"/>
      <c r="AN795"/>
    </row>
    <row r="796" spans="1:40" ht="14.25" customHeight="1">
      <c r="A796" s="167" t="s">
        <v>3535</v>
      </c>
      <c r="B796" s="165">
        <v>80.7</v>
      </c>
      <c r="C796" s="166" t="s">
        <v>3861</v>
      </c>
      <c r="N796" s="183">
        <v>3</v>
      </c>
      <c r="O796" s="7">
        <v>4.2</v>
      </c>
      <c r="R796"/>
      <c r="S796" s="228"/>
      <c r="T796" s="228"/>
      <c r="U796" s="237"/>
      <c r="AA796" s="228"/>
      <c r="AJ796"/>
      <c r="AK796"/>
      <c r="AL796"/>
      <c r="AM796"/>
      <c r="AN796"/>
    </row>
    <row r="797" spans="1:40" ht="14.25" customHeight="1">
      <c r="A797" s="167" t="s">
        <v>3536</v>
      </c>
      <c r="B797" s="165">
        <f>91.9/5</f>
        <v>18.380000000000003</v>
      </c>
      <c r="C797" s="166" t="s">
        <v>3417</v>
      </c>
      <c r="N797" s="183">
        <v>5</v>
      </c>
      <c r="O797" s="7">
        <v>0.76</v>
      </c>
      <c r="R797"/>
      <c r="S797" s="228"/>
      <c r="T797" s="228"/>
      <c r="U797" s="237"/>
      <c r="AA797" s="228"/>
      <c r="AJ797"/>
      <c r="AK797"/>
      <c r="AL797"/>
      <c r="AM797"/>
      <c r="AN797"/>
    </row>
    <row r="798" spans="1:40" ht="14.25" customHeight="1">
      <c r="A798" s="167" t="s">
        <v>3537</v>
      </c>
      <c r="B798" s="165">
        <f>108/5</f>
        <v>21.6</v>
      </c>
      <c r="C798" s="166" t="s">
        <v>3418</v>
      </c>
      <c r="N798" s="183">
        <v>5</v>
      </c>
      <c r="O798" s="7">
        <v>0.73</v>
      </c>
      <c r="R798"/>
      <c r="S798" s="228"/>
      <c r="T798" s="228"/>
      <c r="U798" s="237"/>
      <c r="AA798" s="228"/>
      <c r="AJ798"/>
      <c r="AK798"/>
      <c r="AL798"/>
      <c r="AM798"/>
      <c r="AN798"/>
    </row>
    <row r="799" spans="1:40" ht="14.25" customHeight="1">
      <c r="A799" s="167" t="s">
        <v>3538</v>
      </c>
      <c r="B799" s="165">
        <f>109/5</f>
        <v>21.8</v>
      </c>
      <c r="C799" s="166" t="s">
        <v>3385</v>
      </c>
      <c r="N799" s="183">
        <v>5</v>
      </c>
      <c r="O799" s="7">
        <v>0.95</v>
      </c>
      <c r="R799"/>
      <c r="S799" s="228"/>
      <c r="T799" s="228"/>
      <c r="U799" s="237"/>
      <c r="AA799" s="228"/>
      <c r="AJ799"/>
      <c r="AK799"/>
      <c r="AL799"/>
      <c r="AM799"/>
      <c r="AN799"/>
    </row>
    <row r="800" spans="1:40" s="4" customFormat="1" ht="14.25" customHeight="1">
      <c r="A800" s="148" t="s">
        <v>3120</v>
      </c>
      <c r="B800" s="9">
        <f>15.2/10</f>
        <v>1.52</v>
      </c>
      <c r="C800" s="1" t="s">
        <v>5875</v>
      </c>
      <c r="D800" s="184"/>
      <c r="E800" s="184"/>
      <c r="F800" s="188"/>
      <c r="G800" s="188"/>
      <c r="H800" s="184"/>
      <c r="I800" s="184"/>
      <c r="J800" s="188"/>
      <c r="K800" s="188"/>
      <c r="L800" s="3"/>
      <c r="M800" s="3"/>
      <c r="N800" s="184">
        <v>1000</v>
      </c>
      <c r="O800" s="25">
        <f>72/1000</f>
        <v>7.1999999999999995E-2</v>
      </c>
      <c r="P800" s="224"/>
      <c r="Q800" s="224"/>
      <c r="R800" s="7"/>
      <c r="S800" s="126"/>
      <c r="T800" s="126"/>
      <c r="U800" s="237"/>
      <c r="V800" s="103"/>
      <c r="W800" s="9"/>
      <c r="X800" s="9"/>
      <c r="Y800" s="9"/>
      <c r="Z800" s="9"/>
      <c r="AA800" s="228"/>
      <c r="AB800" s="9"/>
      <c r="AC800" s="9"/>
      <c r="AD800" s="9"/>
      <c r="AE800" s="9"/>
      <c r="AF800" s="9"/>
      <c r="AG800" s="9"/>
      <c r="AH800" s="9"/>
      <c r="AI800" s="9"/>
      <c r="AJ800"/>
      <c r="AK800"/>
      <c r="AL800"/>
      <c r="AM800"/>
      <c r="AN800"/>
    </row>
    <row r="801" spans="1:40" ht="14.25" customHeight="1">
      <c r="A801" s="148" t="s">
        <v>3121</v>
      </c>
      <c r="B801" s="9">
        <f>13.3/10</f>
        <v>1.33</v>
      </c>
      <c r="C801" s="1" t="s">
        <v>5878</v>
      </c>
      <c r="D801" s="184"/>
      <c r="E801" s="184"/>
      <c r="H801" s="184"/>
      <c r="I801" s="184"/>
      <c r="L801" s="3"/>
      <c r="M801" s="3"/>
      <c r="N801" s="184">
        <v>1000</v>
      </c>
      <c r="O801" s="25">
        <f>80/1000</f>
        <v>0.08</v>
      </c>
      <c r="P801" s="224"/>
      <c r="Q801" s="224"/>
    </row>
    <row r="802" spans="1:40" ht="14.25" customHeight="1">
      <c r="A802" s="148" t="s">
        <v>3122</v>
      </c>
      <c r="B802" s="9">
        <f>14.8/10</f>
        <v>1.48</v>
      </c>
      <c r="C802" s="1" t="s">
        <v>5877</v>
      </c>
      <c r="D802" s="184"/>
      <c r="E802" s="184"/>
      <c r="H802" s="184"/>
      <c r="I802" s="184"/>
      <c r="L802" s="3"/>
      <c r="M802" s="3"/>
      <c r="N802" s="184">
        <v>100</v>
      </c>
      <c r="O802" s="25">
        <f>13/100</f>
        <v>0.13</v>
      </c>
      <c r="P802" s="224"/>
      <c r="Q802" s="224"/>
    </row>
    <row r="803" spans="1:40" ht="14.25" customHeight="1">
      <c r="A803" s="148" t="s">
        <v>3123</v>
      </c>
      <c r="B803" s="9">
        <f>15.1/10</f>
        <v>1.51</v>
      </c>
      <c r="C803" s="1" t="s">
        <v>5876</v>
      </c>
      <c r="D803" s="184"/>
      <c r="E803" s="184"/>
      <c r="H803" s="184"/>
      <c r="I803" s="184"/>
      <c r="L803" s="3"/>
      <c r="M803" s="3"/>
      <c r="N803" s="184">
        <v>1000</v>
      </c>
      <c r="O803" s="25">
        <f>75/1000</f>
        <v>7.4999999999999997E-2</v>
      </c>
      <c r="P803" s="224"/>
      <c r="Q803" s="224"/>
    </row>
    <row r="804" spans="1:40" ht="14.25" customHeight="1">
      <c r="A804" s="112" t="s">
        <v>3839</v>
      </c>
      <c r="B804" s="165">
        <f>7.4/5</f>
        <v>1.48</v>
      </c>
      <c r="C804" s="1" t="s">
        <v>5874</v>
      </c>
      <c r="N804" s="183">
        <v>500</v>
      </c>
      <c r="O804" s="7">
        <f>4.8/100</f>
        <v>4.8000000000000001E-2</v>
      </c>
      <c r="R804"/>
      <c r="S804" s="228"/>
      <c r="T804" s="228"/>
    </row>
    <row r="805" spans="1:40" ht="14.25" customHeight="1">
      <c r="A805" s="147" t="s">
        <v>3578</v>
      </c>
      <c r="B805" s="9">
        <v>1.2</v>
      </c>
      <c r="C805" s="1" t="s">
        <v>5879</v>
      </c>
      <c r="D805" s="184"/>
      <c r="E805" s="184"/>
      <c r="H805" s="184"/>
      <c r="I805" s="184"/>
      <c r="L805" s="3"/>
      <c r="M805" s="3"/>
      <c r="N805" s="184">
        <v>99</v>
      </c>
      <c r="O805" s="6">
        <v>0.1</v>
      </c>
      <c r="P805" s="222"/>
      <c r="Q805" s="222"/>
      <c r="U805" s="237"/>
      <c r="AA805" s="228"/>
      <c r="AJ805"/>
      <c r="AK805"/>
      <c r="AL805"/>
      <c r="AM805"/>
      <c r="AN805"/>
    </row>
    <row r="806" spans="1:40" ht="14.25" customHeight="1">
      <c r="A806" s="147" t="s">
        <v>3579</v>
      </c>
      <c r="B806" s="9">
        <f>13.5/10</f>
        <v>1.35</v>
      </c>
      <c r="C806" s="211" t="s">
        <v>5880</v>
      </c>
      <c r="D806" s="184"/>
      <c r="E806" s="184"/>
      <c r="H806" s="184"/>
      <c r="I806" s="184"/>
      <c r="L806" s="3"/>
      <c r="M806" s="3"/>
      <c r="N806" s="184">
        <f t="shared" ref="N806:N811" si="65">600/6</f>
        <v>100</v>
      </c>
      <c r="O806" s="6">
        <v>0.09</v>
      </c>
      <c r="P806" s="222"/>
      <c r="Q806" s="222"/>
    </row>
    <row r="807" spans="1:40" s="4" customFormat="1" ht="14.25" customHeight="1">
      <c r="A807" s="147" t="s">
        <v>3580</v>
      </c>
      <c r="B807" s="9">
        <f>13.6/10</f>
        <v>1.3599999999999999</v>
      </c>
      <c r="C807" s="1" t="s">
        <v>5881</v>
      </c>
      <c r="D807" s="184"/>
      <c r="E807" s="184"/>
      <c r="F807" s="188"/>
      <c r="G807" s="188"/>
      <c r="H807" s="184"/>
      <c r="I807" s="184"/>
      <c r="J807" s="188"/>
      <c r="K807" s="188"/>
      <c r="L807" s="3"/>
      <c r="M807" s="3"/>
      <c r="N807" s="184">
        <f t="shared" si="65"/>
        <v>100</v>
      </c>
      <c r="O807" s="6">
        <v>0.09</v>
      </c>
      <c r="P807" s="222"/>
      <c r="Q807" s="222"/>
      <c r="R807" s="7"/>
      <c r="S807" s="126"/>
      <c r="T807" s="126"/>
      <c r="U807" s="236"/>
      <c r="V807" s="103"/>
      <c r="W807" s="9"/>
      <c r="X807" s="9"/>
      <c r="Y807" s="9"/>
      <c r="Z807" s="9"/>
      <c r="AA807" s="126"/>
      <c r="AB807" s="9"/>
      <c r="AC807" s="9"/>
      <c r="AD807" s="9"/>
      <c r="AE807" s="9"/>
      <c r="AF807" s="9"/>
      <c r="AG807" s="9"/>
      <c r="AH807" s="9"/>
      <c r="AI807" s="9"/>
      <c r="AJ807" s="211" t="s">
        <v>5880</v>
      </c>
      <c r="AK807" s="7"/>
      <c r="AL807" s="7"/>
      <c r="AM807" s="7"/>
      <c r="AN807" s="7"/>
    </row>
    <row r="808" spans="1:40" ht="14.25" customHeight="1">
      <c r="A808" s="147" t="s">
        <v>3581</v>
      </c>
      <c r="B808" s="9">
        <f>13.6/10</f>
        <v>1.3599999999999999</v>
      </c>
      <c r="C808" s="1" t="s">
        <v>5882</v>
      </c>
      <c r="D808" s="184"/>
      <c r="E808" s="184"/>
      <c r="H808" s="184"/>
      <c r="I808" s="184"/>
      <c r="L808" s="3"/>
      <c r="M808" s="3"/>
      <c r="N808" s="184">
        <f t="shared" si="65"/>
        <v>100</v>
      </c>
      <c r="O808" s="6">
        <v>0.09</v>
      </c>
      <c r="P808" s="222"/>
      <c r="Q808" s="222"/>
    </row>
    <row r="809" spans="1:40" ht="14.25" customHeight="1">
      <c r="A809" s="147" t="s">
        <v>3582</v>
      </c>
      <c r="B809" s="9">
        <f>13.6/10</f>
        <v>1.3599999999999999</v>
      </c>
      <c r="C809" s="1" t="s">
        <v>5883</v>
      </c>
      <c r="D809" s="184"/>
      <c r="E809" s="184"/>
      <c r="H809" s="184"/>
      <c r="I809" s="184"/>
      <c r="L809" s="3"/>
      <c r="M809" s="3"/>
      <c r="N809" s="184">
        <f t="shared" si="65"/>
        <v>100</v>
      </c>
      <c r="O809" s="6">
        <v>0.09</v>
      </c>
      <c r="P809" s="222"/>
      <c r="Q809" s="222"/>
    </row>
    <row r="810" spans="1:40" ht="14.25" customHeight="1">
      <c r="A810" s="147" t="s">
        <v>3583</v>
      </c>
      <c r="B810" s="9">
        <f>13.6/10</f>
        <v>1.3599999999999999</v>
      </c>
      <c r="C810" s="1" t="s">
        <v>5884</v>
      </c>
      <c r="D810" s="184"/>
      <c r="E810" s="184"/>
      <c r="H810" s="184"/>
      <c r="I810" s="184"/>
      <c r="L810" s="3"/>
      <c r="M810" s="3"/>
      <c r="N810" s="184">
        <f t="shared" si="65"/>
        <v>100</v>
      </c>
      <c r="O810" s="6">
        <v>0.09</v>
      </c>
      <c r="P810" s="222"/>
      <c r="Q810" s="222"/>
    </row>
    <row r="811" spans="1:40" ht="14.25" customHeight="1">
      <c r="A811" s="147" t="s">
        <v>3584</v>
      </c>
      <c r="B811" s="9">
        <f>13.6/10</f>
        <v>1.3599999999999999</v>
      </c>
      <c r="C811" s="1" t="s">
        <v>5885</v>
      </c>
      <c r="D811" s="184"/>
      <c r="E811" s="184"/>
      <c r="H811" s="184"/>
      <c r="I811" s="184"/>
      <c r="L811" s="3"/>
      <c r="M811" s="3"/>
      <c r="N811" s="184">
        <f t="shared" si="65"/>
        <v>100</v>
      </c>
      <c r="O811" s="6">
        <v>0.09</v>
      </c>
      <c r="P811" s="222"/>
      <c r="Q811" s="222"/>
    </row>
    <row r="812" spans="1:40" ht="14.25" customHeight="1">
      <c r="A812" s="147" t="s">
        <v>3585</v>
      </c>
      <c r="B812" s="9">
        <f t="shared" ref="B812:B817" si="66">80.5/50</f>
        <v>1.61</v>
      </c>
      <c r="C812" s="211" t="s">
        <v>5886</v>
      </c>
      <c r="D812" s="184"/>
      <c r="E812" s="184"/>
      <c r="H812" s="184"/>
      <c r="I812" s="184"/>
      <c r="L812" s="3"/>
      <c r="M812" s="3"/>
      <c r="N812" s="184">
        <v>50</v>
      </c>
      <c r="O812" s="6">
        <v>0.15</v>
      </c>
      <c r="P812" s="222"/>
      <c r="Q812" s="222"/>
      <c r="AB812" s="20"/>
      <c r="AC812" s="20"/>
    </row>
    <row r="813" spans="1:40" ht="14.25" customHeight="1">
      <c r="A813" s="147" t="s">
        <v>3586</v>
      </c>
      <c r="B813" s="9">
        <f t="shared" si="66"/>
        <v>1.61</v>
      </c>
      <c r="C813" s="1" t="s">
        <v>5887</v>
      </c>
      <c r="D813" s="184"/>
      <c r="E813" s="184"/>
      <c r="H813" s="184"/>
      <c r="I813" s="184"/>
      <c r="L813" s="3"/>
      <c r="M813" s="3"/>
      <c r="N813" s="184">
        <v>50</v>
      </c>
      <c r="O813" s="6">
        <v>0.15</v>
      </c>
      <c r="P813" s="222"/>
      <c r="Q813" s="222"/>
      <c r="V813" s="233"/>
      <c r="W813" s="20"/>
      <c r="X813" s="20"/>
      <c r="Y813" s="20"/>
      <c r="Z813" s="20"/>
      <c r="AB813" s="20"/>
      <c r="AC813" s="20"/>
      <c r="AD813" s="20"/>
      <c r="AE813" s="20"/>
      <c r="AF813" s="20"/>
      <c r="AG813" s="20"/>
      <c r="AH813" s="20"/>
      <c r="AI813" s="20"/>
      <c r="AJ813" s="211" t="s">
        <v>5886</v>
      </c>
    </row>
    <row r="814" spans="1:40" ht="14.25" customHeight="1">
      <c r="A814" s="147" t="s">
        <v>3587</v>
      </c>
      <c r="B814" s="9">
        <f t="shared" si="66"/>
        <v>1.61</v>
      </c>
      <c r="C814" s="1" t="s">
        <v>5888</v>
      </c>
      <c r="D814" s="184"/>
      <c r="E814" s="184"/>
      <c r="H814" s="184"/>
      <c r="I814" s="184"/>
      <c r="L814" s="3"/>
      <c r="M814" s="3"/>
      <c r="N814" s="184">
        <v>50</v>
      </c>
      <c r="O814" s="6">
        <v>0.15</v>
      </c>
      <c r="P814" s="222"/>
      <c r="Q814" s="222"/>
      <c r="V814" s="233"/>
      <c r="W814" s="20"/>
      <c r="X814" s="20"/>
      <c r="Y814" s="20"/>
      <c r="Z814" s="20"/>
      <c r="AD814" s="20"/>
      <c r="AE814" s="20"/>
      <c r="AF814" s="20"/>
      <c r="AG814" s="20"/>
      <c r="AH814" s="20"/>
      <c r="AI814" s="20"/>
    </row>
    <row r="815" spans="1:40" ht="14.25" customHeight="1">
      <c r="A815" s="147" t="s">
        <v>3588</v>
      </c>
      <c r="B815" s="9">
        <f t="shared" si="66"/>
        <v>1.61</v>
      </c>
      <c r="C815" s="1" t="s">
        <v>5889</v>
      </c>
      <c r="D815" s="184"/>
      <c r="E815" s="184"/>
      <c r="H815" s="184"/>
      <c r="I815" s="184"/>
      <c r="L815" s="3"/>
      <c r="M815" s="3"/>
      <c r="N815" s="184">
        <v>50</v>
      </c>
      <c r="O815" s="6">
        <v>0.15</v>
      </c>
      <c r="P815" s="222"/>
      <c r="Q815" s="222"/>
    </row>
    <row r="816" spans="1:40" ht="14.25" customHeight="1">
      <c r="A816" s="147" t="s">
        <v>3589</v>
      </c>
      <c r="B816" s="9">
        <f t="shared" si="66"/>
        <v>1.61</v>
      </c>
      <c r="C816" s="1" t="s">
        <v>5890</v>
      </c>
      <c r="D816" s="184"/>
      <c r="E816" s="184"/>
      <c r="H816" s="184"/>
      <c r="I816" s="184"/>
      <c r="L816" s="3"/>
      <c r="M816" s="3"/>
      <c r="N816" s="184">
        <v>53</v>
      </c>
      <c r="O816" s="6">
        <v>0.15</v>
      </c>
      <c r="P816" s="222"/>
      <c r="Q816" s="222"/>
    </row>
    <row r="817" spans="1:40" ht="14.25" customHeight="1">
      <c r="A817" s="147" t="s">
        <v>3590</v>
      </c>
      <c r="B817" s="9">
        <f t="shared" si="66"/>
        <v>1.61</v>
      </c>
      <c r="C817" s="1" t="s">
        <v>5891</v>
      </c>
      <c r="D817" s="184"/>
      <c r="E817" s="184"/>
      <c r="H817" s="184"/>
      <c r="I817" s="184"/>
      <c r="L817" s="3"/>
      <c r="M817" s="3"/>
      <c r="N817" s="184">
        <v>50</v>
      </c>
      <c r="O817" s="6">
        <v>0.15</v>
      </c>
      <c r="P817" s="222"/>
      <c r="Q817" s="222"/>
    </row>
    <row r="818" spans="1:40" ht="14.25" customHeight="1">
      <c r="A818" s="147" t="s">
        <v>3591</v>
      </c>
      <c r="B818" s="9">
        <f>11.4/10</f>
        <v>1.1400000000000001</v>
      </c>
      <c r="C818" s="211" t="s">
        <v>5892</v>
      </c>
      <c r="D818" s="184"/>
      <c r="E818" s="184"/>
      <c r="H818" s="184"/>
      <c r="I818" s="184"/>
      <c r="L818" s="3"/>
      <c r="M818" s="3"/>
      <c r="N818" s="184">
        <v>100</v>
      </c>
      <c r="O818" s="6">
        <v>0.08</v>
      </c>
      <c r="P818" s="222"/>
      <c r="Q818" s="222"/>
      <c r="AB818" s="168"/>
      <c r="AC818" s="168"/>
    </row>
    <row r="819" spans="1:40" ht="14.25" customHeight="1">
      <c r="A819" s="147" t="s">
        <v>3598</v>
      </c>
      <c r="B819" s="9">
        <f>13/10</f>
        <v>1.3</v>
      </c>
      <c r="C819" s="1" t="s">
        <v>5893</v>
      </c>
      <c r="D819" s="184"/>
      <c r="E819" s="184"/>
      <c r="H819" s="184"/>
      <c r="I819" s="184"/>
      <c r="L819" s="3"/>
      <c r="M819" s="3"/>
      <c r="N819" s="184">
        <f>600/5</f>
        <v>120</v>
      </c>
      <c r="O819" s="6">
        <v>7.0000000000000007E-2</v>
      </c>
      <c r="P819" s="222"/>
      <c r="Q819" s="222"/>
      <c r="V819" s="232"/>
      <c r="W819" s="168"/>
      <c r="X819" s="168"/>
      <c r="Y819" s="168"/>
      <c r="Z819" s="168"/>
      <c r="AB819" s="20"/>
      <c r="AC819" s="20"/>
      <c r="AD819" s="168"/>
      <c r="AE819" s="168"/>
      <c r="AF819" s="168"/>
      <c r="AG819" s="168"/>
      <c r="AH819" s="168"/>
      <c r="AI819" s="168"/>
      <c r="AJ819" s="211" t="s">
        <v>5892</v>
      </c>
    </row>
    <row r="820" spans="1:40" ht="14.25" customHeight="1">
      <c r="A820" s="147" t="s">
        <v>3599</v>
      </c>
      <c r="B820" s="9">
        <f>14/10</f>
        <v>1.4</v>
      </c>
      <c r="C820" s="1" t="s">
        <v>5894</v>
      </c>
      <c r="D820" s="184"/>
      <c r="E820" s="184"/>
      <c r="H820" s="184"/>
      <c r="I820" s="184"/>
      <c r="L820" s="3"/>
      <c r="M820" s="3"/>
      <c r="N820" s="184">
        <f>600/5</f>
        <v>120</v>
      </c>
      <c r="O820" s="6">
        <v>7.0000000000000007E-2</v>
      </c>
      <c r="P820" s="222"/>
      <c r="Q820" s="222"/>
      <c r="V820" s="233"/>
      <c r="W820" s="20"/>
      <c r="X820" s="20"/>
      <c r="Y820" s="20"/>
      <c r="Z820" s="20"/>
      <c r="AD820" s="20"/>
      <c r="AE820" s="20"/>
      <c r="AF820" s="20"/>
      <c r="AG820" s="20"/>
      <c r="AH820" s="20"/>
      <c r="AI820" s="20"/>
    </row>
    <row r="821" spans="1:40" ht="14.25" customHeight="1">
      <c r="A821" s="147" t="s">
        <v>3600</v>
      </c>
      <c r="B821" s="9">
        <f>14/10</f>
        <v>1.4</v>
      </c>
      <c r="C821" s="1" t="s">
        <v>5895</v>
      </c>
      <c r="D821" s="184"/>
      <c r="E821" s="184"/>
      <c r="H821" s="184"/>
      <c r="I821" s="184"/>
      <c r="L821" s="3"/>
      <c r="M821" s="3"/>
      <c r="N821" s="184">
        <f>600/5</f>
        <v>120</v>
      </c>
      <c r="O821" s="6">
        <v>7.0000000000000007E-2</v>
      </c>
      <c r="P821" s="222"/>
      <c r="Q821" s="222"/>
      <c r="AB821" s="20"/>
      <c r="AC821" s="20"/>
    </row>
    <row r="822" spans="1:40" ht="14.25" customHeight="1">
      <c r="A822" s="147" t="s">
        <v>3601</v>
      </c>
      <c r="B822" s="9">
        <f>14/10</f>
        <v>1.4</v>
      </c>
      <c r="C822" s="1" t="s">
        <v>5896</v>
      </c>
      <c r="D822" s="184"/>
      <c r="E822" s="184"/>
      <c r="H822" s="184"/>
      <c r="I822" s="184"/>
      <c r="L822" s="3"/>
      <c r="M822" s="3"/>
      <c r="N822" s="184">
        <f>600/5</f>
        <v>120</v>
      </c>
      <c r="O822" s="6">
        <v>7.0000000000000007E-2</v>
      </c>
      <c r="P822" s="222"/>
      <c r="Q822" s="222"/>
      <c r="V822" s="233"/>
      <c r="W822" s="20"/>
      <c r="X822" s="20"/>
      <c r="Y822" s="20"/>
      <c r="Z822" s="20"/>
      <c r="AB822" s="20"/>
      <c r="AC822" s="20"/>
      <c r="AD822" s="20"/>
      <c r="AE822" s="20"/>
      <c r="AF822" s="20"/>
      <c r="AG822" s="20"/>
      <c r="AH822" s="20"/>
      <c r="AI822" s="20"/>
    </row>
    <row r="823" spans="1:40" ht="14.25" customHeight="1">
      <c r="A823" s="147" t="s">
        <v>3602</v>
      </c>
      <c r="B823" s="9">
        <f>14/10</f>
        <v>1.4</v>
      </c>
      <c r="C823" s="1" t="s">
        <v>5897</v>
      </c>
      <c r="D823" s="184"/>
      <c r="E823" s="184"/>
      <c r="H823" s="184"/>
      <c r="I823" s="184"/>
      <c r="L823" s="3"/>
      <c r="M823" s="3"/>
      <c r="N823" s="184">
        <f>600/5</f>
        <v>120</v>
      </c>
      <c r="O823" s="6">
        <v>7.0000000000000007E-2</v>
      </c>
      <c r="P823" s="222"/>
      <c r="Q823" s="222"/>
      <c r="V823" s="233"/>
      <c r="W823" s="20"/>
      <c r="X823" s="20"/>
      <c r="Y823" s="20"/>
      <c r="Z823" s="20"/>
      <c r="AB823" s="20"/>
      <c r="AC823" s="20"/>
      <c r="AD823" s="20"/>
      <c r="AE823" s="20"/>
      <c r="AF823" s="20"/>
      <c r="AG823" s="20"/>
      <c r="AH823" s="20"/>
      <c r="AI823" s="20"/>
    </row>
    <row r="824" spans="1:40" ht="14.25" customHeight="1">
      <c r="A824" s="112" t="s">
        <v>3840</v>
      </c>
      <c r="B824" s="165">
        <f>7.7/5</f>
        <v>1.54</v>
      </c>
      <c r="C824" s="211" t="s">
        <v>5898</v>
      </c>
      <c r="N824" s="183">
        <v>251</v>
      </c>
      <c r="O824" s="7">
        <v>3.5</v>
      </c>
      <c r="R824"/>
      <c r="S824" s="228"/>
      <c r="T824" s="228"/>
      <c r="V824" s="233"/>
      <c r="W824" s="20"/>
      <c r="X824" s="20"/>
      <c r="Y824" s="20"/>
      <c r="Z824" s="20"/>
      <c r="AB824" s="20"/>
      <c r="AC824" s="20"/>
      <c r="AD824" s="20"/>
      <c r="AE824" s="20"/>
      <c r="AF824" s="20"/>
      <c r="AG824" s="20"/>
      <c r="AH824" s="20"/>
      <c r="AI824" s="20"/>
    </row>
    <row r="825" spans="1:40" s="4" customFormat="1" ht="14.25" customHeight="1">
      <c r="A825" s="112" t="s">
        <v>3841</v>
      </c>
      <c r="B825" s="165">
        <f>7.6/5</f>
        <v>1.52</v>
      </c>
      <c r="C825" s="1" t="s">
        <v>5899</v>
      </c>
      <c r="D825" s="183"/>
      <c r="E825" s="183"/>
      <c r="F825" s="188"/>
      <c r="G825" s="188"/>
      <c r="H825" s="183"/>
      <c r="I825" s="183"/>
      <c r="J825" s="188"/>
      <c r="K825" s="188"/>
      <c r="L825" s="9"/>
      <c r="M825" s="9"/>
      <c r="N825" s="183">
        <v>251</v>
      </c>
      <c r="O825" s="7">
        <v>0.76</v>
      </c>
      <c r="P825" s="9"/>
      <c r="Q825" s="9"/>
      <c r="R825"/>
      <c r="S825" s="228"/>
      <c r="T825" s="228"/>
      <c r="U825" s="237"/>
      <c r="V825" s="233"/>
      <c r="W825" s="20"/>
      <c r="X825" s="20"/>
      <c r="Y825" s="20"/>
      <c r="Z825" s="20"/>
      <c r="AA825" s="228"/>
      <c r="AB825" s="20"/>
      <c r="AC825" s="20"/>
      <c r="AD825" s="20"/>
      <c r="AE825" s="20"/>
      <c r="AF825" s="20"/>
      <c r="AG825" s="20"/>
      <c r="AH825" s="20"/>
      <c r="AI825" s="20"/>
      <c r="AJ825" s="211" t="s">
        <v>5898</v>
      </c>
      <c r="AK825"/>
      <c r="AL825"/>
      <c r="AM825"/>
      <c r="AN825"/>
    </row>
    <row r="826" spans="1:40" ht="14.25" customHeight="1">
      <c r="A826" s="147" t="s">
        <v>3605</v>
      </c>
      <c r="B826" s="9">
        <v>30.5</v>
      </c>
      <c r="C826" s="196" t="s">
        <v>5900</v>
      </c>
      <c r="D826" s="184"/>
      <c r="E826" s="184"/>
      <c r="H826" s="184"/>
      <c r="I826" s="184"/>
      <c r="L826" s="3"/>
      <c r="M826" s="3"/>
      <c r="N826" s="184">
        <v>5</v>
      </c>
      <c r="O826" s="6">
        <v>0.6</v>
      </c>
      <c r="P826" s="222"/>
      <c r="Q826" s="222"/>
      <c r="U826" s="237"/>
      <c r="V826" s="233"/>
      <c r="W826" s="20"/>
      <c r="X826" s="20"/>
      <c r="Y826" s="20"/>
      <c r="Z826" s="20"/>
      <c r="AA826" s="228"/>
      <c r="AB826" s="20"/>
      <c r="AC826" s="20"/>
      <c r="AD826" s="20"/>
      <c r="AE826" s="20"/>
      <c r="AF826" s="20"/>
      <c r="AG826" s="20"/>
      <c r="AH826" s="20"/>
      <c r="AI826" s="20"/>
      <c r="AJ826"/>
      <c r="AK826"/>
      <c r="AL826"/>
      <c r="AM826"/>
      <c r="AN826"/>
    </row>
    <row r="827" spans="1:40" ht="14.25" customHeight="1">
      <c r="A827" s="147" t="s">
        <v>3606</v>
      </c>
      <c r="B827" s="9">
        <v>6.5</v>
      </c>
      <c r="C827" s="196" t="s">
        <v>5952</v>
      </c>
      <c r="D827" s="184"/>
      <c r="E827" s="184"/>
      <c r="H827" s="184"/>
      <c r="I827" s="184"/>
      <c r="L827" s="3"/>
      <c r="M827" s="3"/>
      <c r="N827" s="184">
        <v>5</v>
      </c>
      <c r="O827" s="6">
        <v>0.18</v>
      </c>
      <c r="P827" s="222"/>
      <c r="Q827" s="222"/>
      <c r="V827" s="233"/>
      <c r="W827" s="20"/>
      <c r="X827" s="20"/>
      <c r="Y827" s="20"/>
      <c r="Z827" s="20"/>
      <c r="AB827" s="20"/>
      <c r="AC827" s="20"/>
      <c r="AD827" s="20"/>
      <c r="AE827" s="20"/>
      <c r="AF827" s="20"/>
      <c r="AG827" s="20"/>
      <c r="AH827" s="20"/>
      <c r="AI827" s="20"/>
    </row>
    <row r="828" spans="1:40" ht="14.25" customHeight="1">
      <c r="A828" s="147" t="s">
        <v>3607</v>
      </c>
      <c r="B828" s="9">
        <v>18.3</v>
      </c>
      <c r="C828" s="197" t="s">
        <v>5912</v>
      </c>
      <c r="D828" s="184"/>
      <c r="E828" s="184"/>
      <c r="H828" s="184"/>
      <c r="I828" s="184"/>
      <c r="L828" s="3"/>
      <c r="M828" s="3"/>
      <c r="N828" s="184">
        <v>5</v>
      </c>
      <c r="O828" s="6">
        <v>2</v>
      </c>
      <c r="P828" s="222"/>
      <c r="Q828" s="222"/>
      <c r="V828" s="233"/>
      <c r="W828" s="20"/>
      <c r="X828" s="20"/>
      <c r="Y828" s="20"/>
      <c r="Z828" s="20"/>
      <c r="AB828" s="20"/>
      <c r="AC828" s="20"/>
      <c r="AD828" s="20"/>
      <c r="AE828" s="20"/>
      <c r="AF828" s="20"/>
      <c r="AG828" s="20"/>
      <c r="AH828" s="20"/>
      <c r="AI828" s="20"/>
    </row>
    <row r="829" spans="1:40" ht="14.25" customHeight="1">
      <c r="A829" s="147" t="s">
        <v>3608</v>
      </c>
      <c r="B829" s="9">
        <v>9.6</v>
      </c>
      <c r="C829" s="196" t="s">
        <v>5901</v>
      </c>
      <c r="D829" s="184"/>
      <c r="E829" s="184"/>
      <c r="H829" s="184"/>
      <c r="I829" s="184"/>
      <c r="L829" s="3"/>
      <c r="M829" s="3"/>
      <c r="N829" s="184">
        <v>5</v>
      </c>
      <c r="O829" s="6">
        <v>1.6</v>
      </c>
      <c r="P829" s="222"/>
      <c r="Q829" s="222"/>
      <c r="V829" s="233"/>
      <c r="W829" s="20"/>
      <c r="X829" s="20"/>
      <c r="Y829" s="20"/>
      <c r="Z829" s="20"/>
      <c r="AB829" s="20"/>
      <c r="AC829" s="20"/>
      <c r="AD829" s="20"/>
      <c r="AE829" s="20"/>
      <c r="AF829" s="20"/>
      <c r="AG829" s="20"/>
      <c r="AH829" s="20"/>
      <c r="AI829" s="20"/>
    </row>
    <row r="830" spans="1:40" ht="14.25" customHeight="1">
      <c r="A830" s="206" t="s">
        <v>3609</v>
      </c>
      <c r="B830" s="168">
        <v>10</v>
      </c>
      <c r="C830" s="204" t="s">
        <v>6000</v>
      </c>
      <c r="D830" s="186"/>
      <c r="E830" s="186"/>
      <c r="H830" s="186"/>
      <c r="I830" s="186"/>
      <c r="L830" s="168"/>
      <c r="M830" s="168"/>
      <c r="N830" s="186">
        <f>5+5</f>
        <v>10</v>
      </c>
      <c r="O830" s="205">
        <v>1.6</v>
      </c>
      <c r="P830" s="202"/>
      <c r="Q830" s="202"/>
      <c r="R830" s="120"/>
      <c r="S830" s="227"/>
      <c r="T830" s="227"/>
      <c r="V830" s="233"/>
      <c r="W830" s="20"/>
      <c r="X830" s="20"/>
      <c r="Y830" s="20"/>
      <c r="Z830" s="20"/>
      <c r="AB830" s="20"/>
      <c r="AC830" s="20"/>
      <c r="AD830" s="20"/>
      <c r="AE830" s="20"/>
      <c r="AF830" s="20"/>
      <c r="AG830" s="20"/>
      <c r="AH830" s="20"/>
      <c r="AI830" s="20"/>
    </row>
    <row r="831" spans="1:40" s="120" customFormat="1" ht="14.25" customHeight="1">
      <c r="A831" s="167" t="s">
        <v>3568</v>
      </c>
      <c r="B831" s="165">
        <v>33.1</v>
      </c>
      <c r="C831" s="197" t="s">
        <v>5902</v>
      </c>
      <c r="D831" s="183"/>
      <c r="E831" s="183"/>
      <c r="F831" s="188"/>
      <c r="G831" s="188"/>
      <c r="H831" s="183"/>
      <c r="I831" s="183"/>
      <c r="J831" s="188"/>
      <c r="K831" s="188"/>
      <c r="L831" s="9"/>
      <c r="M831" s="9"/>
      <c r="N831" s="183">
        <v>5</v>
      </c>
      <c r="O831" s="7">
        <v>3</v>
      </c>
      <c r="P831" s="9"/>
      <c r="Q831" s="9"/>
      <c r="R831"/>
      <c r="S831" s="228"/>
      <c r="T831" s="228"/>
      <c r="U831" s="236"/>
      <c r="V831" s="233"/>
      <c r="W831" s="20"/>
      <c r="X831" s="20"/>
      <c r="Y831" s="20"/>
      <c r="Z831" s="20"/>
      <c r="AA831" s="227"/>
      <c r="AB831" s="20"/>
      <c r="AC831" s="20"/>
      <c r="AD831" s="20"/>
      <c r="AE831" s="20"/>
      <c r="AF831" s="20"/>
      <c r="AG831" s="20"/>
      <c r="AH831" s="20"/>
      <c r="AI831" s="20"/>
    </row>
    <row r="832" spans="1:40" ht="14.25" customHeight="1">
      <c r="A832" s="125" t="s">
        <v>3272</v>
      </c>
      <c r="B832" s="9">
        <v>47.6</v>
      </c>
      <c r="C832" s="7" t="s">
        <v>5946</v>
      </c>
      <c r="N832" s="183">
        <v>3</v>
      </c>
      <c r="O832" s="7">
        <v>4.4000000000000004</v>
      </c>
      <c r="U832" s="237"/>
      <c r="V832" s="233"/>
      <c r="W832" s="20"/>
      <c r="X832" s="20"/>
      <c r="Y832" s="20"/>
      <c r="Z832" s="20"/>
      <c r="AA832" s="228"/>
      <c r="AB832" s="20"/>
      <c r="AC832" s="20"/>
      <c r="AD832" s="20"/>
      <c r="AE832" s="20"/>
      <c r="AF832" s="20"/>
      <c r="AG832" s="20"/>
      <c r="AH832" s="20"/>
      <c r="AI832" s="20"/>
      <c r="AJ832"/>
      <c r="AK832"/>
      <c r="AL832"/>
      <c r="AM832"/>
      <c r="AN832"/>
    </row>
    <row r="833" spans="1:40" ht="14.25" customHeight="1">
      <c r="A833" s="167" t="s">
        <v>3477</v>
      </c>
      <c r="B833" s="165">
        <f>9.8/5</f>
        <v>1.9600000000000002</v>
      </c>
      <c r="C833" s="166" t="s">
        <v>3386</v>
      </c>
      <c r="N833" s="183">
        <v>5</v>
      </c>
      <c r="O833" s="7">
        <v>0.16</v>
      </c>
      <c r="R833"/>
      <c r="S833" s="228"/>
      <c r="T833" s="228"/>
      <c r="V833" s="233"/>
      <c r="W833" s="20"/>
      <c r="X833" s="20"/>
      <c r="Y833" s="20"/>
      <c r="Z833" s="20"/>
      <c r="AB833" s="20"/>
      <c r="AC833" s="20"/>
      <c r="AD833" s="20"/>
      <c r="AE833" s="20"/>
      <c r="AF833" s="20"/>
      <c r="AG833" s="20"/>
      <c r="AH833" s="20"/>
      <c r="AI833" s="20"/>
      <c r="AN833" s="4"/>
    </row>
    <row r="834" spans="1:40" ht="14.25" customHeight="1">
      <c r="A834" s="167" t="s">
        <v>3478</v>
      </c>
      <c r="B834" s="165">
        <f>11.1/5</f>
        <v>2.2199999999999998</v>
      </c>
      <c r="C834" s="166" t="s">
        <v>3387</v>
      </c>
      <c r="N834" s="183">
        <v>5</v>
      </c>
      <c r="O834" s="7">
        <v>0.17</v>
      </c>
      <c r="R834"/>
      <c r="S834" s="228"/>
      <c r="T834" s="228"/>
      <c r="U834" s="237"/>
      <c r="V834" s="233"/>
      <c r="W834" s="20"/>
      <c r="X834" s="20"/>
      <c r="Y834" s="20"/>
      <c r="Z834" s="20"/>
      <c r="AA834" s="228"/>
      <c r="AB834" s="20"/>
      <c r="AC834" s="20"/>
      <c r="AD834" s="20"/>
      <c r="AE834" s="20"/>
      <c r="AF834" s="20"/>
      <c r="AG834" s="20"/>
      <c r="AH834" s="20"/>
      <c r="AI834" s="20"/>
      <c r="AJ834"/>
      <c r="AK834"/>
      <c r="AL834"/>
      <c r="AM834"/>
      <c r="AN834"/>
    </row>
    <row r="835" spans="1:40" ht="14.25" customHeight="1">
      <c r="A835" s="167" t="s">
        <v>3479</v>
      </c>
      <c r="B835" s="165">
        <f>36/5</f>
        <v>7.2</v>
      </c>
      <c r="C835" s="166" t="s">
        <v>3436</v>
      </c>
      <c r="N835" s="183">
        <v>5</v>
      </c>
      <c r="O835" s="7">
        <v>0.36</v>
      </c>
      <c r="R835"/>
      <c r="S835" s="228"/>
      <c r="T835" s="228"/>
      <c r="U835" s="237"/>
      <c r="V835" s="233"/>
      <c r="W835" s="20"/>
      <c r="X835" s="20"/>
      <c r="Y835" s="20"/>
      <c r="Z835" s="20"/>
      <c r="AA835" s="228"/>
      <c r="AB835" s="20"/>
      <c r="AC835" s="20"/>
      <c r="AD835" s="20"/>
      <c r="AE835" s="20"/>
      <c r="AF835" s="20"/>
      <c r="AG835" s="20"/>
      <c r="AH835" s="20"/>
      <c r="AI835" s="20"/>
      <c r="AJ835"/>
      <c r="AK835"/>
      <c r="AL835"/>
      <c r="AM835"/>
      <c r="AN835"/>
    </row>
    <row r="836" spans="1:40" ht="14.25" customHeight="1">
      <c r="A836" s="167" t="s">
        <v>3480</v>
      </c>
      <c r="B836" s="165">
        <f>35.5/5</f>
        <v>7.1</v>
      </c>
      <c r="C836" s="166" t="s">
        <v>3447</v>
      </c>
      <c r="N836" s="183">
        <v>5</v>
      </c>
      <c r="O836" s="7">
        <v>0.65</v>
      </c>
      <c r="R836"/>
      <c r="S836" s="228"/>
      <c r="T836" s="228"/>
      <c r="U836" s="237"/>
      <c r="V836" s="233"/>
      <c r="W836" s="20"/>
      <c r="X836" s="20"/>
      <c r="Y836" s="20"/>
      <c r="Z836" s="20"/>
      <c r="AA836" s="228"/>
      <c r="AB836" s="20"/>
      <c r="AC836" s="20"/>
      <c r="AD836" s="20"/>
      <c r="AE836" s="20"/>
      <c r="AF836" s="20"/>
      <c r="AG836" s="20"/>
      <c r="AH836" s="20"/>
      <c r="AI836" s="20"/>
      <c r="AJ836"/>
      <c r="AK836"/>
      <c r="AL836"/>
      <c r="AM836"/>
      <c r="AN836"/>
    </row>
    <row r="837" spans="1:40" s="4" customFormat="1" ht="14.25" customHeight="1">
      <c r="A837" s="167" t="s">
        <v>3481</v>
      </c>
      <c r="B837" s="165">
        <f>39.7/5</f>
        <v>7.94</v>
      </c>
      <c r="C837" s="166" t="s">
        <v>3437</v>
      </c>
      <c r="D837" s="183"/>
      <c r="E837" s="183"/>
      <c r="F837" s="188"/>
      <c r="G837" s="188"/>
      <c r="H837" s="183"/>
      <c r="I837" s="183"/>
      <c r="J837" s="188"/>
      <c r="K837" s="188"/>
      <c r="L837" s="9"/>
      <c r="M837" s="9"/>
      <c r="N837" s="183">
        <v>5</v>
      </c>
      <c r="O837" s="7">
        <v>0.85</v>
      </c>
      <c r="P837" s="9"/>
      <c r="Q837" s="9"/>
      <c r="R837"/>
      <c r="S837" s="228"/>
      <c r="T837" s="228"/>
      <c r="U837" s="237"/>
      <c r="V837" s="233"/>
      <c r="W837" s="20"/>
      <c r="X837" s="20"/>
      <c r="Y837" s="20"/>
      <c r="Z837" s="20"/>
      <c r="AA837" s="228"/>
      <c r="AB837" s="20"/>
      <c r="AC837" s="20"/>
      <c r="AD837" s="20"/>
      <c r="AE837" s="20"/>
      <c r="AF837" s="20"/>
      <c r="AG837" s="20"/>
      <c r="AH837" s="20"/>
      <c r="AI837" s="20"/>
      <c r="AJ837"/>
      <c r="AK837"/>
      <c r="AL837"/>
      <c r="AM837"/>
      <c r="AN837"/>
    </row>
    <row r="838" spans="1:40" ht="14.25" customHeight="1">
      <c r="A838" s="167" t="s">
        <v>3482</v>
      </c>
      <c r="B838" s="165">
        <f>35.5/5</f>
        <v>7.1</v>
      </c>
      <c r="C838" s="166" t="s">
        <v>3438</v>
      </c>
      <c r="N838" s="183">
        <v>5</v>
      </c>
      <c r="O838" s="7">
        <v>0.6</v>
      </c>
      <c r="R838"/>
      <c r="S838" s="228"/>
      <c r="T838" s="228"/>
      <c r="U838" s="237"/>
      <c r="V838" s="233"/>
      <c r="W838" s="20"/>
      <c r="X838" s="20"/>
      <c r="Y838" s="20"/>
      <c r="Z838" s="20"/>
      <c r="AA838" s="228"/>
      <c r="AB838" s="20"/>
      <c r="AC838" s="20"/>
      <c r="AD838" s="20"/>
      <c r="AE838" s="20"/>
      <c r="AF838" s="20"/>
      <c r="AG838" s="20"/>
      <c r="AH838" s="20"/>
      <c r="AI838" s="20"/>
      <c r="AJ838"/>
      <c r="AK838"/>
      <c r="AL838"/>
      <c r="AM838"/>
      <c r="AN838"/>
    </row>
    <row r="839" spans="1:40" ht="14.25" customHeight="1">
      <c r="A839" s="167" t="s">
        <v>3483</v>
      </c>
      <c r="B839" s="165">
        <f>22.9/5</f>
        <v>4.58</v>
      </c>
      <c r="C839" s="166" t="s">
        <v>3432</v>
      </c>
      <c r="N839" s="183">
        <v>5</v>
      </c>
      <c r="O839" s="7">
        <v>0.5</v>
      </c>
      <c r="R839"/>
      <c r="S839" s="228"/>
      <c r="T839" s="228"/>
      <c r="U839" s="237"/>
      <c r="V839" s="233"/>
      <c r="W839" s="20"/>
      <c r="X839" s="20"/>
      <c r="Y839" s="20"/>
      <c r="Z839" s="20"/>
      <c r="AA839" s="228"/>
      <c r="AB839" s="20"/>
      <c r="AC839" s="20"/>
      <c r="AD839" s="20"/>
      <c r="AE839" s="20"/>
      <c r="AF839" s="20"/>
      <c r="AG839" s="20"/>
      <c r="AH839" s="20"/>
      <c r="AI839" s="20"/>
      <c r="AJ839"/>
      <c r="AK839"/>
      <c r="AL839"/>
      <c r="AM839"/>
      <c r="AN839"/>
    </row>
    <row r="840" spans="1:40" ht="14.25" customHeight="1">
      <c r="A840" s="167" t="s">
        <v>3484</v>
      </c>
      <c r="B840" s="165">
        <f>33.1/5</f>
        <v>6.62</v>
      </c>
      <c r="C840" s="135" t="s">
        <v>3412</v>
      </c>
      <c r="N840" s="183">
        <v>5</v>
      </c>
      <c r="O840" s="7">
        <v>0.36</v>
      </c>
      <c r="R840"/>
      <c r="S840" s="228"/>
      <c r="T840" s="228"/>
      <c r="U840" s="237"/>
      <c r="V840" s="233"/>
      <c r="W840" s="20"/>
      <c r="X840" s="20"/>
      <c r="Y840" s="20"/>
      <c r="Z840" s="20"/>
      <c r="AA840" s="228"/>
      <c r="AB840" s="20"/>
      <c r="AC840" s="20"/>
      <c r="AD840" s="20"/>
      <c r="AE840" s="20"/>
      <c r="AF840" s="20"/>
      <c r="AG840" s="20"/>
      <c r="AH840" s="20"/>
      <c r="AI840" s="20"/>
      <c r="AJ840"/>
      <c r="AK840"/>
      <c r="AL840"/>
      <c r="AM840"/>
      <c r="AN840"/>
    </row>
    <row r="841" spans="1:40" ht="14.25" customHeight="1">
      <c r="A841" s="167" t="s">
        <v>3485</v>
      </c>
      <c r="B841" s="165">
        <f>33.8/10</f>
        <v>3.38</v>
      </c>
      <c r="C841" s="173" t="s">
        <v>3431</v>
      </c>
      <c r="N841" s="183">
        <v>5</v>
      </c>
      <c r="O841" s="7">
        <v>0.23</v>
      </c>
      <c r="R841"/>
      <c r="S841" s="228"/>
      <c r="T841" s="228"/>
      <c r="U841" s="237"/>
      <c r="V841" s="233"/>
      <c r="W841" s="20"/>
      <c r="X841" s="20"/>
      <c r="Y841" s="20"/>
      <c r="Z841" s="20"/>
      <c r="AA841" s="228"/>
      <c r="AB841" s="20"/>
      <c r="AC841" s="20"/>
      <c r="AD841" s="20"/>
      <c r="AE841" s="20"/>
      <c r="AF841" s="20"/>
      <c r="AG841" s="20"/>
      <c r="AH841" s="20"/>
      <c r="AI841" s="20"/>
      <c r="AJ841"/>
      <c r="AK841"/>
      <c r="AL841"/>
      <c r="AM841"/>
      <c r="AN841"/>
    </row>
    <row r="842" spans="1:40" ht="14.25" customHeight="1">
      <c r="A842" s="167" t="s">
        <v>3486</v>
      </c>
      <c r="B842" s="165">
        <f>17.1/5</f>
        <v>3.4200000000000004</v>
      </c>
      <c r="C842" s="166" t="s">
        <v>3910</v>
      </c>
      <c r="N842" s="183">
        <v>5</v>
      </c>
      <c r="O842" s="7">
        <v>0.38</v>
      </c>
      <c r="R842"/>
      <c r="S842" s="228"/>
      <c r="T842" s="228"/>
      <c r="U842" s="237"/>
      <c r="V842" s="233"/>
      <c r="W842" s="20"/>
      <c r="X842" s="20"/>
      <c r="Y842" s="20"/>
      <c r="Z842" s="20"/>
      <c r="AA842" s="228"/>
      <c r="AB842" s="20"/>
      <c r="AC842" s="20"/>
      <c r="AD842" s="20"/>
      <c r="AE842" s="20"/>
      <c r="AF842" s="20"/>
      <c r="AG842" s="20"/>
      <c r="AH842" s="20"/>
      <c r="AI842" s="20"/>
      <c r="AJ842"/>
      <c r="AK842"/>
      <c r="AL842"/>
      <c r="AM842"/>
      <c r="AN842"/>
    </row>
    <row r="843" spans="1:40" ht="14.25" customHeight="1">
      <c r="A843" s="167" t="s">
        <v>3487</v>
      </c>
      <c r="B843" s="165">
        <f>33.7/5</f>
        <v>6.74</v>
      </c>
      <c r="C843" s="135" t="s">
        <v>3413</v>
      </c>
      <c r="N843" s="183">
        <v>5</v>
      </c>
      <c r="O843" s="7">
        <v>0.5</v>
      </c>
      <c r="R843"/>
      <c r="S843" s="228"/>
      <c r="T843" s="228"/>
      <c r="U843" s="237"/>
      <c r="V843" s="233"/>
      <c r="W843" s="20"/>
      <c r="X843" s="20"/>
      <c r="Y843" s="20"/>
      <c r="Z843" s="20"/>
      <c r="AA843" s="228"/>
      <c r="AB843" s="20"/>
      <c r="AC843" s="20"/>
      <c r="AD843" s="20"/>
      <c r="AE843" s="20"/>
      <c r="AF843" s="20"/>
      <c r="AG843" s="20"/>
      <c r="AH843" s="20"/>
      <c r="AI843" s="20"/>
      <c r="AJ843"/>
      <c r="AK843"/>
      <c r="AL843"/>
      <c r="AM843"/>
      <c r="AN843"/>
    </row>
    <row r="844" spans="1:40" ht="14.25" customHeight="1">
      <c r="A844" s="167" t="s">
        <v>3488</v>
      </c>
      <c r="B844" s="165">
        <v>23.1</v>
      </c>
      <c r="C844" s="166" t="s">
        <v>3908</v>
      </c>
      <c r="N844" s="183">
        <v>3</v>
      </c>
      <c r="O844" s="7">
        <v>1.3</v>
      </c>
      <c r="R844"/>
      <c r="S844" s="228"/>
      <c r="T844" s="228"/>
      <c r="U844" s="237"/>
      <c r="V844" s="233"/>
      <c r="W844" s="20"/>
      <c r="X844" s="20"/>
      <c r="Y844" s="20"/>
      <c r="Z844" s="20"/>
      <c r="AA844" s="228"/>
      <c r="AB844" s="20"/>
      <c r="AC844" s="20"/>
      <c r="AD844" s="20"/>
      <c r="AE844" s="20"/>
      <c r="AF844" s="20"/>
      <c r="AG844" s="20"/>
      <c r="AH844" s="20"/>
      <c r="AI844" s="20"/>
      <c r="AJ844"/>
      <c r="AK844"/>
      <c r="AL844"/>
      <c r="AM844"/>
      <c r="AN844"/>
    </row>
    <row r="845" spans="1:40" ht="14.25" customHeight="1">
      <c r="A845" s="167" t="s">
        <v>3489</v>
      </c>
      <c r="B845" s="165">
        <v>17.3</v>
      </c>
      <c r="C845" s="166" t="s">
        <v>3909</v>
      </c>
      <c r="N845" s="183">
        <v>3</v>
      </c>
      <c r="O845" s="7">
        <v>1.3</v>
      </c>
      <c r="R845"/>
      <c r="S845" s="228"/>
      <c r="T845" s="228"/>
      <c r="U845" s="237"/>
      <c r="V845" s="233"/>
      <c r="W845" s="20"/>
      <c r="X845" s="20"/>
      <c r="Y845" s="20"/>
      <c r="Z845" s="20"/>
      <c r="AA845" s="228"/>
      <c r="AB845" s="20"/>
      <c r="AC845" s="20"/>
      <c r="AD845" s="20"/>
      <c r="AE845" s="20"/>
      <c r="AF845" s="20"/>
      <c r="AG845" s="20"/>
      <c r="AH845" s="20"/>
      <c r="AI845" s="20"/>
      <c r="AJ845"/>
      <c r="AK845"/>
      <c r="AL845"/>
      <c r="AM845"/>
      <c r="AN845"/>
    </row>
    <row r="846" spans="1:40" ht="14.25" customHeight="1">
      <c r="A846" s="167" t="s">
        <v>3490</v>
      </c>
      <c r="B846" s="165">
        <v>51.5</v>
      </c>
      <c r="C846" s="166" t="s">
        <v>3851</v>
      </c>
      <c r="D846" s="184"/>
      <c r="E846" s="184"/>
      <c r="H846" s="184"/>
      <c r="I846" s="184"/>
      <c r="L846" s="3"/>
      <c r="M846" s="3"/>
      <c r="N846" s="184">
        <v>4</v>
      </c>
      <c r="O846" s="7">
        <v>1.1000000000000001</v>
      </c>
      <c r="R846"/>
      <c r="S846" s="228"/>
      <c r="T846" s="228"/>
      <c r="U846" s="237"/>
      <c r="V846" s="233"/>
      <c r="W846" s="20"/>
      <c r="X846" s="20"/>
      <c r="Y846" s="20"/>
      <c r="Z846" s="20"/>
      <c r="AA846" s="228"/>
      <c r="AB846" s="20"/>
      <c r="AC846" s="20"/>
      <c r="AD846" s="20"/>
      <c r="AE846" s="20"/>
      <c r="AF846" s="20"/>
      <c r="AG846" s="20"/>
      <c r="AH846" s="20"/>
      <c r="AI846" s="20"/>
      <c r="AJ846"/>
      <c r="AK846"/>
      <c r="AL846"/>
      <c r="AM846"/>
      <c r="AN846"/>
    </row>
    <row r="847" spans="1:40" ht="14.25" customHeight="1">
      <c r="A847" s="167" t="s">
        <v>3491</v>
      </c>
      <c r="B847" s="165">
        <v>67</v>
      </c>
      <c r="C847" s="166" t="s">
        <v>3852</v>
      </c>
      <c r="N847" s="183">
        <v>3</v>
      </c>
      <c r="O847" s="7">
        <v>1.5</v>
      </c>
      <c r="R847"/>
      <c r="S847" s="228"/>
      <c r="T847" s="228"/>
      <c r="U847" s="237"/>
      <c r="V847" s="233"/>
      <c r="W847" s="20"/>
      <c r="X847" s="20"/>
      <c r="Y847" s="20"/>
      <c r="Z847" s="20"/>
      <c r="AA847" s="228"/>
      <c r="AB847" s="20"/>
      <c r="AC847" s="20"/>
      <c r="AD847" s="20"/>
      <c r="AE847" s="20"/>
      <c r="AF847" s="20"/>
      <c r="AG847" s="20"/>
      <c r="AH847" s="20"/>
      <c r="AI847" s="20"/>
      <c r="AJ847"/>
      <c r="AK847"/>
      <c r="AL847"/>
      <c r="AM847"/>
      <c r="AN847"/>
    </row>
    <row r="848" spans="1:40" s="4" customFormat="1" ht="14.25" customHeight="1">
      <c r="A848" s="171" t="s">
        <v>3918</v>
      </c>
      <c r="B848" s="165">
        <f>51.2/5</f>
        <v>10.24</v>
      </c>
      <c r="C848" s="173" t="s">
        <v>3424</v>
      </c>
      <c r="D848" s="183"/>
      <c r="E848" s="183"/>
      <c r="F848" s="188"/>
      <c r="G848" s="188"/>
      <c r="H848" s="183"/>
      <c r="I848" s="183"/>
      <c r="J848" s="188"/>
      <c r="K848" s="188"/>
      <c r="L848" s="9"/>
      <c r="M848" s="9"/>
      <c r="N848" s="183">
        <v>5</v>
      </c>
      <c r="O848" s="7">
        <v>1.18</v>
      </c>
      <c r="P848" s="9"/>
      <c r="Q848" s="9"/>
      <c r="R848"/>
      <c r="S848" s="228"/>
      <c r="T848" s="228"/>
      <c r="U848" s="237"/>
      <c r="V848" s="233"/>
      <c r="W848" s="20"/>
      <c r="X848" s="20"/>
      <c r="Y848" s="20"/>
      <c r="Z848" s="20"/>
      <c r="AA848" s="228"/>
      <c r="AB848" s="9"/>
      <c r="AC848" s="9"/>
      <c r="AD848" s="20"/>
      <c r="AE848" s="20"/>
      <c r="AF848" s="20"/>
      <c r="AG848" s="20"/>
      <c r="AH848" s="20"/>
      <c r="AI848" s="20"/>
      <c r="AJ848"/>
      <c r="AK848"/>
      <c r="AL848"/>
      <c r="AM848"/>
      <c r="AN848"/>
    </row>
    <row r="849" spans="1:40" ht="14.25" customHeight="1">
      <c r="A849" s="167" t="s">
        <v>3467</v>
      </c>
      <c r="B849" s="165">
        <f>67/5</f>
        <v>13.4</v>
      </c>
      <c r="C849" s="166" t="s">
        <v>3430</v>
      </c>
      <c r="N849" s="183">
        <v>5</v>
      </c>
      <c r="O849" s="7">
        <v>1.8</v>
      </c>
      <c r="R849"/>
      <c r="S849" s="228"/>
      <c r="T849" s="228"/>
      <c r="U849" s="237"/>
      <c r="AA849" s="228"/>
      <c r="AJ849"/>
      <c r="AK849"/>
      <c r="AL849"/>
      <c r="AM849"/>
      <c r="AN849"/>
    </row>
    <row r="850" spans="1:40" ht="14.25" customHeight="1">
      <c r="A850" s="167" t="s">
        <v>3468</v>
      </c>
      <c r="B850" s="165">
        <f>59.6/5</f>
        <v>11.92</v>
      </c>
      <c r="C850" s="166" t="s">
        <v>3433</v>
      </c>
      <c r="N850" s="183">
        <v>5</v>
      </c>
      <c r="O850" s="7">
        <v>2</v>
      </c>
      <c r="R850"/>
      <c r="S850" s="228"/>
      <c r="T850" s="228"/>
      <c r="U850" s="237"/>
      <c r="AA850" s="228"/>
      <c r="AJ850"/>
      <c r="AK850"/>
      <c r="AL850"/>
      <c r="AM850"/>
      <c r="AN850"/>
    </row>
    <row r="851" spans="1:40" ht="14.25" customHeight="1">
      <c r="A851" s="167" t="s">
        <v>3469</v>
      </c>
      <c r="B851" s="191">
        <f>59.8/3</f>
        <v>19.933333333333334</v>
      </c>
      <c r="C851" s="166" t="s">
        <v>3406</v>
      </c>
      <c r="N851" s="183">
        <v>5</v>
      </c>
      <c r="O851" s="7">
        <v>1.5</v>
      </c>
      <c r="R851"/>
      <c r="S851" s="228"/>
      <c r="T851" s="228"/>
      <c r="U851" s="237"/>
      <c r="AA851" s="228"/>
      <c r="AB851" s="20"/>
      <c r="AC851" s="20"/>
      <c r="AJ851"/>
      <c r="AK851"/>
      <c r="AL851"/>
      <c r="AM851"/>
      <c r="AN851"/>
    </row>
    <row r="852" spans="1:40" ht="14.25" customHeight="1">
      <c r="A852" s="167" t="s">
        <v>3470</v>
      </c>
      <c r="B852" s="165">
        <f>36/5</f>
        <v>7.2</v>
      </c>
      <c r="C852" s="166" t="s">
        <v>3425</v>
      </c>
      <c r="N852" s="183">
        <v>5</v>
      </c>
      <c r="O852" s="7">
        <v>1.1499999999999999</v>
      </c>
      <c r="R852"/>
      <c r="S852" s="228"/>
      <c r="T852" s="228"/>
      <c r="U852" s="237"/>
      <c r="V852" s="233"/>
      <c r="W852" s="20"/>
      <c r="X852" s="20"/>
      <c r="Y852" s="20"/>
      <c r="Z852" s="20"/>
      <c r="AA852" s="228"/>
      <c r="AB852" s="20"/>
      <c r="AC852" s="20"/>
      <c r="AD852" s="20"/>
      <c r="AE852" s="20"/>
      <c r="AF852" s="20"/>
      <c r="AG852" s="20"/>
      <c r="AH852" s="20"/>
      <c r="AI852" s="20"/>
      <c r="AJ852"/>
      <c r="AK852"/>
      <c r="AL852"/>
      <c r="AM852"/>
      <c r="AN852"/>
    </row>
    <row r="853" spans="1:40" ht="14.25" customHeight="1">
      <c r="A853" s="167" t="s">
        <v>3471</v>
      </c>
      <c r="B853" s="165">
        <f>40.4/5</f>
        <v>8.08</v>
      </c>
      <c r="C853" s="166" t="s">
        <v>3427</v>
      </c>
      <c r="N853" s="183">
        <v>5</v>
      </c>
      <c r="O853" s="7">
        <v>1.1499999999999999</v>
      </c>
      <c r="R853"/>
      <c r="S853" s="228"/>
      <c r="T853" s="228"/>
      <c r="U853" s="237"/>
      <c r="V853" s="233"/>
      <c r="W853" s="20"/>
      <c r="X853" s="20"/>
      <c r="Y853" s="20"/>
      <c r="Z853" s="20"/>
      <c r="AA853" s="228"/>
      <c r="AB853" s="20"/>
      <c r="AC853" s="20"/>
      <c r="AD853" s="20"/>
      <c r="AE853" s="20"/>
      <c r="AF853" s="20"/>
      <c r="AG853" s="20"/>
      <c r="AH853" s="20"/>
      <c r="AI853" s="20"/>
      <c r="AJ853"/>
      <c r="AK853"/>
      <c r="AL853"/>
      <c r="AM853"/>
      <c r="AN853"/>
    </row>
    <row r="854" spans="1:40" s="4" customFormat="1" ht="14.25" customHeight="1">
      <c r="A854" s="167" t="s">
        <v>3472</v>
      </c>
      <c r="B854" s="165">
        <f>58.3/5</f>
        <v>11.66</v>
      </c>
      <c r="C854" s="166" t="s">
        <v>3426</v>
      </c>
      <c r="D854" s="183"/>
      <c r="E854" s="183"/>
      <c r="F854" s="188"/>
      <c r="G854" s="188"/>
      <c r="H854" s="183"/>
      <c r="I854" s="183"/>
      <c r="J854" s="188"/>
      <c r="K854" s="188"/>
      <c r="L854" s="9"/>
      <c r="M854" s="9"/>
      <c r="N854" s="183">
        <v>5</v>
      </c>
      <c r="O854" s="7">
        <v>3</v>
      </c>
      <c r="P854" s="9"/>
      <c r="Q854" s="9"/>
      <c r="R854"/>
      <c r="S854" s="228"/>
      <c r="T854" s="228"/>
      <c r="U854" s="237"/>
      <c r="V854" s="233"/>
      <c r="W854" s="20"/>
      <c r="X854" s="20"/>
      <c r="Y854" s="20"/>
      <c r="Z854" s="20"/>
      <c r="AA854" s="228"/>
      <c r="AB854" s="20"/>
      <c r="AC854" s="20"/>
      <c r="AD854" s="20"/>
      <c r="AE854" s="20"/>
      <c r="AF854" s="20"/>
      <c r="AG854" s="20"/>
      <c r="AH854" s="20"/>
      <c r="AI854" s="20"/>
      <c r="AJ854"/>
      <c r="AK854"/>
      <c r="AL854"/>
      <c r="AM854"/>
      <c r="AN854"/>
    </row>
    <row r="855" spans="1:40" ht="14.25" customHeight="1">
      <c r="A855" s="167" t="s">
        <v>3473</v>
      </c>
      <c r="B855" s="165">
        <f>45.5/5</f>
        <v>9.1</v>
      </c>
      <c r="C855" s="166" t="s">
        <v>3407</v>
      </c>
      <c r="N855" s="183">
        <v>5</v>
      </c>
      <c r="O855" s="7">
        <v>1.1000000000000001</v>
      </c>
      <c r="R855"/>
      <c r="S855" s="228"/>
      <c r="T855" s="228"/>
      <c r="U855" s="237"/>
      <c r="V855" s="233"/>
      <c r="W855" s="20"/>
      <c r="X855" s="20"/>
      <c r="Y855" s="20"/>
      <c r="Z855" s="20"/>
      <c r="AA855" s="228"/>
      <c r="AB855" s="20"/>
      <c r="AC855" s="20"/>
      <c r="AD855" s="20"/>
      <c r="AE855" s="20"/>
      <c r="AF855" s="20"/>
      <c r="AG855" s="20"/>
      <c r="AH855" s="20"/>
      <c r="AI855" s="20"/>
      <c r="AJ855"/>
      <c r="AK855"/>
      <c r="AL855"/>
      <c r="AM855"/>
      <c r="AN855"/>
    </row>
    <row r="856" spans="1:40" ht="14.25" customHeight="1">
      <c r="A856" s="167" t="s">
        <v>3474</v>
      </c>
      <c r="B856" s="165">
        <f>48.6/5</f>
        <v>9.7200000000000006</v>
      </c>
      <c r="C856" s="166" t="s">
        <v>3444</v>
      </c>
      <c r="N856" s="183">
        <v>5</v>
      </c>
      <c r="O856" s="7">
        <v>0.63</v>
      </c>
      <c r="R856"/>
      <c r="S856" s="228"/>
      <c r="T856" s="228"/>
      <c r="U856" s="237"/>
      <c r="V856" s="233"/>
      <c r="W856" s="20"/>
      <c r="X856" s="20"/>
      <c r="Y856" s="20"/>
      <c r="Z856" s="20"/>
      <c r="AA856" s="228"/>
      <c r="AB856" s="20"/>
      <c r="AC856" s="20"/>
      <c r="AD856" s="20"/>
      <c r="AE856" s="20"/>
      <c r="AF856" s="20"/>
      <c r="AG856" s="20"/>
      <c r="AH856" s="20"/>
      <c r="AI856" s="20"/>
      <c r="AJ856"/>
      <c r="AK856"/>
      <c r="AL856"/>
      <c r="AM856"/>
      <c r="AN856"/>
    </row>
    <row r="857" spans="1:40" ht="14.25" customHeight="1">
      <c r="A857" s="167" t="s">
        <v>3475</v>
      </c>
      <c r="B857" s="165">
        <f>87.5/5</f>
        <v>17.5</v>
      </c>
      <c r="C857" s="173" t="s">
        <v>3429</v>
      </c>
      <c r="N857" s="183">
        <v>5</v>
      </c>
      <c r="O857" s="7">
        <v>2.5</v>
      </c>
      <c r="R857"/>
      <c r="S857" s="228"/>
      <c r="T857" s="228"/>
      <c r="U857" s="237"/>
      <c r="V857" s="233"/>
      <c r="W857" s="20"/>
      <c r="X857" s="20"/>
      <c r="Y857" s="20"/>
      <c r="Z857" s="20"/>
      <c r="AA857" s="228"/>
      <c r="AB857" s="20"/>
      <c r="AC857" s="20"/>
      <c r="AD857" s="20"/>
      <c r="AE857" s="20"/>
      <c r="AF857" s="20"/>
      <c r="AG857" s="20"/>
      <c r="AH857" s="20"/>
      <c r="AI857" s="20"/>
      <c r="AJ857"/>
      <c r="AK857"/>
      <c r="AL857"/>
      <c r="AM857"/>
      <c r="AN857"/>
    </row>
    <row r="858" spans="1:40" ht="14.25" customHeight="1">
      <c r="A858" s="167" t="s">
        <v>3476</v>
      </c>
      <c r="B858" s="165">
        <f>80.5/5</f>
        <v>16.100000000000001</v>
      </c>
      <c r="C858" s="173" t="s">
        <v>3428</v>
      </c>
      <c r="N858" s="183">
        <v>5</v>
      </c>
      <c r="O858" s="7">
        <v>2.5</v>
      </c>
      <c r="R858"/>
      <c r="S858" s="228"/>
      <c r="T858" s="228"/>
      <c r="U858" s="237"/>
      <c r="V858" s="233"/>
      <c r="W858" s="20"/>
      <c r="X858" s="20"/>
      <c r="Y858" s="20"/>
      <c r="Z858" s="20"/>
      <c r="AA858" s="228"/>
      <c r="AB858" s="20"/>
      <c r="AC858" s="20"/>
      <c r="AD858" s="20"/>
      <c r="AE858" s="20"/>
      <c r="AF858" s="20"/>
      <c r="AG858" s="20"/>
      <c r="AH858" s="20"/>
      <c r="AI858" s="20"/>
      <c r="AJ858"/>
      <c r="AK858"/>
      <c r="AL858"/>
      <c r="AM858"/>
      <c r="AN858"/>
    </row>
    <row r="859" spans="1:40" s="4" customFormat="1" ht="14.25" customHeight="1">
      <c r="A859" s="171" t="s">
        <v>3917</v>
      </c>
      <c r="B859" s="165">
        <f>50.9/5</f>
        <v>10.18</v>
      </c>
      <c r="C859" s="166" t="s">
        <v>3423</v>
      </c>
      <c r="D859" s="183"/>
      <c r="E859" s="183"/>
      <c r="F859" s="188"/>
      <c r="G859" s="188"/>
      <c r="H859" s="183"/>
      <c r="I859" s="183"/>
      <c r="J859" s="188"/>
      <c r="K859" s="188"/>
      <c r="L859" s="9"/>
      <c r="M859" s="9"/>
      <c r="N859" s="183">
        <v>5</v>
      </c>
      <c r="O859" s="7">
        <v>1.18</v>
      </c>
      <c r="P859" s="9"/>
      <c r="Q859" s="9"/>
      <c r="R859"/>
      <c r="S859" s="228"/>
      <c r="T859" s="228"/>
      <c r="U859" s="237"/>
      <c r="V859" s="233"/>
      <c r="W859" s="20"/>
      <c r="X859" s="20"/>
      <c r="Y859" s="20"/>
      <c r="Z859" s="20"/>
      <c r="AA859" s="228"/>
      <c r="AB859" s="20"/>
      <c r="AC859" s="20"/>
      <c r="AD859" s="20"/>
      <c r="AE859" s="20"/>
      <c r="AF859" s="20"/>
      <c r="AG859" s="20"/>
      <c r="AH859" s="20"/>
      <c r="AI859" s="20"/>
      <c r="AJ859"/>
      <c r="AK859"/>
      <c r="AL859"/>
      <c r="AM859"/>
      <c r="AN859"/>
    </row>
    <row r="860" spans="1:40" ht="14.25" customHeight="1">
      <c r="A860" s="148" t="s">
        <v>3274</v>
      </c>
      <c r="B860" s="9">
        <v>58.3</v>
      </c>
      <c r="C860" s="7" t="s">
        <v>5849</v>
      </c>
      <c r="N860" s="183">
        <v>10</v>
      </c>
      <c r="O860" s="7">
        <v>2.2000000000000002</v>
      </c>
      <c r="U860" s="237"/>
      <c r="V860" s="233"/>
      <c r="W860" s="20"/>
      <c r="X860" s="20"/>
      <c r="Y860" s="20"/>
      <c r="Z860" s="20"/>
      <c r="AA860" s="228"/>
      <c r="AB860" s="20"/>
      <c r="AC860" s="20"/>
      <c r="AD860" s="20"/>
      <c r="AE860" s="20"/>
      <c r="AF860" s="20"/>
      <c r="AG860" s="20"/>
      <c r="AH860" s="20"/>
      <c r="AI860" s="20"/>
      <c r="AJ860"/>
      <c r="AK860"/>
      <c r="AL860"/>
      <c r="AM860"/>
      <c r="AN860"/>
    </row>
    <row r="861" spans="1:40" s="4" customFormat="1" ht="14.25" customHeight="1">
      <c r="A861" s="148" t="s">
        <v>3275</v>
      </c>
      <c r="B861" s="9">
        <v>98.2</v>
      </c>
      <c r="C861" s="7" t="s">
        <v>5850</v>
      </c>
      <c r="D861" s="183"/>
      <c r="E861" s="183"/>
      <c r="F861" s="188"/>
      <c r="G861" s="188"/>
      <c r="H861" s="183"/>
      <c r="I861" s="183"/>
      <c r="J861" s="188"/>
      <c r="K861" s="188"/>
      <c r="L861" s="9"/>
      <c r="M861" s="9"/>
      <c r="N861" s="183">
        <v>10</v>
      </c>
      <c r="O861" s="7">
        <v>3.3</v>
      </c>
      <c r="P861" s="9"/>
      <c r="Q861" s="9"/>
      <c r="R861" s="7"/>
      <c r="S861" s="126"/>
      <c r="T861" s="126"/>
      <c r="U861" s="236"/>
      <c r="V861" s="233"/>
      <c r="W861" s="20"/>
      <c r="X861" s="20"/>
      <c r="Y861" s="20"/>
      <c r="Z861" s="20"/>
      <c r="AA861" s="126"/>
      <c r="AB861" s="20"/>
      <c r="AC861" s="20"/>
      <c r="AD861" s="20"/>
      <c r="AE861" s="20"/>
      <c r="AF861" s="20"/>
      <c r="AG861" s="20"/>
      <c r="AH861" s="20"/>
      <c r="AI861" s="20"/>
      <c r="AJ861" s="7"/>
      <c r="AK861" s="7"/>
      <c r="AL861" s="7"/>
      <c r="AM861" s="7"/>
      <c r="AN861" s="7"/>
    </row>
    <row r="862" spans="1:40" ht="14.25" customHeight="1">
      <c r="A862" s="148" t="s">
        <v>3276</v>
      </c>
      <c r="B862" s="9">
        <v>50</v>
      </c>
      <c r="C862" s="7" t="s">
        <v>5851</v>
      </c>
      <c r="N862" s="183">
        <v>10</v>
      </c>
      <c r="O862" s="7">
        <v>2.5</v>
      </c>
      <c r="V862" s="233"/>
      <c r="W862" s="20"/>
      <c r="X862" s="20"/>
      <c r="Y862" s="20"/>
      <c r="Z862" s="20"/>
      <c r="AB862" s="20"/>
      <c r="AC862" s="20"/>
      <c r="AD862" s="20"/>
      <c r="AE862" s="20"/>
      <c r="AF862" s="20"/>
      <c r="AG862" s="20"/>
      <c r="AH862" s="20"/>
      <c r="AI862" s="20"/>
    </row>
    <row r="863" spans="1:40" ht="14.25" customHeight="1">
      <c r="A863" s="167" t="s">
        <v>3528</v>
      </c>
      <c r="B863" s="165">
        <f>16.2/3</f>
        <v>5.3999999999999995</v>
      </c>
      <c r="C863" s="166" t="s">
        <v>3543</v>
      </c>
      <c r="N863" s="183">
        <v>3</v>
      </c>
      <c r="O863" s="7">
        <v>0.4</v>
      </c>
      <c r="R863"/>
      <c r="S863" s="228"/>
      <c r="T863" s="228"/>
      <c r="V863" s="233"/>
      <c r="W863" s="20"/>
      <c r="X863" s="20"/>
      <c r="Y863" s="20"/>
      <c r="Z863" s="20"/>
      <c r="AB863" s="20"/>
      <c r="AC863" s="20"/>
      <c r="AD863" s="20"/>
      <c r="AE863" s="20"/>
      <c r="AF863" s="20"/>
      <c r="AG863" s="20"/>
      <c r="AH863" s="20"/>
      <c r="AI863" s="20"/>
    </row>
    <row r="864" spans="1:40" ht="14.25" customHeight="1">
      <c r="A864" s="171" t="s">
        <v>3912</v>
      </c>
      <c r="B864" s="191">
        <f>14.2/3</f>
        <v>4.7333333333333334</v>
      </c>
      <c r="C864" s="166" t="s">
        <v>3546</v>
      </c>
      <c r="N864" s="183">
        <v>3</v>
      </c>
      <c r="O864" s="7">
        <v>0.4</v>
      </c>
      <c r="R864"/>
      <c r="S864" s="228"/>
      <c r="T864" s="228"/>
      <c r="U864" s="237"/>
      <c r="V864" s="233"/>
      <c r="W864" s="20"/>
      <c r="X864" s="20"/>
      <c r="Y864" s="20"/>
      <c r="Z864" s="20"/>
      <c r="AA864" s="228"/>
      <c r="AB864" s="20"/>
      <c r="AC864" s="20"/>
      <c r="AD864" s="20"/>
      <c r="AE864" s="20"/>
      <c r="AF864" s="20"/>
      <c r="AG864" s="20"/>
      <c r="AH864" s="20"/>
      <c r="AI864" s="20"/>
      <c r="AJ864"/>
      <c r="AK864"/>
      <c r="AL864"/>
      <c r="AM864"/>
      <c r="AN864"/>
    </row>
    <row r="865" spans="1:40" ht="14.25" customHeight="1">
      <c r="A865" s="171" t="s">
        <v>3913</v>
      </c>
      <c r="B865" s="191">
        <f>14.6/3</f>
        <v>4.8666666666666663</v>
      </c>
      <c r="C865" s="166" t="s">
        <v>3544</v>
      </c>
      <c r="N865" s="183">
        <v>3</v>
      </c>
      <c r="O865" s="7">
        <v>0.4</v>
      </c>
      <c r="R865"/>
      <c r="S865" s="228"/>
      <c r="T865" s="228"/>
      <c r="U865" s="237"/>
      <c r="V865" s="233"/>
      <c r="W865" s="20"/>
      <c r="X865" s="20"/>
      <c r="Y865" s="20"/>
      <c r="Z865" s="20"/>
      <c r="AA865" s="228"/>
      <c r="AB865" s="20"/>
      <c r="AC865" s="20"/>
      <c r="AD865" s="20"/>
      <c r="AE865" s="20"/>
      <c r="AF865" s="20"/>
      <c r="AG865" s="20"/>
      <c r="AH865" s="20"/>
      <c r="AI865" s="20"/>
      <c r="AJ865"/>
      <c r="AK865"/>
      <c r="AL865"/>
      <c r="AM865"/>
      <c r="AN865"/>
    </row>
    <row r="866" spans="1:40" ht="14.25" customHeight="1">
      <c r="A866" s="171" t="s">
        <v>3914</v>
      </c>
      <c r="B866" s="191">
        <f>15.5/3</f>
        <v>5.166666666666667</v>
      </c>
      <c r="C866" s="166" t="s">
        <v>3545</v>
      </c>
      <c r="N866" s="183">
        <v>3</v>
      </c>
      <c r="O866" s="7">
        <v>0.4</v>
      </c>
      <c r="R866"/>
      <c r="S866" s="228"/>
      <c r="T866" s="228"/>
      <c r="U866" s="237"/>
      <c r="V866" s="233"/>
      <c r="W866" s="20"/>
      <c r="X866" s="20"/>
      <c r="Y866" s="20"/>
      <c r="Z866" s="20"/>
      <c r="AA866" s="228"/>
      <c r="AB866" s="20"/>
      <c r="AC866" s="20"/>
      <c r="AD866" s="20"/>
      <c r="AE866" s="20"/>
      <c r="AF866" s="20"/>
      <c r="AG866" s="20"/>
      <c r="AH866" s="20"/>
      <c r="AI866" s="20"/>
      <c r="AJ866"/>
      <c r="AK866"/>
      <c r="AL866"/>
      <c r="AM866"/>
      <c r="AN866"/>
    </row>
    <row r="867" spans="1:40" ht="14.25" customHeight="1">
      <c r="A867" s="167" t="s">
        <v>3529</v>
      </c>
      <c r="B867" s="191">
        <f>20.7/3</f>
        <v>6.8999999999999995</v>
      </c>
      <c r="C867" s="166" t="s">
        <v>5852</v>
      </c>
      <c r="N867" s="183">
        <v>3</v>
      </c>
      <c r="O867" s="7">
        <v>1.5</v>
      </c>
      <c r="R867"/>
      <c r="S867" s="228"/>
      <c r="T867" s="228"/>
      <c r="U867" s="237"/>
      <c r="V867" s="233"/>
      <c r="W867" s="20"/>
      <c r="X867" s="20"/>
      <c r="Y867" s="20"/>
      <c r="Z867" s="20"/>
      <c r="AA867" s="228"/>
      <c r="AB867" s="20"/>
      <c r="AC867" s="20"/>
      <c r="AD867" s="20"/>
      <c r="AE867" s="20"/>
      <c r="AF867" s="20"/>
      <c r="AG867" s="20"/>
      <c r="AH867" s="20"/>
      <c r="AI867" s="20"/>
      <c r="AJ867"/>
      <c r="AK867"/>
      <c r="AL867"/>
      <c r="AM867"/>
      <c r="AN867"/>
    </row>
    <row r="868" spans="1:40" ht="14.25" customHeight="1">
      <c r="A868" s="167" t="s">
        <v>3530</v>
      </c>
      <c r="B868" s="191">
        <f>24.9/3</f>
        <v>8.2999999999999989</v>
      </c>
      <c r="C868" s="166" t="s">
        <v>3441</v>
      </c>
      <c r="N868" s="183">
        <v>3</v>
      </c>
      <c r="O868" s="7">
        <v>1.8</v>
      </c>
      <c r="R868"/>
      <c r="S868" s="228"/>
      <c r="T868" s="228"/>
      <c r="U868" s="237"/>
      <c r="V868" s="233"/>
      <c r="W868" s="20"/>
      <c r="X868" s="20"/>
      <c r="Y868" s="20"/>
      <c r="Z868" s="20"/>
      <c r="AA868" s="228"/>
      <c r="AB868" s="20"/>
      <c r="AC868" s="20"/>
      <c r="AD868" s="20"/>
      <c r="AE868" s="20"/>
      <c r="AF868" s="20"/>
      <c r="AG868" s="20"/>
      <c r="AH868" s="20"/>
      <c r="AI868" s="20"/>
      <c r="AJ868"/>
      <c r="AK868"/>
      <c r="AL868"/>
      <c r="AM868"/>
      <c r="AN868"/>
    </row>
    <row r="869" spans="1:40" ht="14.25" customHeight="1">
      <c r="A869" s="167" t="s">
        <v>3547</v>
      </c>
      <c r="B869" s="191">
        <v>36.299999999999997</v>
      </c>
      <c r="C869" s="166" t="s">
        <v>3853</v>
      </c>
      <c r="N869" s="183">
        <v>3</v>
      </c>
      <c r="O869" s="7">
        <v>0.9</v>
      </c>
      <c r="R869"/>
      <c r="S869" s="228"/>
      <c r="T869" s="228"/>
      <c r="U869" s="237"/>
      <c r="V869" s="233"/>
      <c r="W869" s="20"/>
      <c r="X869" s="20"/>
      <c r="Y869" s="20"/>
      <c r="Z869" s="20"/>
      <c r="AA869" s="228"/>
      <c r="AB869" s="20"/>
      <c r="AC869" s="20"/>
      <c r="AD869" s="20"/>
      <c r="AE869" s="20"/>
      <c r="AF869" s="20"/>
      <c r="AG869" s="20"/>
      <c r="AH869" s="20"/>
      <c r="AI869" s="20"/>
      <c r="AJ869"/>
      <c r="AK869"/>
      <c r="AL869"/>
      <c r="AM869"/>
      <c r="AN869"/>
    </row>
    <row r="870" spans="1:40" ht="14.25" customHeight="1">
      <c r="A870" s="167" t="s">
        <v>3548</v>
      </c>
      <c r="B870" s="191">
        <f>66.7/5</f>
        <v>13.34</v>
      </c>
      <c r="C870" s="166" t="s">
        <v>3904</v>
      </c>
      <c r="N870" s="183">
        <v>5</v>
      </c>
      <c r="O870" s="7">
        <v>2</v>
      </c>
      <c r="R870"/>
      <c r="S870" s="228"/>
      <c r="T870" s="228"/>
      <c r="U870" s="237"/>
      <c r="V870" s="233"/>
      <c r="W870" s="20"/>
      <c r="X870" s="20"/>
      <c r="Y870" s="20"/>
      <c r="Z870" s="20"/>
      <c r="AA870" s="228"/>
      <c r="AB870" s="20"/>
      <c r="AC870" s="20"/>
      <c r="AD870" s="20"/>
      <c r="AE870" s="20"/>
      <c r="AF870" s="20"/>
      <c r="AG870" s="20"/>
      <c r="AH870" s="20"/>
      <c r="AI870" s="20"/>
      <c r="AJ870"/>
      <c r="AK870"/>
      <c r="AL870"/>
      <c r="AM870"/>
      <c r="AN870"/>
    </row>
    <row r="871" spans="1:40" ht="14.25" customHeight="1">
      <c r="A871" s="167" t="s">
        <v>3549</v>
      </c>
      <c r="B871" s="191">
        <f>53.6/3</f>
        <v>17.866666666666667</v>
      </c>
      <c r="C871" s="166" t="s">
        <v>3903</v>
      </c>
      <c r="N871" s="183">
        <v>3</v>
      </c>
      <c r="O871" s="7">
        <v>2.2000000000000002</v>
      </c>
      <c r="R871"/>
      <c r="S871" s="228"/>
      <c r="T871" s="228"/>
      <c r="U871" s="237"/>
      <c r="V871" s="233"/>
      <c r="W871" s="20"/>
      <c r="X871" s="20"/>
      <c r="Y871" s="20"/>
      <c r="Z871" s="20"/>
      <c r="AA871" s="228"/>
      <c r="AB871" s="20"/>
      <c r="AC871" s="20"/>
      <c r="AD871" s="20"/>
      <c r="AE871" s="20"/>
      <c r="AF871" s="20"/>
      <c r="AG871" s="20"/>
      <c r="AH871" s="20"/>
      <c r="AI871" s="20"/>
      <c r="AJ871"/>
      <c r="AK871"/>
      <c r="AL871"/>
      <c r="AM871"/>
      <c r="AN871"/>
    </row>
    <row r="872" spans="1:40" ht="14.25" customHeight="1">
      <c r="A872" s="167" t="s">
        <v>3550</v>
      </c>
      <c r="B872" s="191">
        <v>37.200000000000003</v>
      </c>
      <c r="C872" s="166" t="s">
        <v>3854</v>
      </c>
      <c r="N872" s="183">
        <v>3</v>
      </c>
      <c r="O872" s="7">
        <v>1.98</v>
      </c>
      <c r="R872"/>
      <c r="S872" s="228"/>
      <c r="T872" s="228"/>
      <c r="U872" s="237"/>
      <c r="V872" s="233"/>
      <c r="W872" s="20"/>
      <c r="X872" s="20"/>
      <c r="Y872" s="20"/>
      <c r="Z872" s="20"/>
      <c r="AA872" s="228"/>
      <c r="AB872" s="20"/>
      <c r="AC872" s="20"/>
      <c r="AD872" s="20"/>
      <c r="AE872" s="20"/>
      <c r="AF872" s="20"/>
      <c r="AG872" s="20"/>
      <c r="AH872" s="20"/>
      <c r="AI872" s="20"/>
      <c r="AJ872"/>
      <c r="AK872"/>
      <c r="AL872"/>
      <c r="AM872"/>
      <c r="AN872"/>
    </row>
    <row r="873" spans="1:40" ht="14.25" customHeight="1">
      <c r="A873" s="167" t="s">
        <v>3512</v>
      </c>
      <c r="B873" s="191">
        <f>6.7/3</f>
        <v>2.2333333333333334</v>
      </c>
      <c r="C873" s="169" t="s">
        <v>3919</v>
      </c>
      <c r="N873" s="183">
        <v>3</v>
      </c>
      <c r="O873" s="7">
        <v>1.4</v>
      </c>
      <c r="R873"/>
      <c r="S873" s="228"/>
      <c r="T873" s="228"/>
      <c r="U873" s="237"/>
      <c r="V873" s="233"/>
      <c r="W873" s="20"/>
      <c r="X873" s="20"/>
      <c r="Y873" s="20"/>
      <c r="Z873" s="20"/>
      <c r="AA873" s="228"/>
      <c r="AB873" s="20"/>
      <c r="AC873" s="20"/>
      <c r="AD873" s="20"/>
      <c r="AE873" s="20"/>
      <c r="AF873" s="20"/>
      <c r="AG873" s="20"/>
      <c r="AH873" s="20"/>
      <c r="AI873" s="20"/>
      <c r="AJ873"/>
      <c r="AK873"/>
      <c r="AL873"/>
      <c r="AM873"/>
      <c r="AN873"/>
    </row>
    <row r="874" spans="1:40" ht="14.25" customHeight="1">
      <c r="A874" s="167" t="s">
        <v>3513</v>
      </c>
      <c r="B874" s="191">
        <f>6.7/3</f>
        <v>2.2333333333333334</v>
      </c>
      <c r="C874" s="169" t="s">
        <v>3920</v>
      </c>
      <c r="N874" s="183">
        <v>3</v>
      </c>
      <c r="O874" s="7">
        <v>1.4</v>
      </c>
      <c r="R874"/>
      <c r="S874" s="228"/>
      <c r="T874" s="228"/>
      <c r="U874" s="237"/>
      <c r="V874" s="233"/>
      <c r="W874" s="20"/>
      <c r="X874" s="20"/>
      <c r="Y874" s="20"/>
      <c r="Z874" s="20"/>
      <c r="AA874" s="228"/>
      <c r="AB874" s="20"/>
      <c r="AC874" s="20"/>
      <c r="AD874" s="20"/>
      <c r="AE874" s="20"/>
      <c r="AF874" s="20"/>
      <c r="AG874" s="20"/>
      <c r="AH874" s="20"/>
      <c r="AI874" s="20"/>
      <c r="AJ874" s="169" t="s">
        <v>3919</v>
      </c>
      <c r="AK874"/>
      <c r="AL874"/>
      <c r="AM874"/>
      <c r="AN874"/>
    </row>
    <row r="875" spans="1:40" ht="14.25" customHeight="1">
      <c r="A875" s="167" t="s">
        <v>3514</v>
      </c>
      <c r="B875" s="165">
        <f>21.6/3</f>
        <v>7.2</v>
      </c>
      <c r="C875" s="169" t="s">
        <v>3921</v>
      </c>
      <c r="N875" s="183">
        <v>3</v>
      </c>
      <c r="O875" s="7">
        <v>0.7</v>
      </c>
      <c r="R875"/>
      <c r="S875" s="228"/>
      <c r="T875" s="228"/>
      <c r="U875" s="237"/>
      <c r="V875" s="233"/>
      <c r="W875" s="20"/>
      <c r="X875" s="20"/>
      <c r="Y875" s="20"/>
      <c r="Z875" s="20"/>
      <c r="AA875" s="228"/>
      <c r="AB875" s="20"/>
      <c r="AC875" s="20"/>
      <c r="AD875" s="20"/>
      <c r="AE875" s="20"/>
      <c r="AF875" s="20"/>
      <c r="AG875" s="20"/>
      <c r="AH875" s="20"/>
      <c r="AI875" s="20"/>
      <c r="AJ875"/>
      <c r="AK875"/>
      <c r="AL875"/>
      <c r="AM875"/>
      <c r="AN875"/>
    </row>
    <row r="876" spans="1:40" ht="14.25" customHeight="1">
      <c r="A876" s="167" t="s">
        <v>3515</v>
      </c>
      <c r="B876" s="165">
        <f>21.6/3</f>
        <v>7.2</v>
      </c>
      <c r="C876" s="169" t="s">
        <v>3922</v>
      </c>
      <c r="N876" s="183">
        <v>3</v>
      </c>
      <c r="O876" s="7">
        <v>0.7</v>
      </c>
      <c r="R876"/>
      <c r="S876" s="228"/>
      <c r="T876" s="228"/>
      <c r="U876" s="237"/>
      <c r="V876" s="233"/>
      <c r="W876" s="20"/>
      <c r="X876" s="20"/>
      <c r="Y876" s="20"/>
      <c r="Z876" s="20"/>
      <c r="AA876" s="228"/>
      <c r="AB876" s="20"/>
      <c r="AC876" s="20"/>
      <c r="AD876" s="20"/>
      <c r="AE876" s="20"/>
      <c r="AF876" s="20"/>
      <c r="AG876" s="20"/>
      <c r="AH876" s="20"/>
      <c r="AI876" s="20"/>
      <c r="AJ876" s="169" t="s">
        <v>3921</v>
      </c>
      <c r="AK876"/>
      <c r="AL876"/>
      <c r="AM876"/>
      <c r="AN876"/>
    </row>
    <row r="877" spans="1:40" ht="14.25" customHeight="1">
      <c r="A877" s="167" t="s">
        <v>3516</v>
      </c>
      <c r="B877" s="165">
        <f>18.6/3</f>
        <v>6.2</v>
      </c>
      <c r="C877" s="166" t="s">
        <v>3923</v>
      </c>
      <c r="N877" s="183">
        <v>3</v>
      </c>
      <c r="O877" s="7">
        <v>0.3</v>
      </c>
      <c r="R877"/>
      <c r="S877" s="228"/>
      <c r="T877" s="228"/>
      <c r="U877" s="237"/>
      <c r="V877" s="233"/>
      <c r="W877" s="20"/>
      <c r="X877" s="20"/>
      <c r="Y877" s="20"/>
      <c r="Z877" s="20"/>
      <c r="AA877" s="228"/>
      <c r="AB877" s="20"/>
      <c r="AC877" s="20"/>
      <c r="AD877" s="20"/>
      <c r="AE877" s="20"/>
      <c r="AF877" s="20"/>
      <c r="AG877" s="20"/>
      <c r="AH877" s="20"/>
      <c r="AI877" s="20"/>
      <c r="AJ877"/>
      <c r="AK877"/>
      <c r="AL877"/>
      <c r="AM877"/>
      <c r="AN877"/>
    </row>
    <row r="878" spans="1:40" ht="14.25" customHeight="1">
      <c r="A878" s="167" t="s">
        <v>3517</v>
      </c>
      <c r="B878" s="165">
        <v>5.4</v>
      </c>
      <c r="C878" s="166" t="s">
        <v>3924</v>
      </c>
      <c r="N878" s="183">
        <v>3</v>
      </c>
      <c r="O878" s="7">
        <v>0.21</v>
      </c>
      <c r="R878"/>
      <c r="S878" s="228"/>
      <c r="T878" s="228"/>
      <c r="U878" s="237"/>
      <c r="V878" s="233"/>
      <c r="W878" s="20"/>
      <c r="X878" s="20"/>
      <c r="Y878" s="20"/>
      <c r="Z878" s="20"/>
      <c r="AA878" s="228"/>
      <c r="AB878" s="20"/>
      <c r="AC878" s="20"/>
      <c r="AD878" s="20"/>
      <c r="AE878" s="20"/>
      <c r="AF878" s="20"/>
      <c r="AG878" s="20"/>
      <c r="AH878" s="20"/>
      <c r="AI878" s="20"/>
      <c r="AJ878"/>
      <c r="AK878"/>
      <c r="AL878"/>
      <c r="AM878"/>
      <c r="AN878"/>
    </row>
    <row r="879" spans="1:40" ht="14.25" customHeight="1">
      <c r="A879" s="167" t="s">
        <v>3518</v>
      </c>
      <c r="B879" s="165">
        <v>16.2</v>
      </c>
      <c r="C879" s="169" t="s">
        <v>3925</v>
      </c>
      <c r="N879" s="183">
        <v>3</v>
      </c>
      <c r="O879" s="7">
        <v>3</v>
      </c>
      <c r="R879"/>
      <c r="S879" s="228"/>
      <c r="T879" s="228"/>
      <c r="U879" s="237"/>
      <c r="V879" s="233"/>
      <c r="W879" s="20"/>
      <c r="X879" s="20"/>
      <c r="Y879" s="20"/>
      <c r="Z879" s="20"/>
      <c r="AA879" s="228"/>
      <c r="AB879" s="20"/>
      <c r="AC879" s="20"/>
      <c r="AD879" s="20"/>
      <c r="AE879" s="20"/>
      <c r="AF879" s="20"/>
      <c r="AG879" s="20"/>
      <c r="AH879" s="20"/>
      <c r="AI879" s="20"/>
      <c r="AJ879"/>
      <c r="AK879"/>
      <c r="AL879"/>
      <c r="AM879"/>
      <c r="AN879"/>
    </row>
    <row r="880" spans="1:40" ht="14.25" customHeight="1">
      <c r="A880" s="167" t="s">
        <v>3519</v>
      </c>
      <c r="B880" s="165">
        <v>16.2</v>
      </c>
      <c r="C880" s="169" t="s">
        <v>3926</v>
      </c>
      <c r="N880" s="183">
        <v>3</v>
      </c>
      <c r="O880" s="7">
        <v>3</v>
      </c>
      <c r="R880"/>
      <c r="S880" s="228"/>
      <c r="T880" s="228"/>
      <c r="U880" s="237"/>
      <c r="V880" s="233"/>
      <c r="W880" s="20"/>
      <c r="X880" s="20"/>
      <c r="Y880" s="20"/>
      <c r="Z880" s="20"/>
      <c r="AA880" s="228"/>
      <c r="AB880" s="20"/>
      <c r="AC880" s="20"/>
      <c r="AD880" s="20"/>
      <c r="AE880" s="20"/>
      <c r="AF880" s="20"/>
      <c r="AG880" s="20"/>
      <c r="AH880" s="20"/>
      <c r="AI880" s="20"/>
      <c r="AJ880" s="169" t="s">
        <v>3925</v>
      </c>
      <c r="AK880"/>
      <c r="AL880"/>
      <c r="AM880"/>
      <c r="AN880"/>
    </row>
    <row r="881" spans="1:40" ht="14.25" customHeight="1">
      <c r="A881" s="167" t="s">
        <v>3520</v>
      </c>
      <c r="B881" s="165">
        <v>11.1</v>
      </c>
      <c r="C881" s="169" t="s">
        <v>3928</v>
      </c>
      <c r="N881" s="183">
        <v>3</v>
      </c>
      <c r="O881" s="7">
        <v>1.5</v>
      </c>
      <c r="R881"/>
      <c r="S881" s="228"/>
      <c r="T881" s="228"/>
      <c r="U881" s="237"/>
      <c r="V881" s="233"/>
      <c r="W881" s="20"/>
      <c r="X881" s="20"/>
      <c r="Y881" s="20"/>
      <c r="Z881" s="20"/>
      <c r="AA881" s="228"/>
      <c r="AB881" s="20"/>
      <c r="AC881" s="20"/>
      <c r="AD881" s="20"/>
      <c r="AE881" s="20"/>
      <c r="AF881" s="20"/>
      <c r="AG881" s="20"/>
      <c r="AH881" s="20"/>
      <c r="AI881" s="20"/>
      <c r="AJ881"/>
      <c r="AK881"/>
      <c r="AL881"/>
      <c r="AM881"/>
      <c r="AN881"/>
    </row>
    <row r="882" spans="1:40" ht="14.25" customHeight="1">
      <c r="A882" s="167" t="s">
        <v>3521</v>
      </c>
      <c r="B882" s="165">
        <v>11</v>
      </c>
      <c r="C882" s="169" t="s">
        <v>3929</v>
      </c>
      <c r="N882" s="183">
        <v>3</v>
      </c>
      <c r="O882" s="7">
        <v>1.5</v>
      </c>
      <c r="R882"/>
      <c r="S882" s="228"/>
      <c r="T882" s="228"/>
      <c r="U882" s="237"/>
      <c r="V882" s="233"/>
      <c r="W882" s="20"/>
      <c r="X882" s="20"/>
      <c r="Y882" s="20"/>
      <c r="Z882" s="20"/>
      <c r="AA882" s="228"/>
      <c r="AB882" s="20"/>
      <c r="AC882" s="20"/>
      <c r="AD882" s="20"/>
      <c r="AE882" s="20"/>
      <c r="AF882" s="20"/>
      <c r="AG882" s="20"/>
      <c r="AH882" s="20"/>
      <c r="AI882" s="20"/>
      <c r="AJ882" s="169" t="s">
        <v>3928</v>
      </c>
      <c r="AK882"/>
      <c r="AL882"/>
      <c r="AM882"/>
      <c r="AN882"/>
    </row>
    <row r="883" spans="1:40" ht="14.25" customHeight="1">
      <c r="A883" s="167" t="s">
        <v>3522</v>
      </c>
      <c r="B883" s="165">
        <v>10.199999999999999</v>
      </c>
      <c r="C883" s="169" t="s">
        <v>3930</v>
      </c>
      <c r="N883" s="183">
        <v>3</v>
      </c>
      <c r="O883" s="7">
        <v>3.3</v>
      </c>
      <c r="R883"/>
      <c r="S883" s="228"/>
      <c r="T883" s="228"/>
      <c r="U883" s="237"/>
      <c r="V883" s="233"/>
      <c r="W883" s="20"/>
      <c r="X883" s="20"/>
      <c r="Y883" s="20"/>
      <c r="Z883" s="20"/>
      <c r="AA883" s="228"/>
      <c r="AB883" s="20"/>
      <c r="AC883" s="20"/>
      <c r="AD883" s="20"/>
      <c r="AE883" s="20"/>
      <c r="AF883" s="20"/>
      <c r="AG883" s="20"/>
      <c r="AH883" s="20"/>
      <c r="AI883" s="20"/>
      <c r="AJ883"/>
      <c r="AK883"/>
      <c r="AL883"/>
      <c r="AM883"/>
      <c r="AN883"/>
    </row>
    <row r="884" spans="1:40" s="4" customFormat="1" ht="14.25" customHeight="1">
      <c r="A884" s="167" t="s">
        <v>3523</v>
      </c>
      <c r="B884" s="165">
        <v>10.199999999999999</v>
      </c>
      <c r="C884" s="169" t="s">
        <v>3931</v>
      </c>
      <c r="D884" s="183"/>
      <c r="E884" s="183"/>
      <c r="F884" s="188"/>
      <c r="G884" s="188"/>
      <c r="H884" s="183"/>
      <c r="I884" s="183"/>
      <c r="J884" s="188"/>
      <c r="K884" s="188"/>
      <c r="L884" s="9"/>
      <c r="M884" s="9"/>
      <c r="N884" s="183">
        <v>3</v>
      </c>
      <c r="O884" s="7">
        <v>3.3</v>
      </c>
      <c r="P884" s="9"/>
      <c r="Q884" s="9"/>
      <c r="R884"/>
      <c r="S884" s="228"/>
      <c r="T884" s="228"/>
      <c r="U884" s="237"/>
      <c r="V884" s="233"/>
      <c r="W884" s="20"/>
      <c r="X884" s="20"/>
      <c r="Y884" s="20"/>
      <c r="Z884" s="20"/>
      <c r="AA884" s="228"/>
      <c r="AB884" s="20"/>
      <c r="AC884" s="20"/>
      <c r="AD884" s="20"/>
      <c r="AE884" s="20"/>
      <c r="AF884" s="20"/>
      <c r="AG884" s="20"/>
      <c r="AH884" s="20"/>
      <c r="AI884" s="20"/>
      <c r="AJ884" s="169" t="s">
        <v>3930</v>
      </c>
      <c r="AK884"/>
      <c r="AL884"/>
      <c r="AM884"/>
      <c r="AN884"/>
    </row>
    <row r="885" spans="1:40" ht="14.25" customHeight="1">
      <c r="A885" s="167" t="s">
        <v>3524</v>
      </c>
      <c r="B885" s="165">
        <v>12.8</v>
      </c>
      <c r="C885" s="169" t="s">
        <v>3949</v>
      </c>
      <c r="N885" s="183">
        <v>3</v>
      </c>
      <c r="O885" s="7">
        <v>3.2</v>
      </c>
      <c r="R885"/>
      <c r="S885" s="228"/>
      <c r="T885" s="228"/>
      <c r="U885" s="237"/>
      <c r="V885" s="233"/>
      <c r="W885" s="20"/>
      <c r="X885" s="20"/>
      <c r="Y885" s="20"/>
      <c r="Z885" s="20"/>
      <c r="AA885" s="228"/>
      <c r="AB885" s="20"/>
      <c r="AC885" s="20"/>
      <c r="AD885" s="20"/>
      <c r="AE885" s="20"/>
      <c r="AF885" s="20"/>
      <c r="AG885" s="20"/>
      <c r="AH885" s="20"/>
      <c r="AI885" s="20"/>
      <c r="AJ885"/>
      <c r="AK885"/>
      <c r="AL885"/>
      <c r="AM885"/>
      <c r="AN885"/>
    </row>
    <row r="886" spans="1:40" ht="14.25" customHeight="1">
      <c r="A886" s="167" t="s">
        <v>3525</v>
      </c>
      <c r="B886" s="165">
        <v>12.6</v>
      </c>
      <c r="C886" s="169" t="s">
        <v>3950</v>
      </c>
      <c r="N886" s="183">
        <v>3</v>
      </c>
      <c r="O886" s="7">
        <v>3.2</v>
      </c>
      <c r="R886"/>
      <c r="S886" s="228"/>
      <c r="T886" s="228"/>
      <c r="U886" s="237"/>
      <c r="V886" s="233"/>
      <c r="W886" s="20"/>
      <c r="X886" s="20"/>
      <c r="Y886" s="20"/>
      <c r="Z886" s="20"/>
      <c r="AA886" s="228"/>
      <c r="AB886" s="20"/>
      <c r="AC886" s="20"/>
      <c r="AD886" s="20"/>
      <c r="AE886" s="20"/>
      <c r="AF886" s="20"/>
      <c r="AG886" s="20"/>
      <c r="AH886" s="20"/>
      <c r="AI886" s="20"/>
      <c r="AJ886" s="169" t="s">
        <v>3949</v>
      </c>
      <c r="AK886"/>
      <c r="AL886"/>
      <c r="AM886"/>
      <c r="AN886"/>
    </row>
    <row r="887" spans="1:40" ht="14.25" customHeight="1">
      <c r="A887" s="167" t="s">
        <v>3526</v>
      </c>
      <c r="B887" s="165">
        <v>7</v>
      </c>
      <c r="C887" s="169" t="s">
        <v>3933</v>
      </c>
      <c r="N887" s="183">
        <v>3</v>
      </c>
      <c r="O887" s="7">
        <v>3</v>
      </c>
      <c r="R887"/>
      <c r="S887" s="228"/>
      <c r="T887" s="228"/>
      <c r="U887" s="237"/>
      <c r="V887" s="233"/>
      <c r="W887" s="20"/>
      <c r="X887" s="20"/>
      <c r="Y887" s="20"/>
      <c r="Z887" s="20"/>
      <c r="AA887" s="228"/>
      <c r="AB887" s="20"/>
      <c r="AC887" s="20"/>
      <c r="AD887" s="20"/>
      <c r="AE887" s="20"/>
      <c r="AF887" s="20"/>
      <c r="AG887" s="20"/>
      <c r="AH887" s="20"/>
      <c r="AI887" s="20"/>
      <c r="AJ887"/>
      <c r="AK887"/>
      <c r="AL887"/>
      <c r="AM887"/>
      <c r="AN887"/>
    </row>
    <row r="888" spans="1:40" ht="14.25" customHeight="1">
      <c r="A888" s="167" t="s">
        <v>3527</v>
      </c>
      <c r="B888" s="165">
        <v>6.6</v>
      </c>
      <c r="C888" s="169" t="s">
        <v>3934</v>
      </c>
      <c r="N888" s="183">
        <v>3</v>
      </c>
      <c r="O888" s="7">
        <v>3</v>
      </c>
      <c r="R888"/>
      <c r="S888" s="228"/>
      <c r="T888" s="228"/>
      <c r="U888" s="237"/>
      <c r="V888" s="233"/>
      <c r="W888" s="20"/>
      <c r="X888" s="20"/>
      <c r="Y888" s="20"/>
      <c r="Z888" s="20"/>
      <c r="AA888" s="228"/>
      <c r="AB888" s="20"/>
      <c r="AC888" s="20"/>
      <c r="AD888" s="20"/>
      <c r="AE888" s="20"/>
      <c r="AF888" s="20"/>
      <c r="AG888" s="20"/>
      <c r="AH888" s="20"/>
      <c r="AI888" s="20"/>
      <c r="AJ888" s="169" t="s">
        <v>3933</v>
      </c>
      <c r="AK888"/>
      <c r="AL888"/>
      <c r="AM888"/>
      <c r="AN888"/>
    </row>
    <row r="889" spans="1:40" ht="14.25" customHeight="1">
      <c r="A889" s="167" t="s">
        <v>3935</v>
      </c>
      <c r="B889" s="165">
        <v>6.7</v>
      </c>
      <c r="C889" s="169" t="s">
        <v>3943</v>
      </c>
      <c r="N889" s="183">
        <v>3</v>
      </c>
      <c r="O889" s="7">
        <v>2.2000000000000002</v>
      </c>
      <c r="R889"/>
      <c r="S889" s="228"/>
      <c r="T889" s="228"/>
      <c r="U889" s="237"/>
      <c r="V889" s="233"/>
      <c r="W889" s="20"/>
      <c r="X889" s="20"/>
      <c r="Y889" s="20"/>
      <c r="Z889" s="20"/>
      <c r="AA889" s="228"/>
      <c r="AB889" s="20"/>
      <c r="AC889" s="20"/>
      <c r="AD889" s="20"/>
      <c r="AE889" s="20"/>
      <c r="AF889" s="20"/>
      <c r="AG889" s="20"/>
      <c r="AH889" s="20"/>
      <c r="AI889" s="20"/>
      <c r="AJ889"/>
      <c r="AK889"/>
      <c r="AL889"/>
      <c r="AM889"/>
      <c r="AN889"/>
    </row>
    <row r="890" spans="1:40" ht="14.25" customHeight="1">
      <c r="A890" s="167" t="s">
        <v>3936</v>
      </c>
      <c r="B890" s="165">
        <v>6.6</v>
      </c>
      <c r="C890" s="169" t="s">
        <v>3944</v>
      </c>
      <c r="N890" s="183">
        <v>3</v>
      </c>
      <c r="O890" s="7">
        <v>2.2000000000000002</v>
      </c>
      <c r="R890"/>
      <c r="S890" s="228"/>
      <c r="T890" s="228"/>
      <c r="U890" s="237"/>
      <c r="V890" s="233"/>
      <c r="W890" s="20"/>
      <c r="X890" s="20"/>
      <c r="Y890" s="20"/>
      <c r="Z890" s="20"/>
      <c r="AA890" s="228"/>
      <c r="AB890" s="20"/>
      <c r="AC890" s="20"/>
      <c r="AD890" s="20"/>
      <c r="AE890" s="20"/>
      <c r="AF890" s="20"/>
      <c r="AG890" s="20"/>
      <c r="AH890" s="20"/>
      <c r="AI890" s="20"/>
      <c r="AJ890" s="169" t="s">
        <v>3943</v>
      </c>
      <c r="AK890"/>
      <c r="AL890"/>
      <c r="AM890"/>
      <c r="AN890"/>
    </row>
    <row r="891" spans="1:40" ht="14.25" customHeight="1">
      <c r="A891" s="167" t="s">
        <v>3938</v>
      </c>
      <c r="B891" s="165">
        <v>8.8000000000000007</v>
      </c>
      <c r="C891" s="169" t="s">
        <v>3945</v>
      </c>
      <c r="N891" s="183">
        <v>3</v>
      </c>
      <c r="O891" s="7">
        <v>3.2</v>
      </c>
      <c r="R891"/>
      <c r="S891" s="228"/>
      <c r="T891" s="228"/>
      <c r="U891" s="237"/>
      <c r="V891" s="233"/>
      <c r="W891" s="20"/>
      <c r="X891" s="20"/>
      <c r="Y891" s="20"/>
      <c r="Z891" s="20"/>
      <c r="AA891" s="228"/>
      <c r="AB891" s="20"/>
      <c r="AC891" s="20"/>
      <c r="AD891" s="20"/>
      <c r="AE891" s="20"/>
      <c r="AF891" s="20"/>
      <c r="AG891" s="20"/>
      <c r="AH891" s="20"/>
      <c r="AI891" s="20"/>
      <c r="AJ891"/>
      <c r="AK891"/>
      <c r="AL891"/>
      <c r="AM891"/>
      <c r="AN891"/>
    </row>
    <row r="892" spans="1:40" ht="14.25" customHeight="1">
      <c r="A892" s="167" t="s">
        <v>3939</v>
      </c>
      <c r="B892" s="165">
        <v>8.8000000000000007</v>
      </c>
      <c r="C892" s="169" t="s">
        <v>3946</v>
      </c>
      <c r="N892" s="183">
        <v>3</v>
      </c>
      <c r="O892" s="7">
        <v>3.2</v>
      </c>
      <c r="R892"/>
      <c r="S892" s="228"/>
      <c r="T892" s="228"/>
      <c r="U892" s="237"/>
      <c r="V892" s="233"/>
      <c r="W892" s="20"/>
      <c r="X892" s="20"/>
      <c r="Y892" s="20"/>
      <c r="Z892" s="20"/>
      <c r="AA892" s="228"/>
      <c r="AB892" s="20"/>
      <c r="AC892" s="20"/>
      <c r="AD892" s="20"/>
      <c r="AE892" s="20"/>
      <c r="AF892" s="20"/>
      <c r="AG892" s="20"/>
      <c r="AH892" s="20"/>
      <c r="AI892" s="20"/>
      <c r="AJ892" s="169" t="s">
        <v>3945</v>
      </c>
      <c r="AK892"/>
      <c r="AL892"/>
      <c r="AM892"/>
      <c r="AN892"/>
    </row>
    <row r="893" spans="1:40" ht="14.25" customHeight="1">
      <c r="A893" s="167" t="s">
        <v>3940</v>
      </c>
      <c r="B893" s="165">
        <v>11.2</v>
      </c>
      <c r="C893" s="169" t="s">
        <v>3947</v>
      </c>
      <c r="N893" s="183">
        <v>3</v>
      </c>
      <c r="O893" s="7">
        <v>1.3</v>
      </c>
      <c r="R893"/>
      <c r="S893" s="228"/>
      <c r="T893" s="228"/>
      <c r="U893" s="237"/>
      <c r="V893" s="233"/>
      <c r="W893" s="20"/>
      <c r="X893" s="20"/>
      <c r="Y893" s="20"/>
      <c r="Z893" s="20"/>
      <c r="AA893" s="228"/>
      <c r="AB893" s="20"/>
      <c r="AC893" s="20"/>
      <c r="AD893" s="20"/>
      <c r="AE893" s="20"/>
      <c r="AF893" s="20"/>
      <c r="AG893" s="20"/>
      <c r="AH893" s="20"/>
      <c r="AI893" s="20"/>
      <c r="AJ893"/>
      <c r="AK893"/>
      <c r="AL893"/>
      <c r="AM893"/>
      <c r="AN893"/>
    </row>
    <row r="894" spans="1:40" ht="14.25" customHeight="1">
      <c r="A894" s="167" t="s">
        <v>3941</v>
      </c>
      <c r="B894" s="165">
        <v>11.1</v>
      </c>
      <c r="C894" s="169" t="s">
        <v>3948</v>
      </c>
      <c r="N894" s="183">
        <v>3</v>
      </c>
      <c r="O894" s="7">
        <v>1.3</v>
      </c>
      <c r="R894"/>
      <c r="S894" s="228"/>
      <c r="T894" s="228"/>
      <c r="U894" s="237"/>
      <c r="V894" s="233"/>
      <c r="W894" s="20"/>
      <c r="X894" s="20"/>
      <c r="Y894" s="20"/>
      <c r="Z894" s="20"/>
      <c r="AA894" s="228"/>
      <c r="AB894" s="20"/>
      <c r="AC894" s="20"/>
      <c r="AD894" s="20"/>
      <c r="AE894" s="20"/>
      <c r="AF894" s="20"/>
      <c r="AG894" s="20"/>
      <c r="AH894" s="20"/>
      <c r="AI894" s="20"/>
      <c r="AJ894" s="169" t="s">
        <v>3947</v>
      </c>
      <c r="AK894"/>
      <c r="AL894"/>
      <c r="AM894"/>
      <c r="AN894"/>
    </row>
    <row r="895" spans="1:40" ht="14.25" customHeight="1">
      <c r="A895" s="167" t="s">
        <v>3953</v>
      </c>
      <c r="B895" s="165">
        <v>7.7</v>
      </c>
      <c r="C895" s="169" t="s">
        <v>3951</v>
      </c>
      <c r="N895" s="183">
        <v>3</v>
      </c>
      <c r="O895" s="7">
        <v>0.65</v>
      </c>
      <c r="R895"/>
      <c r="S895" s="228"/>
      <c r="T895" s="228"/>
      <c r="U895" s="237"/>
      <c r="V895" s="233"/>
      <c r="W895" s="20"/>
      <c r="X895" s="20"/>
      <c r="Y895" s="20"/>
      <c r="Z895" s="20"/>
      <c r="AA895" s="228"/>
      <c r="AB895" s="20"/>
      <c r="AC895" s="20"/>
      <c r="AD895" s="20"/>
      <c r="AE895" s="20"/>
      <c r="AF895" s="20"/>
      <c r="AG895" s="20"/>
      <c r="AH895" s="20"/>
      <c r="AI895" s="20"/>
      <c r="AJ895"/>
      <c r="AK895"/>
      <c r="AL895"/>
      <c r="AM895"/>
      <c r="AN895"/>
    </row>
    <row r="896" spans="1:40" ht="14.25" customHeight="1">
      <c r="A896" s="167" t="s">
        <v>3954</v>
      </c>
      <c r="B896" s="165">
        <v>7.5</v>
      </c>
      <c r="C896" s="169" t="s">
        <v>3952</v>
      </c>
      <c r="N896" s="183">
        <v>3</v>
      </c>
      <c r="O896" s="7">
        <v>0.65</v>
      </c>
      <c r="R896"/>
      <c r="S896" s="228"/>
      <c r="T896" s="228"/>
      <c r="U896" s="237"/>
      <c r="V896" s="233"/>
      <c r="W896" s="20"/>
      <c r="X896" s="20"/>
      <c r="Y896" s="20"/>
      <c r="Z896" s="20"/>
      <c r="AA896" s="228"/>
      <c r="AB896" s="20"/>
      <c r="AC896" s="20"/>
      <c r="AD896" s="20"/>
      <c r="AE896" s="20"/>
      <c r="AF896" s="20"/>
      <c r="AG896" s="20"/>
      <c r="AH896" s="20"/>
      <c r="AI896" s="20"/>
      <c r="AJ896" s="169" t="s">
        <v>3951</v>
      </c>
      <c r="AK896"/>
      <c r="AL896"/>
      <c r="AM896"/>
      <c r="AN896"/>
    </row>
    <row r="897" spans="1:40" ht="14.25" customHeight="1">
      <c r="A897" s="167" t="s">
        <v>3955</v>
      </c>
      <c r="B897" s="165">
        <v>12.8</v>
      </c>
      <c r="C897" s="166" t="s">
        <v>3958</v>
      </c>
      <c r="N897" s="183">
        <v>3</v>
      </c>
      <c r="O897" s="7">
        <v>0.45</v>
      </c>
      <c r="R897"/>
      <c r="S897" s="228"/>
      <c r="T897" s="228"/>
      <c r="U897" s="237"/>
      <c r="V897" s="233"/>
      <c r="W897" s="20"/>
      <c r="X897" s="20"/>
      <c r="Y897" s="20"/>
      <c r="Z897" s="20"/>
      <c r="AA897" s="228"/>
      <c r="AB897" s="20"/>
      <c r="AC897" s="20"/>
      <c r="AD897" s="20"/>
      <c r="AE897" s="20"/>
      <c r="AF897" s="20"/>
      <c r="AG897" s="20"/>
      <c r="AH897" s="20"/>
      <c r="AI897" s="20"/>
      <c r="AJ897"/>
      <c r="AK897"/>
      <c r="AL897"/>
      <c r="AM897"/>
      <c r="AN897"/>
    </row>
    <row r="898" spans="1:40" ht="14.25" customHeight="1">
      <c r="A898" s="167" t="s">
        <v>3956</v>
      </c>
      <c r="B898" s="165">
        <v>14.2</v>
      </c>
      <c r="C898" s="166" t="s">
        <v>3959</v>
      </c>
      <c r="N898" s="183">
        <v>3</v>
      </c>
      <c r="O898" s="7">
        <v>0.36</v>
      </c>
      <c r="R898"/>
      <c r="S898" s="228"/>
      <c r="T898" s="228"/>
      <c r="U898" s="237"/>
      <c r="V898" s="233"/>
      <c r="W898" s="20"/>
      <c r="X898" s="20"/>
      <c r="Y898" s="20"/>
      <c r="Z898" s="20"/>
      <c r="AA898" s="228"/>
      <c r="AB898" s="20"/>
      <c r="AC898" s="20"/>
      <c r="AD898" s="20"/>
      <c r="AE898" s="20"/>
      <c r="AF898" s="20"/>
      <c r="AG898" s="20"/>
      <c r="AH898" s="20"/>
      <c r="AI898" s="20"/>
      <c r="AJ898"/>
      <c r="AK898"/>
      <c r="AL898"/>
      <c r="AM898"/>
      <c r="AN898"/>
    </row>
    <row r="899" spans="1:40" ht="14.25" customHeight="1">
      <c r="A899" s="167" t="s">
        <v>3957</v>
      </c>
      <c r="B899" s="165">
        <v>9.3000000000000007</v>
      </c>
      <c r="C899" s="166" t="s">
        <v>3960</v>
      </c>
      <c r="N899" s="183">
        <v>3</v>
      </c>
      <c r="O899" s="7">
        <v>0.23</v>
      </c>
      <c r="R899"/>
      <c r="S899" s="228"/>
      <c r="T899" s="228"/>
      <c r="U899" s="237"/>
      <c r="V899" s="233"/>
      <c r="W899" s="20"/>
      <c r="X899" s="20"/>
      <c r="Y899" s="20"/>
      <c r="Z899" s="20"/>
      <c r="AA899" s="228"/>
      <c r="AB899" s="20"/>
      <c r="AC899" s="20"/>
      <c r="AD899" s="20"/>
      <c r="AE899" s="20"/>
      <c r="AF899" s="20"/>
      <c r="AG899" s="20"/>
      <c r="AH899" s="20"/>
      <c r="AI899" s="20"/>
      <c r="AJ899"/>
      <c r="AK899"/>
      <c r="AL899"/>
      <c r="AM899"/>
      <c r="AN899"/>
    </row>
    <row r="900" spans="1:40" ht="14.25" customHeight="1">
      <c r="A900" s="167" t="s">
        <v>3539</v>
      </c>
      <c r="B900" s="191">
        <f>24.5/3</f>
        <v>8.1666666666666661</v>
      </c>
      <c r="C900" s="166" t="s">
        <v>3915</v>
      </c>
      <c r="N900" s="183">
        <v>3</v>
      </c>
      <c r="O900" s="7">
        <v>0.55000000000000004</v>
      </c>
      <c r="R900"/>
      <c r="S900" s="228"/>
      <c r="T900" s="228"/>
      <c r="U900" s="237"/>
      <c r="V900" s="233"/>
      <c r="W900" s="20"/>
      <c r="X900" s="20"/>
      <c r="Y900" s="20"/>
      <c r="Z900" s="20"/>
      <c r="AA900" s="228"/>
      <c r="AB900" s="20"/>
      <c r="AC900" s="20"/>
      <c r="AD900" s="20"/>
      <c r="AE900" s="20"/>
      <c r="AF900" s="20"/>
      <c r="AG900" s="20"/>
      <c r="AH900" s="20"/>
      <c r="AI900" s="20"/>
      <c r="AJ900"/>
      <c r="AK900"/>
      <c r="AL900"/>
      <c r="AM900"/>
      <c r="AN900"/>
    </row>
    <row r="901" spans="1:40" ht="14.25" customHeight="1">
      <c r="A901" s="167" t="s">
        <v>3540</v>
      </c>
      <c r="B901" s="191">
        <f>35.9/3</f>
        <v>11.966666666666667</v>
      </c>
      <c r="C901" s="166" t="s">
        <v>3849</v>
      </c>
      <c r="N901" s="183">
        <v>3</v>
      </c>
      <c r="O901" s="7">
        <v>0.8</v>
      </c>
      <c r="R901"/>
      <c r="S901" s="228"/>
      <c r="T901" s="228"/>
      <c r="U901" s="237"/>
      <c r="V901" s="233"/>
      <c r="W901" s="20"/>
      <c r="X901" s="20"/>
      <c r="Y901" s="20"/>
      <c r="Z901" s="20"/>
      <c r="AA901" s="228"/>
      <c r="AB901" s="20"/>
      <c r="AC901" s="20"/>
      <c r="AD901" s="20"/>
      <c r="AE901" s="20"/>
      <c r="AF901" s="20"/>
      <c r="AG901" s="20"/>
      <c r="AH901" s="20"/>
      <c r="AI901" s="20"/>
      <c r="AJ901"/>
      <c r="AK901"/>
      <c r="AL901"/>
      <c r="AM901"/>
      <c r="AN901"/>
    </row>
    <row r="902" spans="1:40" ht="14.25" customHeight="1">
      <c r="A902" s="167" t="s">
        <v>3541</v>
      </c>
      <c r="B902" s="191">
        <f>49.3/3</f>
        <v>16.433333333333334</v>
      </c>
      <c r="C902" s="166" t="s">
        <v>3850</v>
      </c>
      <c r="N902" s="183">
        <v>3</v>
      </c>
      <c r="O902" s="7">
        <v>1.6</v>
      </c>
      <c r="R902"/>
      <c r="S902" s="228"/>
      <c r="T902" s="228"/>
      <c r="U902" s="237"/>
      <c r="V902" s="233"/>
      <c r="W902" s="20"/>
      <c r="X902" s="20"/>
      <c r="Y902" s="20"/>
      <c r="Z902" s="20"/>
      <c r="AA902" s="228"/>
      <c r="AB902" s="20"/>
      <c r="AC902" s="20"/>
      <c r="AD902" s="20"/>
      <c r="AE902" s="20"/>
      <c r="AF902" s="20"/>
      <c r="AG902" s="20"/>
      <c r="AH902" s="20"/>
      <c r="AI902" s="20"/>
      <c r="AJ902"/>
      <c r="AK902"/>
      <c r="AL902"/>
      <c r="AM902"/>
      <c r="AN902"/>
    </row>
    <row r="903" spans="1:40" ht="14.25" customHeight="1">
      <c r="A903" s="167" t="s">
        <v>3542</v>
      </c>
      <c r="B903" s="165">
        <v>67.900000000000006</v>
      </c>
      <c r="C903" s="166" t="s">
        <v>3848</v>
      </c>
      <c r="N903" s="183">
        <v>3</v>
      </c>
      <c r="O903" s="7">
        <v>1.1000000000000001</v>
      </c>
      <c r="R903"/>
      <c r="S903" s="228"/>
      <c r="T903" s="228"/>
      <c r="U903" s="237"/>
      <c r="V903" s="233"/>
      <c r="W903" s="20"/>
      <c r="X903" s="20"/>
      <c r="Y903" s="20"/>
      <c r="Z903" s="20"/>
      <c r="AA903" s="228"/>
      <c r="AB903" s="20"/>
      <c r="AC903" s="20"/>
      <c r="AD903" s="20"/>
      <c r="AE903" s="20"/>
      <c r="AF903" s="20"/>
      <c r="AG903" s="20"/>
      <c r="AH903" s="20"/>
      <c r="AI903" s="20"/>
      <c r="AJ903"/>
      <c r="AK903"/>
      <c r="AL903"/>
      <c r="AM903"/>
      <c r="AN903"/>
    </row>
    <row r="904" spans="1:40" ht="14.25" customHeight="1">
      <c r="A904" s="167" t="s">
        <v>3553</v>
      </c>
      <c r="B904" s="165">
        <f>30.7/5</f>
        <v>6.14</v>
      </c>
      <c r="C904" s="166" t="s">
        <v>3445</v>
      </c>
      <c r="N904" s="183">
        <v>5</v>
      </c>
      <c r="O904" s="7">
        <v>0.8</v>
      </c>
      <c r="R904"/>
      <c r="S904" s="228"/>
      <c r="T904" s="228"/>
      <c r="U904" s="237"/>
      <c r="V904" s="233"/>
      <c r="W904" s="20"/>
      <c r="X904" s="20"/>
      <c r="Y904" s="20"/>
      <c r="Z904" s="20"/>
      <c r="AA904" s="228"/>
      <c r="AB904" s="20"/>
      <c r="AC904" s="20"/>
      <c r="AD904" s="20"/>
      <c r="AE904" s="20"/>
      <c r="AF904" s="20"/>
      <c r="AG904" s="20"/>
      <c r="AH904" s="20"/>
      <c r="AI904" s="20"/>
      <c r="AJ904"/>
      <c r="AK904"/>
      <c r="AL904"/>
      <c r="AM904"/>
      <c r="AN904"/>
    </row>
    <row r="905" spans="1:40" ht="14.25" customHeight="1">
      <c r="A905" s="167" t="s">
        <v>3554</v>
      </c>
      <c r="B905" s="165">
        <f>31.3/5</f>
        <v>6.26</v>
      </c>
      <c r="C905" s="166" t="s">
        <v>3446</v>
      </c>
      <c r="N905" s="183">
        <v>5</v>
      </c>
      <c r="O905" s="7">
        <v>0.45</v>
      </c>
      <c r="R905"/>
      <c r="S905" s="228"/>
      <c r="T905" s="228"/>
      <c r="U905" s="237"/>
      <c r="V905" s="233"/>
      <c r="W905" s="20"/>
      <c r="X905" s="20"/>
      <c r="Y905" s="20"/>
      <c r="Z905" s="20"/>
      <c r="AA905" s="228"/>
      <c r="AB905" s="20"/>
      <c r="AC905" s="20"/>
      <c r="AD905" s="20"/>
      <c r="AE905" s="20"/>
      <c r="AF905" s="20"/>
      <c r="AG905" s="20"/>
      <c r="AH905" s="20"/>
      <c r="AI905" s="20"/>
      <c r="AJ905"/>
      <c r="AK905"/>
      <c r="AL905"/>
      <c r="AM905"/>
      <c r="AN905"/>
    </row>
    <row r="906" spans="1:40" ht="14.25" customHeight="1">
      <c r="A906" s="167" t="s">
        <v>3555</v>
      </c>
      <c r="B906" s="165">
        <v>50.1</v>
      </c>
      <c r="C906" s="166" t="s">
        <v>3847</v>
      </c>
      <c r="N906" s="183">
        <v>3</v>
      </c>
      <c r="O906" s="7">
        <v>1.1000000000000001</v>
      </c>
      <c r="R906"/>
      <c r="S906" s="228"/>
      <c r="T906" s="228"/>
      <c r="U906" s="237"/>
      <c r="V906" s="233"/>
      <c r="W906" s="20"/>
      <c r="X906" s="20"/>
      <c r="Y906" s="20"/>
      <c r="Z906" s="20"/>
      <c r="AA906" s="228"/>
      <c r="AB906" s="20"/>
      <c r="AC906" s="20"/>
      <c r="AD906" s="20"/>
      <c r="AE906" s="20"/>
      <c r="AF906" s="20"/>
      <c r="AG906" s="20"/>
      <c r="AH906" s="20"/>
      <c r="AI906" s="20"/>
      <c r="AJ906"/>
      <c r="AK906"/>
      <c r="AL906"/>
      <c r="AM906"/>
      <c r="AN906"/>
    </row>
    <row r="907" spans="1:40" ht="14.25" customHeight="1">
      <c r="A907" s="167" t="s">
        <v>3556</v>
      </c>
      <c r="B907" s="165">
        <f>38.1/5</f>
        <v>7.62</v>
      </c>
      <c r="C907" s="166" t="s">
        <v>3454</v>
      </c>
      <c r="N907" s="183">
        <v>5</v>
      </c>
      <c r="O907" s="7">
        <v>0.5</v>
      </c>
      <c r="R907"/>
      <c r="S907" s="228"/>
      <c r="T907" s="228"/>
      <c r="U907" s="237"/>
      <c r="V907" s="233"/>
      <c r="W907" s="20"/>
      <c r="X907" s="20"/>
      <c r="Y907" s="20"/>
      <c r="Z907" s="20"/>
      <c r="AA907" s="228"/>
      <c r="AB907" s="20"/>
      <c r="AC907" s="20"/>
      <c r="AD907" s="20"/>
      <c r="AE907" s="20"/>
      <c r="AF907" s="20"/>
      <c r="AG907" s="20"/>
      <c r="AH907" s="20"/>
      <c r="AI907" s="20"/>
      <c r="AJ907"/>
      <c r="AK907"/>
      <c r="AL907"/>
      <c r="AM907"/>
      <c r="AN907"/>
    </row>
    <row r="908" spans="1:40" ht="14.25" customHeight="1">
      <c r="A908" s="167" t="s">
        <v>3557</v>
      </c>
      <c r="B908" s="165">
        <f>37.4/5</f>
        <v>7.4799999999999995</v>
      </c>
      <c r="C908" s="166" t="s">
        <v>3415</v>
      </c>
      <c r="N908" s="183">
        <v>5</v>
      </c>
      <c r="O908" s="7">
        <v>0.85</v>
      </c>
      <c r="R908"/>
      <c r="S908" s="228"/>
      <c r="T908" s="228"/>
      <c r="U908" s="237"/>
      <c r="V908" s="233"/>
      <c r="W908" s="20"/>
      <c r="X908" s="20"/>
      <c r="Y908" s="20"/>
      <c r="Z908" s="20"/>
      <c r="AA908" s="228"/>
      <c r="AB908" s="20"/>
      <c r="AC908" s="20"/>
      <c r="AD908" s="20"/>
      <c r="AE908" s="20"/>
      <c r="AF908" s="20"/>
      <c r="AG908" s="20"/>
      <c r="AH908" s="20"/>
      <c r="AI908" s="20"/>
      <c r="AJ908"/>
      <c r="AK908"/>
      <c r="AL908"/>
      <c r="AM908"/>
      <c r="AN908"/>
    </row>
    <row r="909" spans="1:40" ht="14.25" customHeight="1">
      <c r="A909" s="167" t="s">
        <v>3558</v>
      </c>
      <c r="B909" s="165">
        <f>34.8/5</f>
        <v>6.9599999999999991</v>
      </c>
      <c r="C909" s="166" t="s">
        <v>3414</v>
      </c>
      <c r="N909" s="183">
        <v>5</v>
      </c>
      <c r="O909" s="7">
        <v>0.46</v>
      </c>
      <c r="R909"/>
      <c r="S909" s="228"/>
      <c r="T909" s="228"/>
      <c r="U909" s="237"/>
      <c r="V909" s="233"/>
      <c r="W909" s="20"/>
      <c r="X909" s="20"/>
      <c r="Y909" s="20"/>
      <c r="Z909" s="20"/>
      <c r="AA909" s="228"/>
      <c r="AB909" s="20"/>
      <c r="AC909" s="20"/>
      <c r="AD909" s="20"/>
      <c r="AE909" s="20"/>
      <c r="AF909" s="20"/>
      <c r="AG909" s="20"/>
      <c r="AH909" s="20"/>
      <c r="AI909" s="20"/>
      <c r="AJ909"/>
      <c r="AK909"/>
      <c r="AL909"/>
      <c r="AM909"/>
      <c r="AN909"/>
    </row>
    <row r="910" spans="1:40" ht="14.25" customHeight="1">
      <c r="A910" s="167" t="s">
        <v>3559</v>
      </c>
      <c r="B910" s="165">
        <f>52.2/10</f>
        <v>5.2200000000000006</v>
      </c>
      <c r="C910" s="173" t="s">
        <v>3392</v>
      </c>
      <c r="N910" s="183">
        <v>10</v>
      </c>
      <c r="O910" s="7">
        <v>0.33</v>
      </c>
      <c r="R910"/>
      <c r="S910" s="228"/>
      <c r="T910" s="228"/>
      <c r="U910" s="237"/>
      <c r="V910" s="233"/>
      <c r="W910" s="20"/>
      <c r="X910" s="20"/>
      <c r="Y910" s="20"/>
      <c r="Z910" s="20"/>
      <c r="AA910" s="228"/>
      <c r="AB910" s="20"/>
      <c r="AC910" s="20"/>
      <c r="AD910" s="20"/>
      <c r="AE910" s="20"/>
      <c r="AF910" s="20"/>
      <c r="AG910" s="20"/>
      <c r="AH910" s="20"/>
      <c r="AI910" s="20"/>
      <c r="AJ910"/>
      <c r="AK910"/>
      <c r="AL910"/>
      <c r="AM910"/>
      <c r="AN910"/>
    </row>
    <row r="911" spans="1:40" ht="14.25" customHeight="1">
      <c r="A911" s="167" t="s">
        <v>3560</v>
      </c>
      <c r="B911" s="165">
        <f>31.2/5</f>
        <v>6.24</v>
      </c>
      <c r="C911" s="166" t="s">
        <v>3391</v>
      </c>
      <c r="N911" s="183">
        <v>5</v>
      </c>
      <c r="O911" s="7">
        <v>1</v>
      </c>
      <c r="R911"/>
      <c r="S911" s="228"/>
      <c r="T911" s="228"/>
      <c r="U911" s="237"/>
      <c r="V911" s="233"/>
      <c r="W911" s="20"/>
      <c r="X911" s="20"/>
      <c r="Y911" s="20"/>
      <c r="Z911" s="20"/>
      <c r="AA911" s="228"/>
      <c r="AB911" s="20"/>
      <c r="AC911" s="20"/>
      <c r="AD911" s="20"/>
      <c r="AE911" s="20"/>
      <c r="AF911" s="20"/>
      <c r="AG911" s="20"/>
      <c r="AH911" s="20"/>
      <c r="AI911" s="20"/>
      <c r="AJ911"/>
      <c r="AK911"/>
      <c r="AL911"/>
      <c r="AM911"/>
      <c r="AN911"/>
    </row>
    <row r="912" spans="1:40" ht="14.25" customHeight="1">
      <c r="A912" s="167" t="s">
        <v>3561</v>
      </c>
      <c r="B912" s="165">
        <f>29.1/5</f>
        <v>5.82</v>
      </c>
      <c r="C912" s="166" t="s">
        <v>3383</v>
      </c>
      <c r="N912" s="183">
        <v>5</v>
      </c>
      <c r="O912" s="7">
        <v>0.75</v>
      </c>
      <c r="R912"/>
      <c r="S912" s="228"/>
      <c r="T912" s="228"/>
      <c r="U912" s="237"/>
      <c r="V912" s="233"/>
      <c r="W912" s="20"/>
      <c r="X912" s="20"/>
      <c r="Y912" s="20"/>
      <c r="Z912" s="20"/>
      <c r="AA912" s="228"/>
      <c r="AB912" s="20"/>
      <c r="AC912" s="20"/>
      <c r="AD912" s="20"/>
      <c r="AE912" s="20"/>
      <c r="AF912" s="20"/>
      <c r="AG912" s="20"/>
      <c r="AH912" s="20"/>
      <c r="AI912" s="20"/>
      <c r="AJ912"/>
      <c r="AK912"/>
      <c r="AL912"/>
      <c r="AM912"/>
      <c r="AN912"/>
    </row>
    <row r="913" spans="1:40" ht="14.25" customHeight="1">
      <c r="A913" s="171" t="s">
        <v>3961</v>
      </c>
      <c r="B913" s="165">
        <f>157.3/5</f>
        <v>31.46</v>
      </c>
      <c r="C913" s="173" t="s">
        <v>3963</v>
      </c>
      <c r="N913" s="183">
        <v>5</v>
      </c>
      <c r="O913" s="7">
        <v>2.1</v>
      </c>
      <c r="R913"/>
      <c r="S913" s="228"/>
      <c r="T913" s="228"/>
      <c r="U913" s="237"/>
      <c r="V913" s="233"/>
      <c r="W913" s="20"/>
      <c r="X913" s="20"/>
      <c r="Y913" s="20"/>
      <c r="Z913" s="20"/>
      <c r="AA913" s="228"/>
      <c r="AB913" s="20"/>
      <c r="AC913" s="20"/>
      <c r="AD913" s="20"/>
      <c r="AE913" s="20"/>
      <c r="AF913" s="20"/>
      <c r="AG913" s="20"/>
      <c r="AH913" s="20"/>
      <c r="AI913" s="20"/>
      <c r="AJ913"/>
      <c r="AK913"/>
      <c r="AL913"/>
      <c r="AM913"/>
      <c r="AN913"/>
    </row>
    <row r="914" spans="1:40" ht="14.25" customHeight="1">
      <c r="A914" s="171" t="s">
        <v>3964</v>
      </c>
      <c r="B914" s="165">
        <f>91.5/3</f>
        <v>30.5</v>
      </c>
      <c r="C914" s="173" t="s">
        <v>3962</v>
      </c>
      <c r="N914" s="183">
        <v>3</v>
      </c>
      <c r="O914" s="7">
        <v>1.4</v>
      </c>
      <c r="R914"/>
      <c r="S914" s="228"/>
      <c r="T914" s="228"/>
      <c r="U914" s="237"/>
      <c r="V914" s="233"/>
      <c r="W914" s="20"/>
      <c r="X914" s="20"/>
      <c r="Y914" s="20"/>
      <c r="Z914" s="20"/>
      <c r="AA914" s="228"/>
      <c r="AB914" s="20"/>
      <c r="AC914" s="20"/>
      <c r="AD914" s="20"/>
      <c r="AE914" s="20"/>
      <c r="AF914" s="20"/>
      <c r="AG914" s="20"/>
      <c r="AH914" s="20"/>
      <c r="AI914" s="20"/>
      <c r="AJ914"/>
      <c r="AK914"/>
      <c r="AL914"/>
      <c r="AM914"/>
      <c r="AN914"/>
    </row>
    <row r="915" spans="1:40" ht="14.25" customHeight="1">
      <c r="A915" s="171" t="s">
        <v>3966</v>
      </c>
      <c r="B915" s="165">
        <f>172.1/5</f>
        <v>34.42</v>
      </c>
      <c r="C915" s="173" t="s">
        <v>3965</v>
      </c>
      <c r="N915" s="183">
        <v>5</v>
      </c>
      <c r="O915" s="7">
        <v>3.3</v>
      </c>
      <c r="R915"/>
      <c r="S915" s="228"/>
      <c r="T915" s="228"/>
      <c r="U915" s="237"/>
      <c r="V915" s="233"/>
      <c r="W915" s="20"/>
      <c r="X915" s="20"/>
      <c r="Y915" s="20"/>
      <c r="Z915" s="20"/>
      <c r="AA915" s="228"/>
      <c r="AD915" s="20"/>
      <c r="AE915" s="20"/>
      <c r="AF915" s="20"/>
      <c r="AG915" s="20"/>
      <c r="AH915" s="20"/>
      <c r="AI915" s="20"/>
      <c r="AJ915"/>
      <c r="AK915"/>
      <c r="AL915"/>
      <c r="AM915"/>
      <c r="AN915"/>
    </row>
    <row r="916" spans="1:40" ht="14.25" customHeight="1">
      <c r="A916" s="171" t="s">
        <v>3968</v>
      </c>
      <c r="B916" s="165">
        <f>157/5</f>
        <v>31.4</v>
      </c>
      <c r="C916" s="173" t="s">
        <v>3967</v>
      </c>
      <c r="N916" s="183">
        <v>5</v>
      </c>
      <c r="O916" s="7">
        <v>2.2000000000000002</v>
      </c>
      <c r="R916"/>
      <c r="S916" s="228"/>
      <c r="T916" s="228"/>
      <c r="U916" s="237"/>
      <c r="AA916" s="228"/>
      <c r="AJ916"/>
      <c r="AK916"/>
      <c r="AL916"/>
      <c r="AM916"/>
      <c r="AN916"/>
    </row>
    <row r="917" spans="1:40" ht="14.25" customHeight="1">
      <c r="A917" s="171" t="s">
        <v>3970</v>
      </c>
      <c r="B917" s="191">
        <f>92.8/3</f>
        <v>30.933333333333334</v>
      </c>
      <c r="C917" s="173" t="s">
        <v>3969</v>
      </c>
      <c r="N917" s="183">
        <v>3</v>
      </c>
      <c r="O917" s="7">
        <v>1.38</v>
      </c>
      <c r="R917"/>
      <c r="S917" s="228"/>
      <c r="T917" s="228"/>
      <c r="U917" s="237"/>
      <c r="AA917" s="228"/>
      <c r="AJ917"/>
      <c r="AK917"/>
      <c r="AL917"/>
      <c r="AM917"/>
      <c r="AN917"/>
    </row>
    <row r="918" spans="1:40" ht="14.25" customHeight="1">
      <c r="A918" s="171" t="s">
        <v>3972</v>
      </c>
      <c r="B918" s="191">
        <f>151.8/5</f>
        <v>30.360000000000003</v>
      </c>
      <c r="C918" s="173" t="s">
        <v>3975</v>
      </c>
      <c r="N918" s="183">
        <v>5</v>
      </c>
      <c r="O918" s="7">
        <v>1.5</v>
      </c>
      <c r="R918"/>
      <c r="S918" s="228"/>
      <c r="T918" s="228"/>
      <c r="U918" s="237"/>
      <c r="AA918" s="228"/>
      <c r="AJ918"/>
      <c r="AK918"/>
      <c r="AL918"/>
      <c r="AM918"/>
      <c r="AN918"/>
    </row>
    <row r="919" spans="1:40" ht="14.25" customHeight="1">
      <c r="A919" s="171" t="s">
        <v>3977</v>
      </c>
      <c r="B919" s="191">
        <f>195.2/6</f>
        <v>32.533333333333331</v>
      </c>
      <c r="C919" s="173" t="s">
        <v>3971</v>
      </c>
      <c r="N919" s="183">
        <v>3</v>
      </c>
      <c r="O919" s="7">
        <v>2.2000000000000002</v>
      </c>
      <c r="R919"/>
      <c r="S919" s="228"/>
      <c r="T919" s="228"/>
      <c r="U919" s="237"/>
      <c r="AA919" s="228"/>
      <c r="AJ919"/>
      <c r="AK919"/>
      <c r="AL919"/>
      <c r="AM919"/>
      <c r="AN919"/>
    </row>
    <row r="920" spans="1:40" ht="14.25" customHeight="1">
      <c r="A920" s="171" t="s">
        <v>3978</v>
      </c>
      <c r="B920" s="165">
        <f>168.3/5</f>
        <v>33.660000000000004</v>
      </c>
      <c r="C920" s="166" t="s">
        <v>3455</v>
      </c>
      <c r="N920" s="183">
        <v>5</v>
      </c>
      <c r="O920" s="7">
        <v>2.7</v>
      </c>
      <c r="R920"/>
      <c r="S920" s="228"/>
      <c r="T920" s="228"/>
      <c r="U920" s="237"/>
      <c r="AA920" s="228"/>
      <c r="AJ920"/>
      <c r="AK920"/>
      <c r="AL920"/>
      <c r="AM920"/>
      <c r="AN920"/>
    </row>
    <row r="921" spans="1:40" ht="14.25" customHeight="1">
      <c r="A921" s="167" t="s">
        <v>3492</v>
      </c>
      <c r="B921" s="165">
        <v>8.5</v>
      </c>
      <c r="C921" s="166" t="s">
        <v>3401</v>
      </c>
      <c r="N921" s="183">
        <v>5</v>
      </c>
      <c r="O921" s="7">
        <v>0.75</v>
      </c>
      <c r="R921"/>
      <c r="S921" s="228"/>
      <c r="T921" s="228"/>
      <c r="U921" s="237"/>
      <c r="AA921" s="228"/>
      <c r="AJ921"/>
      <c r="AK921"/>
      <c r="AL921"/>
      <c r="AM921"/>
      <c r="AN921"/>
    </row>
    <row r="922" spans="1:40" ht="14.25" customHeight="1">
      <c r="A922" s="167" t="s">
        <v>3493</v>
      </c>
      <c r="B922" s="165">
        <v>8.1</v>
      </c>
      <c r="C922" s="166" t="s">
        <v>3388</v>
      </c>
      <c r="N922" s="183">
        <v>5</v>
      </c>
      <c r="O922" s="7">
        <v>0.86</v>
      </c>
      <c r="R922"/>
      <c r="S922" s="228"/>
      <c r="T922" s="228"/>
      <c r="U922" s="237"/>
      <c r="AA922" s="228"/>
      <c r="AJ922"/>
      <c r="AK922"/>
      <c r="AL922"/>
      <c r="AM922"/>
      <c r="AN922"/>
    </row>
    <row r="923" spans="1:40" ht="14.25" customHeight="1">
      <c r="A923" s="167" t="s">
        <v>3494</v>
      </c>
      <c r="B923" s="165">
        <v>24.2</v>
      </c>
      <c r="C923" s="166" t="s">
        <v>3449</v>
      </c>
      <c r="N923" s="183">
        <v>3</v>
      </c>
      <c r="O923" s="7">
        <v>0.88</v>
      </c>
      <c r="R923"/>
      <c r="S923" s="228"/>
      <c r="T923" s="228"/>
      <c r="U923" s="237"/>
      <c r="AA923" s="228"/>
      <c r="AJ923"/>
      <c r="AK923"/>
      <c r="AL923"/>
      <c r="AM923"/>
      <c r="AN923"/>
    </row>
    <row r="924" spans="1:40" ht="14.25" customHeight="1">
      <c r="A924" s="167" t="s">
        <v>3495</v>
      </c>
      <c r="B924" s="165">
        <v>66</v>
      </c>
      <c r="C924" s="166" t="s">
        <v>3902</v>
      </c>
      <c r="N924" s="183">
        <v>3</v>
      </c>
      <c r="O924" s="7">
        <v>1.82</v>
      </c>
      <c r="R924"/>
      <c r="S924" s="228"/>
      <c r="T924" s="228"/>
      <c r="U924" s="237"/>
      <c r="AA924" s="228"/>
      <c r="AJ924"/>
      <c r="AK924"/>
      <c r="AL924"/>
      <c r="AM924"/>
      <c r="AN924"/>
    </row>
    <row r="925" spans="1:40" ht="14.25" customHeight="1">
      <c r="A925" s="167" t="s">
        <v>3496</v>
      </c>
      <c r="B925" s="165">
        <v>49.5</v>
      </c>
      <c r="C925" s="166" t="s">
        <v>3900</v>
      </c>
      <c r="N925" s="183">
        <v>3</v>
      </c>
      <c r="O925" s="7">
        <v>2.5</v>
      </c>
      <c r="R925"/>
      <c r="S925" s="228"/>
      <c r="T925" s="228"/>
      <c r="U925" s="237"/>
      <c r="AA925" s="228"/>
      <c r="AJ925"/>
      <c r="AK925"/>
      <c r="AL925"/>
      <c r="AM925"/>
      <c r="AN925"/>
    </row>
    <row r="926" spans="1:40" ht="14.25" customHeight="1">
      <c r="A926" s="167" t="s">
        <v>3497</v>
      </c>
      <c r="B926" s="165">
        <v>71</v>
      </c>
      <c r="C926" s="166" t="s">
        <v>3901</v>
      </c>
      <c r="N926" s="183">
        <v>3</v>
      </c>
      <c r="O926" s="7">
        <v>1.6</v>
      </c>
      <c r="R926"/>
      <c r="S926" s="228"/>
      <c r="T926" s="228"/>
      <c r="U926" s="237"/>
      <c r="AA926" s="228"/>
      <c r="AJ926"/>
      <c r="AK926"/>
      <c r="AL926"/>
      <c r="AM926"/>
      <c r="AN926"/>
    </row>
    <row r="927" spans="1:40" ht="14.25" customHeight="1">
      <c r="A927" s="112">
        <v>352.01</v>
      </c>
      <c r="B927" s="9">
        <v>55</v>
      </c>
      <c r="C927" s="7" t="s">
        <v>4152</v>
      </c>
      <c r="N927" s="183">
        <v>20</v>
      </c>
      <c r="O927" s="7">
        <v>2.8</v>
      </c>
      <c r="U927" s="237"/>
      <c r="AA927" s="228"/>
      <c r="AJ927"/>
      <c r="AK927"/>
      <c r="AL927"/>
      <c r="AM927"/>
      <c r="AN927"/>
    </row>
    <row r="928" spans="1:40" ht="14.25" customHeight="1">
      <c r="A928" s="112">
        <v>352.02</v>
      </c>
      <c r="B928" s="9">
        <v>81.5</v>
      </c>
      <c r="C928" s="79" t="s">
        <v>4153</v>
      </c>
      <c r="N928" s="183">
        <v>40</v>
      </c>
      <c r="O928" s="7">
        <f>(3.5+4)/2</f>
        <v>3.75</v>
      </c>
    </row>
    <row r="929" spans="1:40" ht="14.25" customHeight="1">
      <c r="A929" s="112">
        <v>352.03</v>
      </c>
      <c r="B929" s="9">
        <v>63</v>
      </c>
      <c r="C929" s="7" t="s">
        <v>4154</v>
      </c>
      <c r="N929" s="183">
        <v>20</v>
      </c>
      <c r="O929" s="7">
        <v>3.5</v>
      </c>
    </row>
    <row r="930" spans="1:40" s="4" customFormat="1" ht="14.25" customHeight="1">
      <c r="A930" s="112">
        <v>352.04</v>
      </c>
      <c r="B930" s="9">
        <v>73</v>
      </c>
      <c r="C930" s="7" t="s">
        <v>4155</v>
      </c>
      <c r="D930" s="183"/>
      <c r="E930" s="183"/>
      <c r="F930" s="188"/>
      <c r="G930" s="188"/>
      <c r="H930" s="183"/>
      <c r="I930" s="183"/>
      <c r="J930" s="188"/>
      <c r="K930" s="188"/>
      <c r="L930" s="9"/>
      <c r="M930" s="9"/>
      <c r="N930" s="183">
        <v>20</v>
      </c>
      <c r="O930" s="7">
        <v>4</v>
      </c>
      <c r="P930" s="9"/>
      <c r="Q930" s="9"/>
      <c r="R930" s="7"/>
      <c r="S930" s="126"/>
      <c r="T930" s="126"/>
      <c r="U930" s="236"/>
      <c r="V930" s="103"/>
      <c r="W930" s="9"/>
      <c r="X930" s="9"/>
      <c r="Y930" s="9"/>
      <c r="Z930" s="9"/>
      <c r="AA930" s="126"/>
      <c r="AB930" s="20"/>
      <c r="AC930" s="20"/>
      <c r="AD930" s="9"/>
      <c r="AE930" s="9"/>
      <c r="AF930" s="9"/>
      <c r="AG930" s="9"/>
      <c r="AH930" s="9"/>
      <c r="AI930" s="9"/>
      <c r="AJ930" s="7"/>
      <c r="AK930" s="7"/>
      <c r="AL930" s="7"/>
      <c r="AM930" s="7"/>
    </row>
    <row r="931" spans="1:40" ht="14.25" customHeight="1">
      <c r="A931" s="112">
        <v>352.05</v>
      </c>
      <c r="B931" s="9">
        <v>72</v>
      </c>
      <c r="C931" s="7" t="s">
        <v>4156</v>
      </c>
      <c r="N931" s="183">
        <v>20</v>
      </c>
      <c r="O931" s="7">
        <v>3.5</v>
      </c>
      <c r="V931" s="233"/>
      <c r="W931" s="20"/>
      <c r="X931" s="20"/>
      <c r="Y931" s="20"/>
      <c r="Z931" s="20"/>
      <c r="AB931" s="20"/>
      <c r="AC931" s="20"/>
      <c r="AD931" s="20"/>
      <c r="AE931" s="20"/>
      <c r="AF931" s="20"/>
      <c r="AG931" s="20"/>
      <c r="AH931" s="20"/>
      <c r="AI931" s="20"/>
    </row>
    <row r="932" spans="1:40" s="4" customFormat="1" ht="14.25" customHeight="1">
      <c r="A932" s="112">
        <v>352.06</v>
      </c>
      <c r="B932" s="9">
        <v>64.5</v>
      </c>
      <c r="C932" s="7" t="s">
        <v>4157</v>
      </c>
      <c r="D932" s="183"/>
      <c r="E932" s="183"/>
      <c r="F932" s="188"/>
      <c r="G932" s="188"/>
      <c r="H932" s="183"/>
      <c r="I932" s="183"/>
      <c r="J932" s="188"/>
      <c r="K932" s="188"/>
      <c r="L932" s="9"/>
      <c r="M932" s="9"/>
      <c r="N932" s="183">
        <v>20</v>
      </c>
      <c r="O932" s="7">
        <v>2.6</v>
      </c>
      <c r="P932" s="9"/>
      <c r="Q932" s="9"/>
      <c r="R932" s="7"/>
      <c r="S932" s="126"/>
      <c r="T932" s="126"/>
      <c r="U932" s="236"/>
      <c r="V932" s="233"/>
      <c r="W932" s="20"/>
      <c r="X932" s="20"/>
      <c r="Y932" s="20"/>
      <c r="Z932" s="20"/>
      <c r="AA932" s="126"/>
      <c r="AB932" s="20"/>
      <c r="AC932" s="20"/>
      <c r="AD932" s="20"/>
      <c r="AE932" s="20"/>
      <c r="AF932" s="20"/>
      <c r="AG932" s="20"/>
      <c r="AH932" s="20"/>
      <c r="AI932" s="20"/>
      <c r="AJ932" s="7"/>
      <c r="AK932" s="7"/>
      <c r="AL932" s="7"/>
      <c r="AM932" s="7"/>
      <c r="AN932" s="7"/>
    </row>
    <row r="933" spans="1:40" ht="14.25" customHeight="1">
      <c r="A933" s="125">
        <v>352.07</v>
      </c>
      <c r="B933" s="9">
        <v>50</v>
      </c>
      <c r="C933" s="7" t="s">
        <v>4158</v>
      </c>
      <c r="N933" s="183">
        <v>39</v>
      </c>
      <c r="O933" s="7">
        <v>3.3</v>
      </c>
      <c r="V933" s="233"/>
      <c r="W933" s="20"/>
      <c r="X933" s="20"/>
      <c r="Y933" s="20"/>
      <c r="Z933" s="20"/>
      <c r="AB933" s="20"/>
      <c r="AC933" s="20"/>
      <c r="AD933" s="20"/>
      <c r="AE933" s="20"/>
      <c r="AF933" s="20"/>
      <c r="AG933" s="20"/>
      <c r="AH933" s="20"/>
      <c r="AI933" s="20"/>
    </row>
    <row r="934" spans="1:40" ht="14.25" customHeight="1">
      <c r="A934" s="125">
        <v>352.08</v>
      </c>
      <c r="B934" s="9">
        <v>49</v>
      </c>
      <c r="C934" s="1" t="s">
        <v>4159</v>
      </c>
      <c r="N934" s="183">
        <v>20</v>
      </c>
      <c r="O934" s="7">
        <v>2.98</v>
      </c>
      <c r="V934" s="233"/>
      <c r="W934" s="20"/>
      <c r="X934" s="20"/>
      <c r="Y934" s="20"/>
      <c r="Z934" s="20"/>
      <c r="AB934" s="20"/>
      <c r="AC934" s="20"/>
      <c r="AD934" s="20"/>
      <c r="AE934" s="20"/>
      <c r="AF934" s="20"/>
      <c r="AG934" s="20"/>
      <c r="AH934" s="20"/>
      <c r="AI934" s="20"/>
    </row>
    <row r="935" spans="1:40" ht="14.25" customHeight="1">
      <c r="A935" s="148" t="s">
        <v>3113</v>
      </c>
      <c r="B935" s="9">
        <v>17</v>
      </c>
      <c r="C935" s="211" t="s">
        <v>4160</v>
      </c>
      <c r="N935" s="183">
        <v>3</v>
      </c>
      <c r="O935" s="7">
        <v>0.64</v>
      </c>
      <c r="V935" s="233"/>
      <c r="W935" s="20"/>
      <c r="X935" s="20"/>
      <c r="Y935" s="20"/>
      <c r="Z935" s="20"/>
      <c r="AB935" s="20"/>
      <c r="AC935" s="20"/>
      <c r="AD935" s="20"/>
      <c r="AE935" s="20"/>
      <c r="AF935" s="20"/>
      <c r="AG935" s="20"/>
      <c r="AH935" s="20"/>
      <c r="AI935" s="20"/>
    </row>
    <row r="936" spans="1:40" ht="14.25" customHeight="1">
      <c r="A936" s="148" t="s">
        <v>3114</v>
      </c>
      <c r="B936" s="9">
        <v>17</v>
      </c>
      <c r="C936" s="7" t="s">
        <v>4161</v>
      </c>
      <c r="N936" s="183">
        <v>3</v>
      </c>
      <c r="O936" s="7">
        <v>0.64</v>
      </c>
      <c r="V936" s="233"/>
      <c r="W936" s="20"/>
      <c r="X936" s="20"/>
      <c r="Y936" s="20"/>
      <c r="Z936" s="20"/>
      <c r="AD936" s="20"/>
      <c r="AE936" s="20"/>
      <c r="AF936" s="20"/>
      <c r="AG936" s="20"/>
      <c r="AH936" s="20"/>
      <c r="AI936" s="20"/>
      <c r="AJ936" s="211" t="s">
        <v>4160</v>
      </c>
    </row>
    <row r="937" spans="1:40" ht="14.25" customHeight="1">
      <c r="A937" s="148" t="s">
        <v>3115</v>
      </c>
      <c r="B937" s="9">
        <v>17</v>
      </c>
      <c r="C937" s="7" t="s">
        <v>4162</v>
      </c>
      <c r="N937" s="183">
        <v>3</v>
      </c>
      <c r="O937" s="7">
        <v>0.64</v>
      </c>
    </row>
    <row r="938" spans="1:40" ht="14.25" customHeight="1">
      <c r="A938" s="148" t="s">
        <v>3116</v>
      </c>
      <c r="B938" s="9">
        <v>17</v>
      </c>
      <c r="C938" s="7" t="s">
        <v>4163</v>
      </c>
      <c r="N938" s="183">
        <v>3</v>
      </c>
      <c r="O938" s="7">
        <v>0.64</v>
      </c>
    </row>
    <row r="939" spans="1:40" ht="14.25" customHeight="1">
      <c r="A939" s="148" t="s">
        <v>3117</v>
      </c>
      <c r="B939" s="9">
        <v>17</v>
      </c>
      <c r="C939" s="7" t="s">
        <v>4164</v>
      </c>
      <c r="N939" s="183">
        <v>3</v>
      </c>
      <c r="O939" s="7">
        <v>0.64</v>
      </c>
    </row>
    <row r="940" spans="1:40" ht="14.25" customHeight="1">
      <c r="A940" s="148" t="s">
        <v>3118</v>
      </c>
      <c r="B940" s="9">
        <v>17</v>
      </c>
      <c r="C940" s="7" t="s">
        <v>4165</v>
      </c>
      <c r="N940" s="183">
        <v>3</v>
      </c>
      <c r="O940" s="7">
        <v>0.64</v>
      </c>
    </row>
    <row r="941" spans="1:40" ht="14.25" customHeight="1">
      <c r="A941" s="148" t="s">
        <v>3119</v>
      </c>
      <c r="B941" s="9">
        <v>17</v>
      </c>
      <c r="C941" s="7" t="s">
        <v>4166</v>
      </c>
      <c r="D941" s="186"/>
      <c r="E941" s="186"/>
      <c r="H941" s="186"/>
      <c r="I941" s="186"/>
      <c r="L941" s="168"/>
      <c r="M941" s="168"/>
      <c r="N941" s="186">
        <v>5</v>
      </c>
      <c r="O941" s="7">
        <v>0.64</v>
      </c>
      <c r="AN941" s="4"/>
    </row>
    <row r="942" spans="1:40" ht="14.25" customHeight="1">
      <c r="A942" s="167" t="s">
        <v>3562</v>
      </c>
      <c r="B942" s="165">
        <f>24.9/3</f>
        <v>8.2999999999999989</v>
      </c>
      <c r="C942" s="213" t="s">
        <v>3905</v>
      </c>
      <c r="N942" s="183">
        <v>3</v>
      </c>
      <c r="O942" s="7">
        <v>1.45</v>
      </c>
      <c r="R942"/>
      <c r="S942" s="228"/>
      <c r="T942" s="228"/>
    </row>
    <row r="943" spans="1:40" ht="14.25" customHeight="1">
      <c r="A943" s="167" t="s">
        <v>3563</v>
      </c>
      <c r="B943" s="165">
        <f>25.2/3</f>
        <v>8.4</v>
      </c>
      <c r="C943" s="166" t="s">
        <v>3906</v>
      </c>
      <c r="N943" s="183">
        <v>3</v>
      </c>
      <c r="O943" s="7">
        <v>1.45</v>
      </c>
      <c r="R943"/>
      <c r="S943" s="228"/>
      <c r="T943" s="228"/>
      <c r="U943" s="237"/>
      <c r="AA943" s="228"/>
      <c r="AJ943" s="213" t="s">
        <v>3905</v>
      </c>
      <c r="AK943"/>
      <c r="AL943"/>
      <c r="AM943"/>
      <c r="AN943"/>
    </row>
    <row r="944" spans="1:40" ht="14.25" customHeight="1">
      <c r="A944" s="167" t="s">
        <v>3564</v>
      </c>
      <c r="B944" s="191">
        <f>30.7/3</f>
        <v>10.233333333333333</v>
      </c>
      <c r="C944" s="166" t="s">
        <v>3907</v>
      </c>
      <c r="N944" s="183">
        <v>3</v>
      </c>
      <c r="O944" s="7">
        <v>1.45</v>
      </c>
      <c r="R944"/>
      <c r="S944" s="228"/>
      <c r="T944" s="228"/>
      <c r="U944" s="237"/>
      <c r="AA944" s="228"/>
      <c r="AJ944"/>
      <c r="AK944"/>
      <c r="AL944"/>
      <c r="AM944"/>
      <c r="AN944"/>
    </row>
    <row r="945" spans="1:40" ht="14.25" customHeight="1">
      <c r="A945" s="167" t="s">
        <v>3565</v>
      </c>
      <c r="B945" s="191">
        <f>24.7/3</f>
        <v>8.2333333333333325</v>
      </c>
      <c r="C945" s="213" t="s">
        <v>3405</v>
      </c>
      <c r="N945" s="183">
        <v>3</v>
      </c>
      <c r="O945" s="7">
        <v>1.6</v>
      </c>
      <c r="R945"/>
      <c r="S945" s="228"/>
      <c r="T945" s="228"/>
      <c r="U945" s="237"/>
      <c r="AA945" s="228"/>
      <c r="AJ945"/>
      <c r="AK945"/>
      <c r="AL945"/>
      <c r="AM945"/>
      <c r="AN945"/>
    </row>
    <row r="946" spans="1:40" ht="14.25" customHeight="1">
      <c r="A946" s="167" t="s">
        <v>3566</v>
      </c>
      <c r="B946" s="165">
        <f>24.6/3</f>
        <v>8.2000000000000011</v>
      </c>
      <c r="C946" s="166" t="s">
        <v>3403</v>
      </c>
      <c r="N946" s="183">
        <v>3</v>
      </c>
      <c r="O946" s="7">
        <v>1.6</v>
      </c>
      <c r="R946"/>
      <c r="S946" s="228"/>
      <c r="T946" s="228"/>
      <c r="U946" s="237"/>
      <c r="AA946" s="228"/>
      <c r="AB946" s="20"/>
      <c r="AC946" s="20"/>
      <c r="AJ946" s="213" t="s">
        <v>3405</v>
      </c>
      <c r="AK946"/>
      <c r="AL946"/>
      <c r="AM946"/>
      <c r="AN946"/>
    </row>
    <row r="947" spans="1:40" ht="14.25" customHeight="1">
      <c r="A947" s="167" t="s">
        <v>3567</v>
      </c>
      <c r="B947" s="192">
        <f>30.1/3</f>
        <v>10.033333333333333</v>
      </c>
      <c r="C947" s="166" t="s">
        <v>3404</v>
      </c>
      <c r="N947" s="183">
        <v>3</v>
      </c>
      <c r="O947" s="7">
        <v>1.5</v>
      </c>
      <c r="R947"/>
      <c r="S947" s="228"/>
      <c r="T947" s="228"/>
      <c r="U947" s="237"/>
      <c r="V947" s="233"/>
      <c r="W947" s="20"/>
      <c r="X947" s="20"/>
      <c r="Y947" s="20"/>
      <c r="Z947" s="20"/>
      <c r="AA947" s="228"/>
      <c r="AB947" s="20"/>
      <c r="AC947" s="20"/>
      <c r="AD947" s="20"/>
      <c r="AE947" s="20"/>
      <c r="AF947" s="20"/>
      <c r="AG947" s="20"/>
      <c r="AH947" s="20"/>
      <c r="AI947" s="20"/>
      <c r="AJ947"/>
      <c r="AK947"/>
      <c r="AL947"/>
      <c r="AM947"/>
      <c r="AN947"/>
    </row>
    <row r="948" spans="1:40" ht="14.25" customHeight="1">
      <c r="A948" s="148" t="s">
        <v>3277</v>
      </c>
      <c r="B948" s="9">
        <f>7.8/10</f>
        <v>0.78</v>
      </c>
      <c r="C948" s="196" t="s">
        <v>5904</v>
      </c>
      <c r="D948" s="184"/>
      <c r="E948" s="184"/>
      <c r="H948" s="184"/>
      <c r="I948" s="184"/>
      <c r="L948" s="3"/>
      <c r="M948" s="3"/>
      <c r="N948" s="184">
        <v>1000</v>
      </c>
      <c r="O948" s="25">
        <f>27/1000</f>
        <v>2.7E-2</v>
      </c>
      <c r="P948" s="224"/>
      <c r="Q948" s="224"/>
      <c r="U948" s="237"/>
      <c r="V948" s="233"/>
      <c r="W948" s="20"/>
      <c r="X948" s="20"/>
      <c r="Y948" s="20"/>
      <c r="Z948" s="20"/>
      <c r="AA948" s="228"/>
      <c r="AB948" s="20"/>
      <c r="AC948" s="20"/>
      <c r="AD948" s="20"/>
      <c r="AE948" s="20"/>
      <c r="AF948" s="20"/>
      <c r="AG948" s="20"/>
      <c r="AH948" s="20"/>
      <c r="AI948" s="20"/>
      <c r="AJ948"/>
      <c r="AK948"/>
      <c r="AL948"/>
      <c r="AM948"/>
      <c r="AN948"/>
    </row>
    <row r="949" spans="1:40" ht="14.25" customHeight="1">
      <c r="A949" s="147" t="s">
        <v>3613</v>
      </c>
      <c r="B949" s="9">
        <v>6.9</v>
      </c>
      <c r="C949" s="196" t="s">
        <v>5905</v>
      </c>
      <c r="D949" s="184"/>
      <c r="E949" s="184"/>
      <c r="H949" s="184"/>
      <c r="I949" s="184"/>
      <c r="L949" s="3"/>
      <c r="M949" s="3"/>
      <c r="N949" s="184">
        <v>5</v>
      </c>
      <c r="O949" s="6">
        <v>1.2</v>
      </c>
      <c r="P949" s="222"/>
      <c r="Q949" s="222"/>
      <c r="V949" s="233"/>
      <c r="W949" s="20"/>
      <c r="X949" s="20"/>
      <c r="Y949" s="20"/>
      <c r="Z949" s="20"/>
      <c r="AB949" s="20"/>
      <c r="AC949" s="20"/>
      <c r="AD949" s="20"/>
      <c r="AE949" s="20"/>
      <c r="AF949" s="20"/>
      <c r="AG949" s="20"/>
      <c r="AH949" s="20"/>
      <c r="AI949" s="20"/>
    </row>
    <row r="950" spans="1:40" ht="14.25" customHeight="1">
      <c r="A950" s="147" t="s">
        <v>3278</v>
      </c>
      <c r="B950" s="9">
        <v>9.1</v>
      </c>
      <c r="C950" s="196" t="s">
        <v>5906</v>
      </c>
      <c r="D950" s="184"/>
      <c r="E950" s="184"/>
      <c r="H950" s="184"/>
      <c r="I950" s="184"/>
      <c r="L950" s="3"/>
      <c r="M950" s="3"/>
      <c r="N950" s="184">
        <v>5</v>
      </c>
      <c r="O950" s="6">
        <v>1.5</v>
      </c>
      <c r="P950" s="222"/>
      <c r="Q950" s="222"/>
      <c r="V950" s="233"/>
      <c r="W950" s="20"/>
      <c r="X950" s="20"/>
      <c r="Y950" s="20"/>
      <c r="Z950" s="20"/>
      <c r="AB950" s="20"/>
      <c r="AC950" s="20"/>
      <c r="AD950" s="20"/>
      <c r="AE950" s="20"/>
      <c r="AF950" s="20"/>
      <c r="AG950" s="20"/>
      <c r="AH950" s="20"/>
      <c r="AI950" s="20"/>
    </row>
    <row r="951" spans="1:40" ht="14.25" customHeight="1">
      <c r="A951" s="147" t="s">
        <v>3279</v>
      </c>
      <c r="B951" s="9">
        <v>7.7</v>
      </c>
      <c r="C951" s="196" t="s">
        <v>5907</v>
      </c>
      <c r="D951" s="184"/>
      <c r="E951" s="184"/>
      <c r="H951" s="184"/>
      <c r="I951" s="184"/>
      <c r="L951" s="3"/>
      <c r="M951" s="3"/>
      <c r="N951" s="184">
        <v>5</v>
      </c>
      <c r="O951" s="6">
        <v>0.4</v>
      </c>
      <c r="P951" s="222"/>
      <c r="Q951" s="222"/>
      <c r="V951" s="233"/>
      <c r="W951" s="20"/>
      <c r="X951" s="20"/>
      <c r="Y951" s="20"/>
      <c r="Z951" s="20"/>
      <c r="AB951" s="20"/>
      <c r="AC951" s="20"/>
      <c r="AD951" s="20"/>
      <c r="AE951" s="20"/>
      <c r="AF951" s="20"/>
      <c r="AG951" s="20"/>
      <c r="AH951" s="20"/>
      <c r="AI951" s="20"/>
    </row>
    <row r="952" spans="1:40" ht="14.25" customHeight="1">
      <c r="A952" s="147" t="s">
        <v>3280</v>
      </c>
      <c r="B952" s="9">
        <v>12.7</v>
      </c>
      <c r="C952" s="196" t="s">
        <v>5908</v>
      </c>
      <c r="D952" s="184"/>
      <c r="E952" s="184"/>
      <c r="H952" s="184"/>
      <c r="I952" s="184"/>
      <c r="L952" s="3"/>
      <c r="M952" s="3"/>
      <c r="N952" s="184">
        <v>5</v>
      </c>
      <c r="O952" s="6">
        <v>1.3</v>
      </c>
      <c r="P952" s="222"/>
      <c r="Q952" s="222"/>
      <c r="V952" s="233"/>
      <c r="W952" s="20"/>
      <c r="X952" s="20"/>
      <c r="Y952" s="20"/>
      <c r="Z952" s="20"/>
      <c r="AB952" s="20"/>
      <c r="AC952" s="20"/>
      <c r="AD952" s="20"/>
      <c r="AE952" s="20"/>
      <c r="AF952" s="20"/>
      <c r="AG952" s="20"/>
      <c r="AH952" s="20"/>
      <c r="AI952" s="20"/>
    </row>
    <row r="953" spans="1:40" ht="14.25" customHeight="1">
      <c r="A953" s="147" t="s">
        <v>3281</v>
      </c>
      <c r="B953" s="9">
        <v>20.8</v>
      </c>
      <c r="C953" s="196" t="s">
        <v>5909</v>
      </c>
      <c r="D953" s="184"/>
      <c r="E953" s="184"/>
      <c r="H953" s="184"/>
      <c r="I953" s="184"/>
      <c r="L953" s="3"/>
      <c r="M953" s="3"/>
      <c r="N953" s="184">
        <v>5</v>
      </c>
      <c r="O953" s="6">
        <v>2.5</v>
      </c>
      <c r="P953" s="222"/>
      <c r="Q953" s="222"/>
      <c r="V953" s="233"/>
      <c r="W953" s="20"/>
      <c r="X953" s="20"/>
      <c r="Y953" s="20"/>
      <c r="Z953" s="20"/>
      <c r="AB953" s="20"/>
      <c r="AC953" s="20"/>
      <c r="AD953" s="20"/>
      <c r="AE953" s="20"/>
      <c r="AF953" s="20"/>
      <c r="AG953" s="20"/>
      <c r="AH953" s="20"/>
      <c r="AI953" s="20"/>
    </row>
    <row r="954" spans="1:40" ht="14.25" customHeight="1">
      <c r="A954" s="147" t="s">
        <v>3282</v>
      </c>
      <c r="B954" s="9">
        <v>16.100000000000001</v>
      </c>
      <c r="C954" s="196" t="s">
        <v>5910</v>
      </c>
      <c r="D954" s="184"/>
      <c r="E954" s="184"/>
      <c r="H954" s="184"/>
      <c r="I954" s="184"/>
      <c r="L954" s="3"/>
      <c r="M954" s="3"/>
      <c r="N954" s="184">
        <v>5</v>
      </c>
      <c r="O954" s="6">
        <v>2</v>
      </c>
      <c r="P954" s="222"/>
      <c r="Q954" s="222"/>
      <c r="V954" s="233"/>
      <c r="W954" s="20"/>
      <c r="X954" s="20"/>
      <c r="Y954" s="20"/>
      <c r="Z954" s="20"/>
      <c r="AB954" s="20"/>
      <c r="AC954" s="20"/>
      <c r="AD954" s="20"/>
      <c r="AE954" s="20"/>
      <c r="AF954" s="20"/>
      <c r="AG954" s="20"/>
      <c r="AH954" s="20"/>
      <c r="AI954" s="20"/>
      <c r="AN954" s="4"/>
    </row>
    <row r="955" spans="1:40" ht="14.25" customHeight="1">
      <c r="A955" s="147" t="s">
        <v>3283</v>
      </c>
      <c r="B955" s="9">
        <v>31.4</v>
      </c>
      <c r="C955" s="196" t="s">
        <v>5911</v>
      </c>
      <c r="D955" s="184"/>
      <c r="E955" s="184"/>
      <c r="H955" s="184"/>
      <c r="I955" s="184"/>
      <c r="L955" s="3"/>
      <c r="M955" s="3"/>
      <c r="N955" s="184">
        <v>5</v>
      </c>
      <c r="O955" s="6">
        <v>2.9</v>
      </c>
      <c r="P955" s="222"/>
      <c r="Q955" s="222"/>
      <c r="V955" s="233"/>
      <c r="W955" s="20"/>
      <c r="X955" s="20"/>
      <c r="Y955" s="20"/>
      <c r="Z955" s="20"/>
      <c r="AB955" s="20"/>
      <c r="AC955" s="20"/>
      <c r="AD955" s="20"/>
      <c r="AE955" s="20"/>
      <c r="AF955" s="20"/>
      <c r="AG955" s="20"/>
      <c r="AH955" s="20"/>
      <c r="AI955" s="20"/>
    </row>
    <row r="956" spans="1:40" ht="14.25" customHeight="1">
      <c r="A956" s="147" t="s">
        <v>3284</v>
      </c>
      <c r="B956" s="9">
        <v>7.2</v>
      </c>
      <c r="C956" s="196" t="s">
        <v>5913</v>
      </c>
      <c r="D956" s="184"/>
      <c r="E956" s="184"/>
      <c r="H956" s="184"/>
      <c r="I956" s="184"/>
      <c r="L956" s="3"/>
      <c r="M956" s="3"/>
      <c r="N956" s="184">
        <v>5</v>
      </c>
      <c r="O956" s="6">
        <v>0.6</v>
      </c>
      <c r="P956" s="222"/>
      <c r="Q956" s="222"/>
      <c r="V956" s="233"/>
      <c r="W956" s="20"/>
      <c r="X956" s="20"/>
      <c r="Y956" s="20"/>
      <c r="Z956" s="20"/>
      <c r="AB956" s="20"/>
      <c r="AC956" s="20"/>
      <c r="AD956" s="20"/>
      <c r="AE956" s="20"/>
      <c r="AF956" s="20"/>
      <c r="AG956" s="20"/>
      <c r="AH956" s="20"/>
      <c r="AI956" s="20"/>
    </row>
    <row r="957" spans="1:40" ht="14.25" customHeight="1">
      <c r="A957" s="147" t="s">
        <v>3614</v>
      </c>
      <c r="B957" s="9">
        <f>42.7-6.6</f>
        <v>36.1</v>
      </c>
      <c r="C957" s="196" t="s">
        <v>5914</v>
      </c>
      <c r="D957" s="184"/>
      <c r="E957" s="184"/>
      <c r="H957" s="184"/>
      <c r="I957" s="184"/>
      <c r="L957" s="3"/>
      <c r="M957" s="3"/>
      <c r="N957" s="184">
        <v>5</v>
      </c>
      <c r="O957" s="6">
        <v>4</v>
      </c>
      <c r="P957" s="222"/>
      <c r="Q957" s="222"/>
      <c r="V957" s="233"/>
      <c r="W957" s="20"/>
      <c r="X957" s="20"/>
      <c r="Y957" s="20"/>
      <c r="Z957" s="20"/>
      <c r="AB957" s="20"/>
      <c r="AC957" s="20"/>
      <c r="AD957" s="20"/>
      <c r="AE957" s="20"/>
      <c r="AF957" s="20"/>
      <c r="AG957" s="20"/>
      <c r="AH957" s="20"/>
      <c r="AI957" s="20"/>
    </row>
    <row r="958" spans="1:40" ht="14.25" customHeight="1">
      <c r="A958" s="189" t="s">
        <v>3731</v>
      </c>
      <c r="B958" s="9">
        <v>4.3</v>
      </c>
      <c r="C958" s="31" t="s">
        <v>3832</v>
      </c>
      <c r="N958" s="183">
        <v>5</v>
      </c>
      <c r="O958" s="7">
        <v>0.8</v>
      </c>
      <c r="R958"/>
      <c r="S958" s="228"/>
      <c r="T958" s="228"/>
      <c r="V958" s="233"/>
      <c r="W958" s="20"/>
      <c r="X958" s="20"/>
      <c r="Y958" s="20"/>
      <c r="Z958" s="20"/>
      <c r="AB958" s="20"/>
      <c r="AC958" s="20"/>
      <c r="AD958" s="20"/>
      <c r="AE958" s="20"/>
      <c r="AF958" s="20"/>
      <c r="AG958" s="20"/>
      <c r="AH958" s="20"/>
      <c r="AI958" s="20"/>
    </row>
    <row r="959" spans="1:40" ht="14.25" customHeight="1">
      <c r="A959" s="189" t="s">
        <v>3732</v>
      </c>
      <c r="B959" s="9">
        <v>3.9</v>
      </c>
      <c r="C959" s="157" t="s">
        <v>3671</v>
      </c>
      <c r="N959" s="183">
        <v>5</v>
      </c>
      <c r="O959" s="7">
        <v>0.32</v>
      </c>
      <c r="R959"/>
      <c r="S959" s="228"/>
      <c r="T959" s="228"/>
      <c r="U959" s="237"/>
      <c r="V959" s="233"/>
      <c r="W959" s="20"/>
      <c r="X959" s="20"/>
      <c r="Y959" s="20"/>
      <c r="Z959" s="20"/>
      <c r="AA959" s="228"/>
      <c r="AB959" s="20"/>
      <c r="AC959" s="20"/>
      <c r="AD959" s="20"/>
      <c r="AE959" s="20"/>
      <c r="AF959" s="20"/>
      <c r="AG959" s="20"/>
      <c r="AH959" s="20"/>
      <c r="AI959" s="20"/>
      <c r="AJ959"/>
      <c r="AK959"/>
      <c r="AL959"/>
      <c r="AM959"/>
      <c r="AN959"/>
    </row>
    <row r="960" spans="1:40" ht="14.25" customHeight="1">
      <c r="A960" s="189" t="s">
        <v>3733</v>
      </c>
      <c r="B960" s="9">
        <v>4.4000000000000004</v>
      </c>
      <c r="C960" s="157" t="s">
        <v>3660</v>
      </c>
      <c r="N960" s="183">
        <v>50</v>
      </c>
      <c r="O960" s="7">
        <v>0.28999999999999998</v>
      </c>
      <c r="R960"/>
      <c r="S960" s="228"/>
      <c r="T960" s="228"/>
      <c r="U960" s="237"/>
      <c r="V960" s="233"/>
      <c r="W960" s="20"/>
      <c r="X960" s="20"/>
      <c r="Y960" s="20"/>
      <c r="Z960" s="20"/>
      <c r="AA960" s="228"/>
      <c r="AB960" s="20"/>
      <c r="AC960" s="20"/>
      <c r="AD960" s="20"/>
      <c r="AE960" s="20"/>
      <c r="AF960" s="20"/>
      <c r="AG960" s="20"/>
      <c r="AH960" s="20"/>
      <c r="AI960" s="20"/>
      <c r="AJ960"/>
      <c r="AK960"/>
      <c r="AL960"/>
      <c r="AM960"/>
      <c r="AN960"/>
    </row>
    <row r="961" spans="1:40" ht="14.25" customHeight="1">
      <c r="A961" s="189" t="s">
        <v>3734</v>
      </c>
      <c r="B961" s="9">
        <v>2.7</v>
      </c>
      <c r="C961" s="157" t="s">
        <v>3726</v>
      </c>
      <c r="N961" s="183">
        <v>10</v>
      </c>
      <c r="O961" s="7">
        <v>0.5</v>
      </c>
      <c r="R961"/>
      <c r="S961" s="228"/>
      <c r="T961" s="228"/>
      <c r="U961" s="237"/>
      <c r="V961" s="233"/>
      <c r="W961" s="20"/>
      <c r="X961" s="20"/>
      <c r="Y961" s="20"/>
      <c r="Z961" s="20"/>
      <c r="AA961" s="228"/>
      <c r="AB961" s="20"/>
      <c r="AC961" s="20"/>
      <c r="AD961" s="20"/>
      <c r="AE961" s="20"/>
      <c r="AF961" s="20"/>
      <c r="AG961" s="20"/>
      <c r="AH961" s="20"/>
      <c r="AI961" s="20"/>
      <c r="AJ961"/>
      <c r="AK961"/>
      <c r="AL961"/>
      <c r="AM961"/>
      <c r="AN961"/>
    </row>
    <row r="962" spans="1:40" ht="14.25" customHeight="1">
      <c r="A962" s="189" t="s">
        <v>3735</v>
      </c>
      <c r="B962" s="9">
        <v>4.5999999999999996</v>
      </c>
      <c r="C962" s="157" t="s">
        <v>3668</v>
      </c>
      <c r="N962" s="183">
        <v>5</v>
      </c>
      <c r="O962" s="7">
        <v>0.7</v>
      </c>
      <c r="R962"/>
      <c r="S962" s="228"/>
      <c r="T962" s="228"/>
      <c r="U962" s="237"/>
      <c r="V962" s="233"/>
      <c r="W962" s="20"/>
      <c r="X962" s="20"/>
      <c r="Y962" s="20"/>
      <c r="Z962" s="20"/>
      <c r="AA962" s="228"/>
      <c r="AB962" s="20"/>
      <c r="AC962" s="20"/>
      <c r="AD962" s="20"/>
      <c r="AE962" s="20"/>
      <c r="AF962" s="20"/>
      <c r="AG962" s="20"/>
      <c r="AH962" s="20"/>
      <c r="AI962" s="20"/>
      <c r="AJ962"/>
      <c r="AK962"/>
      <c r="AL962"/>
      <c r="AM962"/>
      <c r="AN962"/>
    </row>
    <row r="963" spans="1:40" ht="14.25" customHeight="1">
      <c r="A963" s="189" t="s">
        <v>3736</v>
      </c>
      <c r="B963" s="9">
        <v>4.4000000000000004</v>
      </c>
      <c r="C963" s="157" t="s">
        <v>3663</v>
      </c>
      <c r="N963" s="183">
        <v>10</v>
      </c>
      <c r="O963" s="7">
        <v>0.22</v>
      </c>
      <c r="R963"/>
      <c r="S963" s="228"/>
      <c r="T963" s="228"/>
      <c r="U963" s="237"/>
      <c r="V963" s="233"/>
      <c r="W963" s="20"/>
      <c r="X963" s="20"/>
      <c r="Y963" s="20"/>
      <c r="Z963" s="20"/>
      <c r="AA963" s="228"/>
      <c r="AB963" s="20"/>
      <c r="AC963" s="20"/>
      <c r="AD963" s="20"/>
      <c r="AE963" s="20"/>
      <c r="AF963" s="20"/>
      <c r="AG963" s="20"/>
      <c r="AH963" s="20"/>
      <c r="AI963" s="20"/>
      <c r="AJ963"/>
      <c r="AK963"/>
      <c r="AL963"/>
      <c r="AM963"/>
      <c r="AN963"/>
    </row>
    <row r="964" spans="1:40" ht="14.25" customHeight="1">
      <c r="A964" s="189" t="s">
        <v>3737</v>
      </c>
      <c r="B964" s="9">
        <v>4</v>
      </c>
      <c r="C964" s="157" t="s">
        <v>3664</v>
      </c>
      <c r="N964" s="183">
        <v>5</v>
      </c>
      <c r="O964" s="7">
        <v>0.65</v>
      </c>
      <c r="R964"/>
      <c r="S964" s="228"/>
      <c r="T964" s="228"/>
      <c r="U964" s="237"/>
      <c r="V964" s="233"/>
      <c r="W964" s="20"/>
      <c r="X964" s="20"/>
      <c r="Y964" s="20"/>
      <c r="Z964" s="20"/>
      <c r="AA964" s="228"/>
      <c r="AB964" s="20"/>
      <c r="AC964" s="20"/>
      <c r="AD964" s="20"/>
      <c r="AE964" s="20"/>
      <c r="AF964" s="20"/>
      <c r="AG964" s="20"/>
      <c r="AH964" s="20"/>
      <c r="AI964" s="20"/>
      <c r="AJ964"/>
      <c r="AK964"/>
      <c r="AL964"/>
      <c r="AM964"/>
      <c r="AN964"/>
    </row>
    <row r="965" spans="1:40" ht="14.25" customHeight="1">
      <c r="A965" s="189" t="s">
        <v>3738</v>
      </c>
      <c r="B965" s="9">
        <v>6.8</v>
      </c>
      <c r="C965" s="157" t="s">
        <v>3661</v>
      </c>
      <c r="N965" s="183">
        <v>10</v>
      </c>
      <c r="O965" s="7">
        <v>0.94</v>
      </c>
      <c r="R965"/>
      <c r="S965" s="228"/>
      <c r="T965" s="228"/>
      <c r="U965" s="237"/>
      <c r="V965" s="233"/>
      <c r="W965" s="20"/>
      <c r="X965" s="20"/>
      <c r="Y965" s="20"/>
      <c r="Z965" s="20"/>
      <c r="AA965" s="228"/>
      <c r="AB965" s="20"/>
      <c r="AC965" s="20"/>
      <c r="AD965" s="20"/>
      <c r="AE965" s="20"/>
      <c r="AF965" s="20"/>
      <c r="AG965" s="20"/>
      <c r="AH965" s="20"/>
      <c r="AI965" s="20"/>
      <c r="AJ965"/>
      <c r="AK965"/>
      <c r="AL965"/>
      <c r="AM965"/>
      <c r="AN965"/>
    </row>
    <row r="966" spans="1:40" ht="14.25" customHeight="1">
      <c r="A966" s="189" t="s">
        <v>3739</v>
      </c>
      <c r="B966" s="9">
        <v>7.7</v>
      </c>
      <c r="C966" s="157" t="s">
        <v>3675</v>
      </c>
      <c r="N966" s="183">
        <v>3</v>
      </c>
      <c r="O966" s="7">
        <v>1.9</v>
      </c>
      <c r="R966"/>
      <c r="S966" s="228"/>
      <c r="T966" s="228"/>
      <c r="U966" s="237"/>
      <c r="V966" s="233"/>
      <c r="W966" s="20"/>
      <c r="X966" s="20"/>
      <c r="Y966" s="20"/>
      <c r="Z966" s="20"/>
      <c r="AA966" s="228"/>
      <c r="AB966" s="20"/>
      <c r="AC966" s="20"/>
      <c r="AD966" s="20"/>
      <c r="AE966" s="20"/>
      <c r="AF966" s="20"/>
      <c r="AG966" s="20"/>
      <c r="AH966" s="20"/>
      <c r="AI966" s="20"/>
      <c r="AJ966"/>
      <c r="AK966"/>
      <c r="AL966"/>
      <c r="AM966"/>
      <c r="AN966"/>
    </row>
    <row r="967" spans="1:40" ht="14.25" customHeight="1">
      <c r="A967" s="189" t="s">
        <v>3740</v>
      </c>
      <c r="B967" s="9">
        <v>3.3</v>
      </c>
      <c r="C967" s="157" t="s">
        <v>3725</v>
      </c>
      <c r="N967" s="183">
        <v>3</v>
      </c>
      <c r="O967" s="7">
        <v>1.2</v>
      </c>
      <c r="R967"/>
      <c r="S967" s="228"/>
      <c r="T967" s="228"/>
      <c r="U967" s="237"/>
      <c r="V967" s="233"/>
      <c r="W967" s="20"/>
      <c r="X967" s="20"/>
      <c r="Y967" s="20"/>
      <c r="Z967" s="20"/>
      <c r="AA967" s="228"/>
      <c r="AB967" s="20"/>
      <c r="AC967" s="20"/>
      <c r="AD967" s="20"/>
      <c r="AE967" s="20"/>
      <c r="AF967" s="20"/>
      <c r="AG967" s="20"/>
      <c r="AH967" s="20"/>
      <c r="AI967" s="20"/>
      <c r="AJ967"/>
      <c r="AK967"/>
      <c r="AL967"/>
      <c r="AM967"/>
      <c r="AN967"/>
    </row>
    <row r="968" spans="1:40" ht="14.25" customHeight="1">
      <c r="A968" s="189" t="s">
        <v>3741</v>
      </c>
      <c r="B968" s="9">
        <v>6.6</v>
      </c>
      <c r="C968" s="157" t="s">
        <v>3665</v>
      </c>
      <c r="N968" s="183">
        <v>3</v>
      </c>
      <c r="O968" s="7">
        <v>1</v>
      </c>
      <c r="R968"/>
      <c r="S968" s="228"/>
      <c r="T968" s="228"/>
      <c r="U968" s="237"/>
      <c r="V968" s="233"/>
      <c r="W968" s="20"/>
      <c r="X968" s="20"/>
      <c r="Y968" s="20"/>
      <c r="Z968" s="20"/>
      <c r="AA968" s="228"/>
      <c r="AB968" s="20"/>
      <c r="AC968" s="20"/>
      <c r="AD968" s="20"/>
      <c r="AE968" s="20"/>
      <c r="AF968" s="20"/>
      <c r="AG968" s="20"/>
      <c r="AH968" s="20"/>
      <c r="AI968" s="20"/>
      <c r="AJ968"/>
      <c r="AK968"/>
      <c r="AL968"/>
      <c r="AM968"/>
      <c r="AN968"/>
    </row>
    <row r="969" spans="1:40" ht="14.25" customHeight="1">
      <c r="A969" s="189" t="s">
        <v>3742</v>
      </c>
      <c r="B969" s="9">
        <v>6.2</v>
      </c>
      <c r="C969" s="157" t="s">
        <v>3667</v>
      </c>
      <c r="N969" s="183">
        <v>3</v>
      </c>
      <c r="O969" s="7">
        <v>0.65</v>
      </c>
      <c r="R969"/>
      <c r="S969" s="228"/>
      <c r="T969" s="228"/>
      <c r="U969" s="237"/>
      <c r="V969" s="233"/>
      <c r="W969" s="20"/>
      <c r="X969" s="20"/>
      <c r="Y969" s="20"/>
      <c r="Z969" s="20"/>
      <c r="AA969" s="228"/>
      <c r="AB969" s="20"/>
      <c r="AC969" s="20"/>
      <c r="AD969" s="20"/>
      <c r="AE969" s="20"/>
      <c r="AF969" s="20"/>
      <c r="AG969" s="20"/>
      <c r="AH969" s="20"/>
      <c r="AI969" s="20"/>
      <c r="AJ969"/>
      <c r="AK969"/>
      <c r="AL969"/>
      <c r="AM969"/>
      <c r="AN969"/>
    </row>
    <row r="970" spans="1:40" customFormat="1" ht="14.25" customHeight="1">
      <c r="A970" s="189" t="s">
        <v>3743</v>
      </c>
      <c r="B970" s="9">
        <v>13.7</v>
      </c>
      <c r="C970" s="157" t="s">
        <v>3662</v>
      </c>
      <c r="D970" s="183"/>
      <c r="E970" s="183"/>
      <c r="F970" s="188"/>
      <c r="G970" s="188"/>
      <c r="H970" s="183"/>
      <c r="I970" s="183"/>
      <c r="J970" s="188"/>
      <c r="K970" s="188"/>
      <c r="L970" s="9"/>
      <c r="M970" s="9"/>
      <c r="N970" s="183">
        <v>3</v>
      </c>
      <c r="O970" s="7">
        <v>0.8</v>
      </c>
      <c r="P970" s="9"/>
      <c r="Q970" s="9"/>
      <c r="S970" s="228"/>
      <c r="T970" s="228"/>
      <c r="U970" s="237"/>
      <c r="V970" s="233"/>
      <c r="W970" s="20"/>
      <c r="X970" s="20"/>
      <c r="Y970" s="20"/>
      <c r="Z970" s="20"/>
      <c r="AA970" s="228"/>
      <c r="AB970" s="20"/>
      <c r="AC970" s="20"/>
      <c r="AD970" s="20"/>
      <c r="AE970" s="20"/>
      <c r="AF970" s="20"/>
      <c r="AG970" s="20"/>
      <c r="AH970" s="20"/>
      <c r="AI970" s="20"/>
    </row>
    <row r="971" spans="1:40" customFormat="1" ht="14.25" customHeight="1">
      <c r="A971" s="189" t="s">
        <v>3744</v>
      </c>
      <c r="B971" s="9">
        <v>5.0999999999999996</v>
      </c>
      <c r="C971" s="157" t="s">
        <v>3727</v>
      </c>
      <c r="D971" s="183"/>
      <c r="E971" s="183"/>
      <c r="F971" s="188"/>
      <c r="G971" s="188"/>
      <c r="H971" s="183"/>
      <c r="I971" s="183"/>
      <c r="J971" s="188"/>
      <c r="K971" s="188"/>
      <c r="L971" s="9"/>
      <c r="M971" s="9"/>
      <c r="N971" s="183">
        <v>3</v>
      </c>
      <c r="O971" s="7">
        <v>1.5</v>
      </c>
      <c r="P971" s="9"/>
      <c r="Q971" s="9"/>
      <c r="S971" s="228"/>
      <c r="T971" s="228"/>
      <c r="U971" s="237"/>
      <c r="V971" s="233"/>
      <c r="W971" s="20"/>
      <c r="X971" s="20"/>
      <c r="Y971" s="20"/>
      <c r="Z971" s="20"/>
      <c r="AA971" s="228"/>
      <c r="AB971" s="20"/>
      <c r="AC971" s="20"/>
      <c r="AD971" s="20"/>
      <c r="AE971" s="20"/>
      <c r="AF971" s="20"/>
      <c r="AG971" s="20"/>
      <c r="AH971" s="20"/>
      <c r="AI971" s="20"/>
    </row>
    <row r="972" spans="1:40" customFormat="1" ht="14.25" customHeight="1">
      <c r="A972" s="189" t="s">
        <v>3745</v>
      </c>
      <c r="B972" s="9">
        <v>7.2</v>
      </c>
      <c r="C972" s="157" t="s">
        <v>3674</v>
      </c>
      <c r="D972" s="183"/>
      <c r="E972" s="183"/>
      <c r="F972" s="188"/>
      <c r="G972" s="188"/>
      <c r="H972" s="183"/>
      <c r="I972" s="183"/>
      <c r="J972" s="188"/>
      <c r="K972" s="188"/>
      <c r="L972" s="9"/>
      <c r="M972" s="9"/>
      <c r="N972" s="183">
        <v>3</v>
      </c>
      <c r="O972" s="7">
        <v>1.5</v>
      </c>
      <c r="P972" s="9"/>
      <c r="Q972" s="9"/>
      <c r="S972" s="228"/>
      <c r="T972" s="228"/>
      <c r="U972" s="237"/>
      <c r="V972" s="233"/>
      <c r="W972" s="20"/>
      <c r="X972" s="20"/>
      <c r="Y972" s="20"/>
      <c r="Z972" s="20"/>
      <c r="AA972" s="228"/>
      <c r="AB972" s="20"/>
      <c r="AC972" s="20"/>
      <c r="AD972" s="20"/>
      <c r="AE972" s="20"/>
      <c r="AF972" s="20"/>
      <c r="AG972" s="20"/>
      <c r="AH972" s="20"/>
      <c r="AI972" s="20"/>
    </row>
    <row r="973" spans="1:40" customFormat="1" ht="14.25" customHeight="1">
      <c r="A973" s="189" t="s">
        <v>3746</v>
      </c>
      <c r="B973" s="9">
        <v>7.3</v>
      </c>
      <c r="C973" s="157" t="s">
        <v>3672</v>
      </c>
      <c r="D973" s="183"/>
      <c r="E973" s="183"/>
      <c r="F973" s="188"/>
      <c r="G973" s="188"/>
      <c r="H973" s="183"/>
      <c r="I973" s="183"/>
      <c r="J973" s="188"/>
      <c r="K973" s="188"/>
      <c r="L973" s="9"/>
      <c r="M973" s="9"/>
      <c r="N973" s="183">
        <v>3</v>
      </c>
      <c r="O973" s="7">
        <v>0.59</v>
      </c>
      <c r="P973" s="9"/>
      <c r="Q973" s="9"/>
      <c r="S973" s="228"/>
      <c r="T973" s="228"/>
      <c r="U973" s="237"/>
      <c r="V973" s="233"/>
      <c r="W973" s="20"/>
      <c r="X973" s="20"/>
      <c r="Y973" s="20"/>
      <c r="Z973" s="20"/>
      <c r="AA973" s="228"/>
      <c r="AB973" s="20"/>
      <c r="AC973" s="20"/>
      <c r="AD973" s="20"/>
      <c r="AE973" s="20"/>
      <c r="AF973" s="20"/>
      <c r="AG973" s="20"/>
      <c r="AH973" s="20"/>
      <c r="AI973" s="20"/>
    </row>
    <row r="974" spans="1:40" customFormat="1" ht="14.25" customHeight="1">
      <c r="A974" s="189" t="s">
        <v>3747</v>
      </c>
      <c r="B974" s="9">
        <v>9</v>
      </c>
      <c r="C974" s="157" t="s">
        <v>3670</v>
      </c>
      <c r="D974" s="184"/>
      <c r="E974" s="184"/>
      <c r="F974" s="188"/>
      <c r="G974" s="188"/>
      <c r="H974" s="184"/>
      <c r="I974" s="184"/>
      <c r="J974" s="188"/>
      <c r="K974" s="188"/>
      <c r="L974" s="3"/>
      <c r="M974" s="3"/>
      <c r="N974" s="184">
        <v>10</v>
      </c>
      <c r="O974" s="7">
        <v>0.89</v>
      </c>
      <c r="P974" s="9"/>
      <c r="Q974" s="9"/>
      <c r="S974" s="228"/>
      <c r="T974" s="228"/>
      <c r="U974" s="237"/>
      <c r="V974" s="233"/>
      <c r="W974" s="20"/>
      <c r="X974" s="20"/>
      <c r="Y974" s="20"/>
      <c r="Z974" s="20"/>
      <c r="AA974" s="228"/>
      <c r="AB974" s="20"/>
      <c r="AC974" s="20"/>
      <c r="AD974" s="20"/>
      <c r="AE974" s="20"/>
      <c r="AF974" s="20"/>
      <c r="AG974" s="20"/>
      <c r="AH974" s="20"/>
      <c r="AI974" s="20"/>
    </row>
    <row r="975" spans="1:40" customFormat="1" ht="14.25" customHeight="1">
      <c r="A975" s="189" t="s">
        <v>3748</v>
      </c>
      <c r="B975" s="9">
        <v>14.1</v>
      </c>
      <c r="C975" s="157" t="s">
        <v>3666</v>
      </c>
      <c r="D975" s="183"/>
      <c r="E975" s="183"/>
      <c r="F975" s="188"/>
      <c r="G975" s="188"/>
      <c r="H975" s="183"/>
      <c r="I975" s="183"/>
      <c r="J975" s="188"/>
      <c r="K975" s="188"/>
      <c r="L975" s="9"/>
      <c r="M975" s="9"/>
      <c r="N975" s="183">
        <v>3</v>
      </c>
      <c r="O975" s="7">
        <v>1.8</v>
      </c>
      <c r="P975" s="9"/>
      <c r="Q975" s="9"/>
      <c r="S975" s="228"/>
      <c r="T975" s="228"/>
      <c r="U975" s="237"/>
      <c r="V975" s="233"/>
      <c r="W975" s="20"/>
      <c r="X975" s="20"/>
      <c r="Y975" s="20"/>
      <c r="Z975" s="20"/>
      <c r="AA975" s="228"/>
      <c r="AB975" s="20"/>
      <c r="AC975" s="20"/>
      <c r="AD975" s="20"/>
      <c r="AE975" s="20"/>
      <c r="AF975" s="20"/>
      <c r="AG975" s="20"/>
      <c r="AH975" s="20"/>
      <c r="AI975" s="20"/>
    </row>
    <row r="976" spans="1:40" customFormat="1" ht="14.25" customHeight="1">
      <c r="A976" s="189" t="s">
        <v>3749</v>
      </c>
      <c r="B976" s="9">
        <v>8.9</v>
      </c>
      <c r="C976" s="157" t="s">
        <v>3673</v>
      </c>
      <c r="D976" s="183"/>
      <c r="E976" s="183"/>
      <c r="F976" s="188"/>
      <c r="G976" s="188"/>
      <c r="H976" s="183"/>
      <c r="I976" s="183"/>
      <c r="J976" s="188"/>
      <c r="K976" s="188"/>
      <c r="L976" s="9"/>
      <c r="M976" s="9"/>
      <c r="N976" s="183">
        <v>3</v>
      </c>
      <c r="O976" s="7">
        <v>1.6</v>
      </c>
      <c r="P976" s="9"/>
      <c r="Q976" s="9"/>
      <c r="S976" s="228"/>
      <c r="T976" s="228"/>
      <c r="U976" s="237"/>
      <c r="V976" s="233"/>
      <c r="W976" s="20"/>
      <c r="X976" s="20"/>
      <c r="Y976" s="20"/>
      <c r="Z976" s="20"/>
      <c r="AA976" s="228"/>
      <c r="AB976" s="20"/>
      <c r="AC976" s="20"/>
      <c r="AD976" s="20"/>
      <c r="AE976" s="20"/>
      <c r="AF976" s="20"/>
      <c r="AG976" s="20"/>
      <c r="AH976" s="20"/>
      <c r="AI976" s="20"/>
    </row>
    <row r="977" spans="1:35" customFormat="1" ht="14.25" customHeight="1">
      <c r="A977" s="189" t="s">
        <v>3750</v>
      </c>
      <c r="B977" s="9">
        <v>6.8</v>
      </c>
      <c r="C977" s="157" t="s">
        <v>3669</v>
      </c>
      <c r="D977" s="183"/>
      <c r="E977" s="183"/>
      <c r="F977" s="188"/>
      <c r="G977" s="188"/>
      <c r="H977" s="183"/>
      <c r="I977" s="183"/>
      <c r="J977" s="188"/>
      <c r="K977" s="188"/>
      <c r="L977" s="9"/>
      <c r="M977" s="9"/>
      <c r="N977" s="183">
        <v>3</v>
      </c>
      <c r="O977" s="7">
        <v>0.8</v>
      </c>
      <c r="P977" s="9"/>
      <c r="Q977" s="9"/>
      <c r="S977" s="228"/>
      <c r="T977" s="228"/>
      <c r="U977" s="237"/>
      <c r="V977" s="233"/>
      <c r="W977" s="20"/>
      <c r="X977" s="20"/>
      <c r="Y977" s="20"/>
      <c r="Z977" s="20"/>
      <c r="AA977" s="228"/>
      <c r="AB977" s="20"/>
      <c r="AC977" s="20"/>
      <c r="AD977" s="20"/>
      <c r="AE977" s="20"/>
      <c r="AF977" s="20"/>
      <c r="AG977" s="20"/>
      <c r="AH977" s="20"/>
      <c r="AI977" s="20"/>
    </row>
    <row r="978" spans="1:35" customFormat="1" ht="14.25" customHeight="1">
      <c r="A978" s="189" t="s">
        <v>3831</v>
      </c>
      <c r="B978" s="9">
        <v>5.9</v>
      </c>
      <c r="C978" s="157" t="s">
        <v>3650</v>
      </c>
      <c r="D978" s="183"/>
      <c r="E978" s="183"/>
      <c r="F978" s="188"/>
      <c r="G978" s="188"/>
      <c r="H978" s="183"/>
      <c r="I978" s="183"/>
      <c r="J978" s="188"/>
      <c r="K978" s="188"/>
      <c r="L978" s="9"/>
      <c r="M978" s="9"/>
      <c r="N978" s="183">
        <v>10</v>
      </c>
      <c r="O978" s="7">
        <v>0.45</v>
      </c>
      <c r="P978" s="9"/>
      <c r="Q978" s="9"/>
      <c r="S978" s="228"/>
      <c r="T978" s="228"/>
      <c r="U978" s="237"/>
      <c r="V978" s="233"/>
      <c r="W978" s="20"/>
      <c r="X978" s="20"/>
      <c r="Y978" s="20"/>
      <c r="Z978" s="20"/>
      <c r="AA978" s="228"/>
      <c r="AB978" s="20"/>
      <c r="AC978" s="20"/>
      <c r="AD978" s="20"/>
      <c r="AE978" s="20"/>
      <c r="AF978" s="20"/>
      <c r="AG978" s="20"/>
      <c r="AH978" s="20"/>
      <c r="AI978" s="20"/>
    </row>
    <row r="979" spans="1:35" customFormat="1" ht="14.25" customHeight="1">
      <c r="A979" s="189" t="s">
        <v>3751</v>
      </c>
      <c r="B979" s="9">
        <v>4.8</v>
      </c>
      <c r="C979" s="31" t="s">
        <v>3833</v>
      </c>
      <c r="D979" s="183"/>
      <c r="E979" s="183"/>
      <c r="F979" s="188"/>
      <c r="G979" s="188"/>
      <c r="H979" s="183"/>
      <c r="I979" s="183"/>
      <c r="J979" s="188"/>
      <c r="K979" s="188"/>
      <c r="L979" s="9"/>
      <c r="M979" s="9"/>
      <c r="N979" s="183">
        <v>5</v>
      </c>
      <c r="O979" s="7">
        <v>0.8</v>
      </c>
      <c r="P979" s="9"/>
      <c r="Q979" s="9"/>
      <c r="S979" s="228"/>
      <c r="T979" s="228"/>
      <c r="U979" s="237"/>
      <c r="V979" s="233"/>
      <c r="W979" s="20"/>
      <c r="X979" s="20"/>
      <c r="Y979" s="20"/>
      <c r="Z979" s="20"/>
      <c r="AA979" s="228"/>
      <c r="AB979" s="20"/>
      <c r="AC979" s="20"/>
      <c r="AD979" s="20"/>
      <c r="AE979" s="20"/>
      <c r="AF979" s="20"/>
      <c r="AG979" s="20"/>
      <c r="AH979" s="20"/>
      <c r="AI979" s="20"/>
    </row>
    <row r="980" spans="1:35" customFormat="1" ht="14.25" customHeight="1">
      <c r="A980" s="189" t="s">
        <v>3752</v>
      </c>
      <c r="B980" s="9">
        <v>3.5</v>
      </c>
      <c r="C980" s="157" t="s">
        <v>3645</v>
      </c>
      <c r="D980" s="183"/>
      <c r="E980" s="183"/>
      <c r="F980" s="188"/>
      <c r="G980" s="188"/>
      <c r="H980" s="183"/>
      <c r="I980" s="183"/>
      <c r="J980" s="188"/>
      <c r="K980" s="188"/>
      <c r="L980" s="9"/>
      <c r="M980" s="9"/>
      <c r="N980" s="183">
        <v>6</v>
      </c>
      <c r="O980" s="7">
        <v>0.2</v>
      </c>
      <c r="P980" s="9"/>
      <c r="Q980" s="9"/>
      <c r="S980" s="228"/>
      <c r="T980" s="228"/>
      <c r="U980" s="237"/>
      <c r="V980" s="233"/>
      <c r="W980" s="20"/>
      <c r="X980" s="20"/>
      <c r="Y980" s="20"/>
      <c r="Z980" s="20"/>
      <c r="AA980" s="228"/>
      <c r="AB980" s="20"/>
      <c r="AC980" s="20"/>
      <c r="AD980" s="20"/>
      <c r="AE980" s="20"/>
      <c r="AF980" s="20"/>
      <c r="AG980" s="20"/>
      <c r="AH980" s="20"/>
      <c r="AI980" s="20"/>
    </row>
    <row r="981" spans="1:35" customFormat="1" ht="14.25" customHeight="1">
      <c r="A981" s="190" t="s">
        <v>3753</v>
      </c>
      <c r="B981" s="9">
        <v>5</v>
      </c>
      <c r="C981" s="160" t="s">
        <v>3684</v>
      </c>
      <c r="D981" s="183"/>
      <c r="E981" s="183"/>
      <c r="F981" s="188"/>
      <c r="G981" s="188"/>
      <c r="H981" s="183"/>
      <c r="I981" s="183"/>
      <c r="J981" s="188"/>
      <c r="K981" s="188"/>
      <c r="L981" s="9"/>
      <c r="M981" s="9"/>
      <c r="N981" s="183">
        <v>100</v>
      </c>
      <c r="O981" s="198">
        <v>0.3</v>
      </c>
      <c r="P981" s="225"/>
      <c r="Q981" s="225"/>
      <c r="S981" s="228"/>
      <c r="T981" s="228"/>
      <c r="U981" s="237"/>
      <c r="V981" s="233"/>
      <c r="W981" s="20"/>
      <c r="X981" s="20"/>
      <c r="Y981" s="20"/>
      <c r="Z981" s="20"/>
      <c r="AA981" s="228"/>
      <c r="AB981" s="20"/>
      <c r="AC981" s="20"/>
      <c r="AD981" s="20"/>
      <c r="AE981" s="20"/>
      <c r="AF981" s="20"/>
      <c r="AG981" s="20"/>
      <c r="AH981" s="20"/>
      <c r="AI981" s="20"/>
    </row>
    <row r="982" spans="1:35" customFormat="1" ht="14.25" customHeight="1">
      <c r="A982" s="189" t="s">
        <v>3754</v>
      </c>
      <c r="B982" s="9">
        <v>7</v>
      </c>
      <c r="C982" s="157" t="s">
        <v>3649</v>
      </c>
      <c r="D982" s="183"/>
      <c r="E982" s="183"/>
      <c r="F982" s="188"/>
      <c r="G982" s="188"/>
      <c r="H982" s="183"/>
      <c r="I982" s="183"/>
      <c r="J982" s="188"/>
      <c r="K982" s="188"/>
      <c r="L982" s="9"/>
      <c r="M982" s="9"/>
      <c r="N982" s="183">
        <v>3</v>
      </c>
      <c r="O982" s="7">
        <v>1.3</v>
      </c>
      <c r="P982" s="9"/>
      <c r="Q982" s="9"/>
      <c r="S982" s="228"/>
      <c r="T982" s="228"/>
      <c r="U982" s="237"/>
      <c r="V982" s="233"/>
      <c r="W982" s="20"/>
      <c r="X982" s="20"/>
      <c r="Y982" s="20"/>
      <c r="Z982" s="20"/>
      <c r="AA982" s="228"/>
      <c r="AB982" s="20"/>
      <c r="AC982" s="20"/>
      <c r="AD982" s="20"/>
      <c r="AE982" s="20"/>
      <c r="AF982" s="20"/>
      <c r="AG982" s="20"/>
      <c r="AH982" s="20"/>
      <c r="AI982" s="20"/>
    </row>
    <row r="983" spans="1:35" customFormat="1" ht="14.25" customHeight="1">
      <c r="A983" s="189" t="s">
        <v>3755</v>
      </c>
      <c r="B983" s="9">
        <v>3.2</v>
      </c>
      <c r="C983" s="157" t="s">
        <v>3651</v>
      </c>
      <c r="D983" s="183"/>
      <c r="E983" s="183"/>
      <c r="F983" s="188"/>
      <c r="G983" s="188"/>
      <c r="H983" s="183"/>
      <c r="I983" s="183"/>
      <c r="J983" s="188"/>
      <c r="K983" s="188"/>
      <c r="L983" s="9"/>
      <c r="M983" s="9"/>
      <c r="N983" s="183">
        <v>50</v>
      </c>
      <c r="O983" s="7">
        <v>0.22</v>
      </c>
      <c r="P983" s="9"/>
      <c r="Q983" s="9"/>
      <c r="S983" s="228"/>
      <c r="T983" s="228"/>
      <c r="U983" s="237"/>
      <c r="V983" s="233"/>
      <c r="W983" s="20"/>
      <c r="X983" s="20"/>
      <c r="Y983" s="20"/>
      <c r="Z983" s="20"/>
      <c r="AA983" s="228"/>
      <c r="AB983" s="20"/>
      <c r="AC983" s="20"/>
      <c r="AD983" s="20"/>
      <c r="AE983" s="20"/>
      <c r="AF983" s="20"/>
      <c r="AG983" s="20"/>
      <c r="AH983" s="20"/>
      <c r="AI983" s="20"/>
    </row>
    <row r="984" spans="1:35" customFormat="1" ht="14.25" customHeight="1">
      <c r="A984" s="189" t="s">
        <v>3756</v>
      </c>
      <c r="B984" s="9">
        <v>4.9000000000000004</v>
      </c>
      <c r="C984" s="157" t="s">
        <v>3648</v>
      </c>
      <c r="D984" s="183"/>
      <c r="E984" s="183"/>
      <c r="F984" s="188"/>
      <c r="G984" s="188"/>
      <c r="H984" s="183"/>
      <c r="I984" s="183"/>
      <c r="J984" s="188"/>
      <c r="K984" s="188"/>
      <c r="L984" s="9"/>
      <c r="M984" s="9"/>
      <c r="N984" s="183">
        <v>5</v>
      </c>
      <c r="O984" s="7">
        <v>0.7</v>
      </c>
      <c r="P984" s="9"/>
      <c r="Q984" s="9"/>
      <c r="S984" s="228"/>
      <c r="T984" s="228"/>
      <c r="U984" s="237"/>
      <c r="V984" s="233"/>
      <c r="W984" s="20"/>
      <c r="X984" s="20"/>
      <c r="Y984" s="20"/>
      <c r="Z984" s="20"/>
      <c r="AA984" s="228"/>
      <c r="AB984" s="20"/>
      <c r="AC984" s="20"/>
      <c r="AD984" s="20"/>
      <c r="AE984" s="20"/>
      <c r="AF984" s="20"/>
      <c r="AG984" s="20"/>
      <c r="AH984" s="20"/>
      <c r="AI984" s="20"/>
    </row>
    <row r="985" spans="1:35" customFormat="1" ht="14.25" customHeight="1">
      <c r="A985" s="190" t="s">
        <v>3757</v>
      </c>
      <c r="B985" s="9">
        <v>5</v>
      </c>
      <c r="C985" s="160" t="s">
        <v>3718</v>
      </c>
      <c r="D985" s="183"/>
      <c r="E985" s="183"/>
      <c r="F985" s="188"/>
      <c r="G985" s="188"/>
      <c r="H985" s="183"/>
      <c r="I985" s="183"/>
      <c r="J985" s="188"/>
      <c r="K985" s="188"/>
      <c r="L985" s="9"/>
      <c r="M985" s="9"/>
      <c r="N985" s="183">
        <v>100</v>
      </c>
      <c r="O985" s="198">
        <v>0.3</v>
      </c>
      <c r="P985" s="225"/>
      <c r="Q985" s="225"/>
      <c r="S985" s="228"/>
      <c r="T985" s="228"/>
      <c r="U985" s="237"/>
      <c r="V985" s="233"/>
      <c r="W985" s="20"/>
      <c r="X985" s="20"/>
      <c r="Y985" s="20"/>
      <c r="Z985" s="20"/>
      <c r="AA985" s="228"/>
      <c r="AB985" s="20"/>
      <c r="AC985" s="20"/>
      <c r="AD985" s="20"/>
      <c r="AE985" s="20"/>
      <c r="AF985" s="20"/>
      <c r="AG985" s="20"/>
      <c r="AH985" s="20"/>
      <c r="AI985" s="20"/>
    </row>
    <row r="986" spans="1:35" customFormat="1" ht="14.25" customHeight="1">
      <c r="A986" s="190" t="s">
        <v>3758</v>
      </c>
      <c r="B986" s="9">
        <v>8</v>
      </c>
      <c r="C986" s="160" t="s">
        <v>3722</v>
      </c>
      <c r="D986" s="183"/>
      <c r="E986" s="183"/>
      <c r="F986" s="188"/>
      <c r="G986" s="188"/>
      <c r="H986" s="183"/>
      <c r="I986" s="183"/>
      <c r="J986" s="188"/>
      <c r="K986" s="188"/>
      <c r="L986" s="9"/>
      <c r="M986" s="9"/>
      <c r="N986" s="183">
        <v>100</v>
      </c>
      <c r="O986" s="198">
        <v>0.4</v>
      </c>
      <c r="P986" s="225"/>
      <c r="Q986" s="225"/>
      <c r="S986" s="228"/>
      <c r="T986" s="228"/>
      <c r="U986" s="237"/>
      <c r="V986" s="233"/>
      <c r="W986" s="20"/>
      <c r="X986" s="20"/>
      <c r="Y986" s="20"/>
      <c r="Z986" s="20"/>
      <c r="AA986" s="228"/>
      <c r="AB986" s="20"/>
      <c r="AC986" s="20"/>
      <c r="AD986" s="20"/>
      <c r="AE986" s="20"/>
      <c r="AF986" s="20"/>
      <c r="AG986" s="20"/>
      <c r="AH986" s="20"/>
      <c r="AI986" s="20"/>
    </row>
    <row r="987" spans="1:35" customFormat="1" ht="14.25" customHeight="1">
      <c r="A987" s="189" t="s">
        <v>3759</v>
      </c>
      <c r="B987" s="9">
        <v>7.7</v>
      </c>
      <c r="C987" s="157" t="s">
        <v>3654</v>
      </c>
      <c r="D987" s="183"/>
      <c r="E987" s="183"/>
      <c r="F987" s="188"/>
      <c r="G987" s="188"/>
      <c r="H987" s="183"/>
      <c r="I987" s="183"/>
      <c r="J987" s="188"/>
      <c r="K987" s="188"/>
      <c r="L987" s="9"/>
      <c r="M987" s="9"/>
      <c r="N987" s="183">
        <v>5</v>
      </c>
      <c r="O987" s="7">
        <v>1.2</v>
      </c>
      <c r="P987" s="9"/>
      <c r="Q987" s="9"/>
      <c r="S987" s="228"/>
      <c r="T987" s="228"/>
      <c r="U987" s="237"/>
      <c r="V987" s="233"/>
      <c r="W987" s="20"/>
      <c r="X987" s="20"/>
      <c r="Y987" s="20"/>
      <c r="Z987" s="20"/>
      <c r="AA987" s="228"/>
      <c r="AB987" s="20"/>
      <c r="AC987" s="20"/>
      <c r="AD987" s="20"/>
      <c r="AE987" s="20"/>
      <c r="AF987" s="20"/>
      <c r="AG987" s="20"/>
      <c r="AH987" s="20"/>
      <c r="AI987" s="20"/>
    </row>
    <row r="988" spans="1:35" customFormat="1" ht="14.25" customHeight="1">
      <c r="A988" s="189" t="s">
        <v>3760</v>
      </c>
      <c r="B988" s="9">
        <v>7.2</v>
      </c>
      <c r="C988" s="157" t="s">
        <v>3653</v>
      </c>
      <c r="D988" s="188"/>
      <c r="E988" s="188"/>
      <c r="F988" s="188"/>
      <c r="G988" s="188"/>
      <c r="H988" s="188"/>
      <c r="I988" s="188"/>
      <c r="J988" s="188"/>
      <c r="K988" s="188"/>
      <c r="L988" s="119"/>
      <c r="M988" s="119"/>
      <c r="N988" s="188">
        <v>5</v>
      </c>
      <c r="O988" s="7">
        <v>1.1000000000000001</v>
      </c>
      <c r="P988" s="9"/>
      <c r="Q988" s="9"/>
      <c r="S988" s="228"/>
      <c r="T988" s="228"/>
      <c r="U988" s="237"/>
      <c r="V988" s="233"/>
      <c r="W988" s="20"/>
      <c r="X988" s="20"/>
      <c r="Y988" s="20"/>
      <c r="Z988" s="20"/>
      <c r="AA988" s="228"/>
      <c r="AB988" s="20"/>
      <c r="AC988" s="20"/>
      <c r="AD988" s="20"/>
      <c r="AE988" s="20"/>
      <c r="AF988" s="20"/>
      <c r="AG988" s="20"/>
      <c r="AH988" s="20"/>
      <c r="AI988" s="20"/>
    </row>
    <row r="989" spans="1:35" customFormat="1" ht="14.25" customHeight="1">
      <c r="A989" s="189" t="s">
        <v>3761</v>
      </c>
      <c r="B989" s="9">
        <v>7</v>
      </c>
      <c r="C989" s="157" t="s">
        <v>3644</v>
      </c>
      <c r="D989" s="183"/>
      <c r="E989" s="183"/>
      <c r="F989" s="188"/>
      <c r="G989" s="188"/>
      <c r="H989" s="183"/>
      <c r="I989" s="183"/>
      <c r="J989" s="188"/>
      <c r="K989" s="188"/>
      <c r="L989" s="9"/>
      <c r="M989" s="9"/>
      <c r="N989" s="183">
        <v>5</v>
      </c>
      <c r="O989" s="7">
        <v>0.5</v>
      </c>
      <c r="P989" s="9"/>
      <c r="Q989" s="9"/>
      <c r="S989" s="228"/>
      <c r="T989" s="228"/>
      <c r="U989" s="237"/>
      <c r="V989" s="233"/>
      <c r="W989" s="20"/>
      <c r="X989" s="20"/>
      <c r="Y989" s="20"/>
      <c r="Z989" s="20"/>
      <c r="AA989" s="228"/>
      <c r="AB989" s="20"/>
      <c r="AC989" s="20"/>
      <c r="AD989" s="20"/>
      <c r="AE989" s="20"/>
      <c r="AF989" s="20"/>
      <c r="AG989" s="20"/>
      <c r="AH989" s="20"/>
      <c r="AI989" s="20"/>
    </row>
    <row r="990" spans="1:35" customFormat="1" ht="14.25" customHeight="1">
      <c r="A990" s="189" t="s">
        <v>3762</v>
      </c>
      <c r="B990" s="9">
        <v>6.2</v>
      </c>
      <c r="C990" s="157" t="s">
        <v>3656</v>
      </c>
      <c r="D990" s="183"/>
      <c r="E990" s="183"/>
      <c r="F990" s="188"/>
      <c r="G990" s="188"/>
      <c r="H990" s="183"/>
      <c r="I990" s="183"/>
      <c r="J990" s="188"/>
      <c r="K990" s="188"/>
      <c r="L990" s="9"/>
      <c r="M990" s="9"/>
      <c r="N990" s="183">
        <v>3</v>
      </c>
      <c r="O990" s="7">
        <v>1.3</v>
      </c>
      <c r="P990" s="9"/>
      <c r="Q990" s="9"/>
      <c r="S990" s="228"/>
      <c r="T990" s="228"/>
      <c r="U990" s="237"/>
      <c r="V990" s="233"/>
      <c r="W990" s="20"/>
      <c r="X990" s="20"/>
      <c r="Y990" s="20"/>
      <c r="Z990" s="20"/>
      <c r="AA990" s="228"/>
      <c r="AB990" s="20"/>
      <c r="AC990" s="20"/>
      <c r="AD990" s="20"/>
      <c r="AE990" s="20"/>
      <c r="AF990" s="20"/>
      <c r="AG990" s="20"/>
      <c r="AH990" s="20"/>
      <c r="AI990" s="20"/>
    </row>
    <row r="991" spans="1:35" customFormat="1" ht="14.25" customHeight="1">
      <c r="A991" s="189" t="s">
        <v>3763</v>
      </c>
      <c r="B991" s="9">
        <v>7.2</v>
      </c>
      <c r="C991" s="157" t="s">
        <v>3657</v>
      </c>
      <c r="D991" s="183"/>
      <c r="E991" s="183"/>
      <c r="F991" s="188"/>
      <c r="G991" s="188"/>
      <c r="H991" s="183"/>
      <c r="I991" s="183"/>
      <c r="J991" s="188"/>
      <c r="K991" s="188"/>
      <c r="L991" s="9"/>
      <c r="M991" s="9"/>
      <c r="N991" s="183">
        <v>5</v>
      </c>
      <c r="O991" s="7">
        <v>1.1000000000000001</v>
      </c>
      <c r="P991" s="9"/>
      <c r="Q991" s="9"/>
      <c r="S991" s="228"/>
      <c r="T991" s="228"/>
      <c r="U991" s="237"/>
      <c r="V991" s="233"/>
      <c r="W991" s="20"/>
      <c r="X991" s="20"/>
      <c r="Y991" s="20"/>
      <c r="Z991" s="20"/>
      <c r="AA991" s="228"/>
      <c r="AB991" s="20"/>
      <c r="AC991" s="20"/>
      <c r="AD991" s="20"/>
      <c r="AE991" s="20"/>
      <c r="AF991" s="20"/>
      <c r="AG991" s="20"/>
      <c r="AH991" s="20"/>
      <c r="AI991" s="20"/>
    </row>
    <row r="992" spans="1:35" customFormat="1" ht="14.25" customHeight="1">
      <c r="A992" s="189" t="s">
        <v>3764</v>
      </c>
      <c r="B992" s="9">
        <v>8.9</v>
      </c>
      <c r="C992" s="157" t="s">
        <v>3655</v>
      </c>
      <c r="D992" s="183"/>
      <c r="E992" s="183"/>
      <c r="F992" s="188"/>
      <c r="G992" s="188"/>
      <c r="H992" s="183"/>
      <c r="I992" s="183"/>
      <c r="J992" s="188"/>
      <c r="K992" s="188"/>
      <c r="L992" s="9"/>
      <c r="M992" s="9"/>
      <c r="N992" s="183">
        <v>3</v>
      </c>
      <c r="O992" s="7">
        <v>1.6</v>
      </c>
      <c r="P992" s="9"/>
      <c r="Q992" s="9"/>
      <c r="S992" s="228"/>
      <c r="T992" s="228"/>
      <c r="U992" s="237"/>
      <c r="V992" s="233"/>
      <c r="W992" s="20"/>
      <c r="X992" s="20"/>
      <c r="Y992" s="20"/>
      <c r="Z992" s="20"/>
      <c r="AA992" s="228"/>
      <c r="AB992" s="20"/>
      <c r="AC992" s="20"/>
      <c r="AD992" s="20"/>
      <c r="AE992" s="20"/>
      <c r="AF992" s="20"/>
      <c r="AG992" s="20"/>
      <c r="AH992" s="20"/>
      <c r="AI992" s="20"/>
    </row>
    <row r="993" spans="1:35" customFormat="1" ht="14.25" customHeight="1">
      <c r="A993" s="189" t="s">
        <v>3765</v>
      </c>
      <c r="B993" s="9">
        <v>7.5</v>
      </c>
      <c r="C993" s="157" t="s">
        <v>3647</v>
      </c>
      <c r="D993" s="183"/>
      <c r="E993" s="183"/>
      <c r="F993" s="188"/>
      <c r="G993" s="188"/>
      <c r="H993" s="183"/>
      <c r="I993" s="183"/>
      <c r="J993" s="188"/>
      <c r="K993" s="188"/>
      <c r="L993" s="9"/>
      <c r="M993" s="9"/>
      <c r="N993" s="183">
        <v>3</v>
      </c>
      <c r="O993" s="7">
        <v>0.9</v>
      </c>
      <c r="P993" s="9"/>
      <c r="Q993" s="9"/>
      <c r="S993" s="228"/>
      <c r="T993" s="228"/>
      <c r="U993" s="237"/>
      <c r="V993" s="233"/>
      <c r="W993" s="20"/>
      <c r="X993" s="20"/>
      <c r="Y993" s="20"/>
      <c r="Z993" s="20"/>
      <c r="AA993" s="228"/>
      <c r="AB993" s="20"/>
      <c r="AC993" s="20"/>
      <c r="AD993" s="20"/>
      <c r="AE993" s="20"/>
      <c r="AF993" s="20"/>
      <c r="AG993" s="20"/>
      <c r="AH993" s="20"/>
      <c r="AI993" s="20"/>
    </row>
    <row r="994" spans="1:35" customFormat="1" ht="14.25" customHeight="1">
      <c r="A994" s="189" t="s">
        <v>3766</v>
      </c>
      <c r="B994" s="9">
        <v>10.5</v>
      </c>
      <c r="C994" s="157" t="s">
        <v>3659</v>
      </c>
      <c r="D994" s="183"/>
      <c r="E994" s="183"/>
      <c r="F994" s="188"/>
      <c r="G994" s="188"/>
      <c r="H994" s="183"/>
      <c r="I994" s="183"/>
      <c r="J994" s="188"/>
      <c r="K994" s="188"/>
      <c r="L994" s="9"/>
      <c r="M994" s="9"/>
      <c r="N994" s="183">
        <v>10</v>
      </c>
      <c r="O994" s="7">
        <v>0.76</v>
      </c>
      <c r="P994" s="9"/>
      <c r="Q994" s="9"/>
      <c r="S994" s="228"/>
      <c r="T994" s="228"/>
      <c r="U994" s="237"/>
      <c r="V994" s="233"/>
      <c r="W994" s="20"/>
      <c r="X994" s="20"/>
      <c r="Y994" s="20"/>
      <c r="Z994" s="20"/>
      <c r="AA994" s="228"/>
      <c r="AB994" s="20"/>
      <c r="AC994" s="20"/>
      <c r="AD994" s="20"/>
      <c r="AE994" s="20"/>
      <c r="AF994" s="20"/>
      <c r="AG994" s="20"/>
      <c r="AH994" s="20"/>
      <c r="AI994" s="20"/>
    </row>
    <row r="995" spans="1:35" customFormat="1" ht="14.25" customHeight="1">
      <c r="A995" s="189" t="s">
        <v>3767</v>
      </c>
      <c r="B995" s="9">
        <v>7.7</v>
      </c>
      <c r="C995" s="157" t="s">
        <v>3652</v>
      </c>
      <c r="D995" s="183"/>
      <c r="E995" s="183"/>
      <c r="F995" s="188"/>
      <c r="G995" s="188"/>
      <c r="H995" s="183"/>
      <c r="I995" s="183"/>
      <c r="J995" s="188"/>
      <c r="K995" s="188"/>
      <c r="L995" s="9"/>
      <c r="M995" s="9"/>
      <c r="N995" s="183">
        <v>5</v>
      </c>
      <c r="O995" s="7">
        <v>0.9</v>
      </c>
      <c r="P995" s="9"/>
      <c r="Q995" s="9"/>
      <c r="S995" s="228"/>
      <c r="T995" s="228"/>
      <c r="U995" s="237"/>
      <c r="V995" s="233"/>
      <c r="W995" s="20"/>
      <c r="X995" s="20"/>
      <c r="Y995" s="20"/>
      <c r="Z995" s="20"/>
      <c r="AA995" s="228"/>
      <c r="AB995" s="20"/>
      <c r="AC995" s="20"/>
      <c r="AD995" s="20"/>
      <c r="AE995" s="20"/>
      <c r="AF995" s="20"/>
      <c r="AG995" s="20"/>
      <c r="AH995" s="20"/>
      <c r="AI995" s="20"/>
    </row>
    <row r="996" spans="1:35" customFormat="1" ht="14.25" customHeight="1">
      <c r="A996" s="189" t="s">
        <v>3768</v>
      </c>
      <c r="B996" s="9">
        <v>11</v>
      </c>
      <c r="C996" s="157" t="s">
        <v>3658</v>
      </c>
      <c r="D996" s="183"/>
      <c r="E996" s="183"/>
      <c r="F996" s="188"/>
      <c r="G996" s="188"/>
      <c r="H996" s="183"/>
      <c r="I996" s="183"/>
      <c r="J996" s="188"/>
      <c r="K996" s="188"/>
      <c r="L996" s="9"/>
      <c r="M996" s="9"/>
      <c r="N996" s="183">
        <v>3</v>
      </c>
      <c r="O996" s="7">
        <v>1.8</v>
      </c>
      <c r="P996" s="9"/>
      <c r="Q996" s="9"/>
      <c r="S996" s="228"/>
      <c r="T996" s="228"/>
      <c r="U996" s="237"/>
      <c r="V996" s="233"/>
      <c r="W996" s="20"/>
      <c r="X996" s="20"/>
      <c r="Y996" s="20"/>
      <c r="Z996" s="20"/>
      <c r="AA996" s="228"/>
      <c r="AB996" s="20"/>
      <c r="AC996" s="20"/>
      <c r="AD996" s="20"/>
      <c r="AE996" s="20"/>
      <c r="AF996" s="20"/>
      <c r="AG996" s="20"/>
      <c r="AH996" s="20"/>
      <c r="AI996" s="20"/>
    </row>
    <row r="997" spans="1:35" customFormat="1" ht="14.25" customHeight="1">
      <c r="A997" s="189" t="s">
        <v>3769</v>
      </c>
      <c r="B997" s="9">
        <v>7.9</v>
      </c>
      <c r="C997" s="157" t="s">
        <v>3646</v>
      </c>
      <c r="D997" s="183"/>
      <c r="E997" s="183"/>
      <c r="F997" s="188"/>
      <c r="G997" s="188"/>
      <c r="H997" s="183"/>
      <c r="I997" s="183"/>
      <c r="J997" s="188"/>
      <c r="K997" s="188"/>
      <c r="L997" s="9"/>
      <c r="M997" s="9"/>
      <c r="N997" s="183">
        <v>3</v>
      </c>
      <c r="O997" s="7">
        <v>0.8</v>
      </c>
      <c r="P997" s="9"/>
      <c r="Q997" s="9"/>
      <c r="S997" s="228"/>
      <c r="T997" s="228"/>
      <c r="U997" s="237"/>
      <c r="V997" s="233"/>
      <c r="W997" s="20"/>
      <c r="X997" s="20"/>
      <c r="Y997" s="20"/>
      <c r="Z997" s="20"/>
      <c r="AA997" s="228"/>
      <c r="AB997" s="20"/>
      <c r="AC997" s="20"/>
      <c r="AD997" s="20"/>
      <c r="AE997" s="20"/>
      <c r="AF997" s="20"/>
      <c r="AG997" s="20"/>
      <c r="AH997" s="20"/>
      <c r="AI997" s="20"/>
    </row>
    <row r="998" spans="1:35" customFormat="1" ht="14.25" customHeight="1">
      <c r="A998" s="190" t="s">
        <v>3770</v>
      </c>
      <c r="B998" s="9">
        <v>7</v>
      </c>
      <c r="C998" s="158" t="s">
        <v>3682</v>
      </c>
      <c r="D998" s="183"/>
      <c r="E998" s="183"/>
      <c r="F998" s="188"/>
      <c r="G998" s="188"/>
      <c r="H998" s="183"/>
      <c r="I998" s="183"/>
      <c r="J998" s="188"/>
      <c r="K998" s="188"/>
      <c r="L998" s="9"/>
      <c r="M998" s="9"/>
      <c r="N998" s="183">
        <v>100</v>
      </c>
      <c r="O998" s="198">
        <v>0.4</v>
      </c>
      <c r="P998" s="225"/>
      <c r="Q998" s="225"/>
      <c r="S998" s="228"/>
      <c r="T998" s="228"/>
      <c r="U998" s="237"/>
      <c r="V998" s="233"/>
      <c r="W998" s="20"/>
      <c r="X998" s="20"/>
      <c r="Y998" s="20"/>
      <c r="Z998" s="20"/>
      <c r="AA998" s="228"/>
      <c r="AB998" s="20"/>
      <c r="AC998" s="20"/>
      <c r="AD998" s="20"/>
      <c r="AE998" s="20"/>
      <c r="AF998" s="20"/>
      <c r="AG998" s="20"/>
      <c r="AH998" s="20"/>
      <c r="AI998" s="20"/>
    </row>
    <row r="999" spans="1:35" customFormat="1" ht="14.25" customHeight="1">
      <c r="A999" s="189" t="s">
        <v>3771</v>
      </c>
      <c r="B999" s="9">
        <v>4.8</v>
      </c>
      <c r="C999" s="157" t="s">
        <v>3679</v>
      </c>
      <c r="D999" s="183"/>
      <c r="E999" s="183"/>
      <c r="F999" s="188"/>
      <c r="G999" s="188"/>
      <c r="H999" s="183"/>
      <c r="I999" s="183"/>
      <c r="J999" s="188"/>
      <c r="K999" s="188"/>
      <c r="L999" s="9"/>
      <c r="M999" s="9"/>
      <c r="N999" s="183">
        <v>10</v>
      </c>
      <c r="O999" s="7">
        <v>0.5</v>
      </c>
      <c r="P999" s="9"/>
      <c r="Q999" s="9"/>
      <c r="S999" s="228"/>
      <c r="T999" s="228"/>
      <c r="U999" s="237"/>
      <c r="V999" s="233"/>
      <c r="W999" s="20"/>
      <c r="X999" s="20"/>
      <c r="Y999" s="20"/>
      <c r="Z999" s="20"/>
      <c r="AA999" s="228"/>
      <c r="AB999" s="20"/>
      <c r="AC999" s="20"/>
      <c r="AD999" s="20"/>
      <c r="AE999" s="20"/>
      <c r="AF999" s="20"/>
      <c r="AG999" s="20"/>
      <c r="AH999" s="20"/>
      <c r="AI999" s="20"/>
    </row>
    <row r="1000" spans="1:35" customFormat="1" ht="14.25" customHeight="1">
      <c r="A1000" s="114" t="s">
        <v>3837</v>
      </c>
      <c r="B1000" s="9">
        <v>6</v>
      </c>
      <c r="C1000" s="157" t="s">
        <v>3678</v>
      </c>
      <c r="D1000" s="183"/>
      <c r="E1000" s="183"/>
      <c r="F1000" s="188"/>
      <c r="G1000" s="188"/>
      <c r="H1000" s="183"/>
      <c r="I1000" s="183"/>
      <c r="J1000" s="188"/>
      <c r="K1000" s="188"/>
      <c r="L1000" s="9"/>
      <c r="M1000" s="9"/>
      <c r="N1000" s="183">
        <v>10</v>
      </c>
      <c r="O1000" s="7">
        <v>0.5</v>
      </c>
      <c r="P1000" s="9"/>
      <c r="Q1000" s="9"/>
      <c r="S1000" s="228"/>
      <c r="T1000" s="228"/>
      <c r="U1000" s="237"/>
      <c r="V1000" s="233"/>
      <c r="W1000" s="20"/>
      <c r="X1000" s="20"/>
      <c r="Y1000" s="20"/>
      <c r="Z1000" s="20"/>
      <c r="AA1000" s="228"/>
      <c r="AB1000" s="20"/>
      <c r="AC1000" s="20"/>
      <c r="AD1000" s="20"/>
      <c r="AE1000" s="20"/>
      <c r="AF1000" s="20"/>
      <c r="AG1000" s="20"/>
      <c r="AH1000" s="20"/>
      <c r="AI1000" s="20"/>
    </row>
    <row r="1001" spans="1:35" customFormat="1" ht="14.25" customHeight="1">
      <c r="A1001" s="189" t="s">
        <v>3772</v>
      </c>
      <c r="B1001" s="9">
        <v>4.8</v>
      </c>
      <c r="C1001" s="157" t="s">
        <v>3686</v>
      </c>
      <c r="D1001" s="183"/>
      <c r="E1001" s="183"/>
      <c r="F1001" s="188"/>
      <c r="G1001" s="188"/>
      <c r="H1001" s="183"/>
      <c r="I1001" s="183"/>
      <c r="J1001" s="188"/>
      <c r="K1001" s="188"/>
      <c r="L1001" s="9"/>
      <c r="M1001" s="9"/>
      <c r="N1001" s="183">
        <v>10</v>
      </c>
      <c r="O1001" s="7">
        <v>0.5</v>
      </c>
      <c r="P1001" s="9"/>
      <c r="Q1001" s="9"/>
      <c r="S1001" s="228"/>
      <c r="T1001" s="228"/>
      <c r="U1001" s="237"/>
      <c r="V1001" s="233"/>
      <c r="W1001" s="20"/>
      <c r="X1001" s="20"/>
      <c r="Y1001" s="20"/>
      <c r="Z1001" s="20"/>
      <c r="AA1001" s="228"/>
      <c r="AB1001" s="20"/>
      <c r="AC1001" s="20"/>
      <c r="AD1001" s="20"/>
      <c r="AE1001" s="20"/>
      <c r="AF1001" s="20"/>
      <c r="AG1001" s="20"/>
      <c r="AH1001" s="20"/>
      <c r="AI1001" s="20"/>
    </row>
    <row r="1002" spans="1:35" customFormat="1" ht="14.25" customHeight="1">
      <c r="A1002" s="114" t="s">
        <v>3836</v>
      </c>
      <c r="B1002" s="9">
        <v>17.100000000000001</v>
      </c>
      <c r="C1002" s="157" t="s">
        <v>3681</v>
      </c>
      <c r="D1002" s="183"/>
      <c r="E1002" s="183"/>
      <c r="F1002" s="188"/>
      <c r="G1002" s="188"/>
      <c r="H1002" s="183"/>
      <c r="I1002" s="183"/>
      <c r="J1002" s="188"/>
      <c r="K1002" s="188"/>
      <c r="L1002" s="9"/>
      <c r="M1002" s="9"/>
      <c r="N1002" s="183">
        <v>5</v>
      </c>
      <c r="O1002" s="7">
        <v>1.3</v>
      </c>
      <c r="P1002" s="9"/>
      <c r="Q1002" s="9"/>
      <c r="S1002" s="228"/>
      <c r="T1002" s="228"/>
      <c r="U1002" s="237"/>
      <c r="V1002" s="233"/>
      <c r="W1002" s="20"/>
      <c r="X1002" s="20"/>
      <c r="Y1002" s="20"/>
      <c r="Z1002" s="20"/>
      <c r="AA1002" s="228"/>
      <c r="AB1002" s="20"/>
      <c r="AC1002" s="20"/>
      <c r="AD1002" s="20"/>
      <c r="AE1002" s="20"/>
      <c r="AF1002" s="20"/>
      <c r="AG1002" s="20"/>
      <c r="AH1002" s="20"/>
      <c r="AI1002" s="20"/>
    </row>
    <row r="1003" spans="1:35" customFormat="1" ht="14.25" customHeight="1">
      <c r="A1003" s="189" t="s">
        <v>3773</v>
      </c>
      <c r="B1003" s="9">
        <v>11.5</v>
      </c>
      <c r="C1003" s="157" t="s">
        <v>3693</v>
      </c>
      <c r="D1003" s="183"/>
      <c r="E1003" s="183"/>
      <c r="F1003" s="188"/>
      <c r="G1003" s="188"/>
      <c r="H1003" s="183"/>
      <c r="I1003" s="183"/>
      <c r="J1003" s="188"/>
      <c r="K1003" s="188"/>
      <c r="L1003" s="9"/>
      <c r="M1003" s="9"/>
      <c r="N1003" s="183">
        <v>3</v>
      </c>
      <c r="O1003" s="7">
        <v>1.3</v>
      </c>
      <c r="P1003" s="9"/>
      <c r="Q1003" s="9"/>
      <c r="S1003" s="228"/>
      <c r="T1003" s="228"/>
      <c r="U1003" s="237"/>
      <c r="V1003" s="233"/>
      <c r="W1003" s="20"/>
      <c r="X1003" s="20"/>
      <c r="Y1003" s="20"/>
      <c r="Z1003" s="20"/>
      <c r="AA1003" s="228"/>
      <c r="AB1003" s="20"/>
      <c r="AC1003" s="20"/>
      <c r="AD1003" s="20"/>
      <c r="AE1003" s="20"/>
      <c r="AF1003" s="20"/>
      <c r="AG1003" s="20"/>
      <c r="AH1003" s="20"/>
      <c r="AI1003" s="20"/>
    </row>
    <row r="1004" spans="1:35" customFormat="1" ht="14.25" customHeight="1">
      <c r="A1004" s="189" t="s">
        <v>3774</v>
      </c>
      <c r="B1004" s="9">
        <v>14.1</v>
      </c>
      <c r="C1004" s="157" t="s">
        <v>3723</v>
      </c>
      <c r="D1004" s="183"/>
      <c r="E1004" s="183"/>
      <c r="F1004" s="188"/>
      <c r="G1004" s="188"/>
      <c r="H1004" s="183"/>
      <c r="I1004" s="183"/>
      <c r="J1004" s="188"/>
      <c r="K1004" s="188"/>
      <c r="L1004" s="9"/>
      <c r="M1004" s="9"/>
      <c r="N1004" s="183">
        <v>5</v>
      </c>
      <c r="O1004" s="7">
        <v>0.98</v>
      </c>
      <c r="P1004" s="9"/>
      <c r="Q1004" s="9"/>
      <c r="S1004" s="228"/>
      <c r="T1004" s="228"/>
      <c r="U1004" s="237"/>
      <c r="V1004" s="233"/>
      <c r="W1004" s="20"/>
      <c r="X1004" s="20"/>
      <c r="Y1004" s="20"/>
      <c r="Z1004" s="20"/>
      <c r="AA1004" s="228"/>
      <c r="AB1004" s="20"/>
      <c r="AC1004" s="20"/>
      <c r="AD1004" s="20"/>
      <c r="AE1004" s="20"/>
      <c r="AF1004" s="20"/>
      <c r="AG1004" s="20"/>
      <c r="AH1004" s="20"/>
      <c r="AI1004" s="20"/>
    </row>
    <row r="1005" spans="1:35" customFormat="1" ht="14.25" customHeight="1">
      <c r="A1005" s="189" t="s">
        <v>3775</v>
      </c>
      <c r="B1005" s="9">
        <v>14.1</v>
      </c>
      <c r="C1005" s="157" t="s">
        <v>3724</v>
      </c>
      <c r="D1005" s="183"/>
      <c r="E1005" s="183"/>
      <c r="F1005" s="188"/>
      <c r="G1005" s="188"/>
      <c r="H1005" s="183"/>
      <c r="I1005" s="183"/>
      <c r="J1005" s="188"/>
      <c r="K1005" s="188"/>
      <c r="L1005" s="9"/>
      <c r="M1005" s="9"/>
      <c r="N1005" s="183">
        <v>3</v>
      </c>
      <c r="O1005" s="7">
        <v>0.98</v>
      </c>
      <c r="P1005" s="9"/>
      <c r="Q1005" s="9"/>
      <c r="S1005" s="228"/>
      <c r="T1005" s="228"/>
      <c r="U1005" s="237"/>
      <c r="V1005" s="233"/>
      <c r="W1005" s="20"/>
      <c r="X1005" s="20"/>
      <c r="Y1005" s="20"/>
      <c r="Z1005" s="20"/>
      <c r="AA1005" s="228"/>
      <c r="AB1005" s="20"/>
      <c r="AC1005" s="20"/>
      <c r="AD1005" s="20"/>
      <c r="AE1005" s="20"/>
      <c r="AF1005" s="20"/>
      <c r="AG1005" s="20"/>
      <c r="AH1005" s="20"/>
      <c r="AI1005" s="20"/>
    </row>
    <row r="1006" spans="1:35" customFormat="1" ht="14.25" customHeight="1">
      <c r="A1006" s="189" t="s">
        <v>3776</v>
      </c>
      <c r="B1006" s="9">
        <v>13.1</v>
      </c>
      <c r="C1006" s="157" t="s">
        <v>3690</v>
      </c>
      <c r="D1006" s="183"/>
      <c r="E1006" s="183"/>
      <c r="F1006" s="188"/>
      <c r="G1006" s="188"/>
      <c r="H1006" s="183"/>
      <c r="I1006" s="183"/>
      <c r="J1006" s="188"/>
      <c r="K1006" s="188"/>
      <c r="L1006" s="9"/>
      <c r="M1006" s="9"/>
      <c r="N1006" s="183">
        <v>3</v>
      </c>
      <c r="O1006" s="7">
        <v>1.5</v>
      </c>
      <c r="P1006" s="9"/>
      <c r="Q1006" s="9"/>
      <c r="S1006" s="228"/>
      <c r="T1006" s="228"/>
      <c r="U1006" s="237"/>
      <c r="V1006" s="233"/>
      <c r="W1006" s="20"/>
      <c r="X1006" s="20"/>
      <c r="Y1006" s="20"/>
      <c r="Z1006" s="20"/>
      <c r="AA1006" s="228"/>
      <c r="AB1006" s="20"/>
      <c r="AC1006" s="20"/>
      <c r="AD1006" s="20"/>
      <c r="AE1006" s="20"/>
      <c r="AF1006" s="20"/>
      <c r="AG1006" s="20"/>
      <c r="AH1006" s="20"/>
      <c r="AI1006" s="20"/>
    </row>
    <row r="1007" spans="1:35" customFormat="1" ht="14.25" customHeight="1">
      <c r="A1007" s="189" t="s">
        <v>3777</v>
      </c>
      <c r="B1007" s="9">
        <v>12.4</v>
      </c>
      <c r="C1007" s="160" t="s">
        <v>3692</v>
      </c>
      <c r="D1007" s="183"/>
      <c r="E1007" s="183"/>
      <c r="F1007" s="188"/>
      <c r="G1007" s="188"/>
      <c r="H1007" s="183"/>
      <c r="I1007" s="183"/>
      <c r="J1007" s="188"/>
      <c r="K1007" s="188"/>
      <c r="L1007" s="9"/>
      <c r="M1007" s="9"/>
      <c r="N1007" s="183">
        <v>3</v>
      </c>
      <c r="O1007" s="7">
        <v>1.3</v>
      </c>
      <c r="P1007" s="9"/>
      <c r="Q1007" s="9"/>
      <c r="S1007" s="228"/>
      <c r="T1007" s="228"/>
      <c r="U1007" s="237"/>
      <c r="V1007" s="233"/>
      <c r="W1007" s="20"/>
      <c r="X1007" s="20"/>
      <c r="Y1007" s="20"/>
      <c r="Z1007" s="20"/>
      <c r="AA1007" s="228"/>
      <c r="AB1007" s="20"/>
      <c r="AC1007" s="20"/>
      <c r="AD1007" s="20"/>
      <c r="AE1007" s="20"/>
      <c r="AF1007" s="20"/>
      <c r="AG1007" s="20"/>
      <c r="AH1007" s="20"/>
      <c r="AI1007" s="20"/>
    </row>
    <row r="1008" spans="1:35" customFormat="1" ht="14.25" customHeight="1">
      <c r="A1008" s="189" t="s">
        <v>3778</v>
      </c>
      <c r="B1008" s="9">
        <v>14.2</v>
      </c>
      <c r="C1008" s="157" t="s">
        <v>3677</v>
      </c>
      <c r="D1008" s="183"/>
      <c r="E1008" s="183"/>
      <c r="F1008" s="188"/>
      <c r="G1008" s="188"/>
      <c r="H1008" s="183"/>
      <c r="I1008" s="183"/>
      <c r="J1008" s="188"/>
      <c r="K1008" s="188"/>
      <c r="L1008" s="9"/>
      <c r="M1008" s="9"/>
      <c r="N1008" s="183">
        <v>5</v>
      </c>
      <c r="O1008" s="7">
        <v>0.98</v>
      </c>
      <c r="P1008" s="9"/>
      <c r="Q1008" s="9"/>
      <c r="S1008" s="228"/>
      <c r="T1008" s="228"/>
      <c r="U1008" s="237"/>
      <c r="V1008" s="233"/>
      <c r="W1008" s="20"/>
      <c r="X1008" s="20"/>
      <c r="Y1008" s="20"/>
      <c r="Z1008" s="20"/>
      <c r="AA1008" s="228"/>
      <c r="AB1008" s="20"/>
      <c r="AC1008" s="20"/>
      <c r="AD1008" s="20"/>
      <c r="AE1008" s="20"/>
      <c r="AF1008" s="20"/>
      <c r="AG1008" s="20"/>
      <c r="AH1008" s="20"/>
      <c r="AI1008" s="20"/>
    </row>
    <row r="1009" spans="1:35" customFormat="1" ht="14.25" customHeight="1">
      <c r="A1009" s="189" t="s">
        <v>3779</v>
      </c>
      <c r="B1009" s="9">
        <v>11.8</v>
      </c>
      <c r="C1009" s="157" t="s">
        <v>3687</v>
      </c>
      <c r="D1009" s="183"/>
      <c r="E1009" s="183"/>
      <c r="F1009" s="188"/>
      <c r="G1009" s="188"/>
      <c r="H1009" s="183"/>
      <c r="I1009" s="183"/>
      <c r="J1009" s="188"/>
      <c r="K1009" s="188"/>
      <c r="L1009" s="9"/>
      <c r="M1009" s="9"/>
      <c r="N1009" s="183">
        <v>3</v>
      </c>
      <c r="O1009" s="7">
        <v>1.3</v>
      </c>
      <c r="P1009" s="9"/>
      <c r="Q1009" s="9"/>
      <c r="S1009" s="228"/>
      <c r="T1009" s="228"/>
      <c r="U1009" s="237"/>
      <c r="V1009" s="233"/>
      <c r="W1009" s="20"/>
      <c r="X1009" s="20"/>
      <c r="Y1009" s="20"/>
      <c r="Z1009" s="20"/>
      <c r="AA1009" s="228"/>
      <c r="AB1009" s="20"/>
      <c r="AC1009" s="20"/>
      <c r="AD1009" s="20"/>
      <c r="AE1009" s="20"/>
      <c r="AF1009" s="20"/>
      <c r="AG1009" s="20"/>
      <c r="AH1009" s="20"/>
      <c r="AI1009" s="20"/>
    </row>
    <row r="1010" spans="1:35" customFormat="1" ht="14.25" customHeight="1">
      <c r="A1010" s="189" t="s">
        <v>3780</v>
      </c>
      <c r="B1010" s="9">
        <v>11</v>
      </c>
      <c r="C1010" s="157" t="s">
        <v>3691</v>
      </c>
      <c r="D1010" s="183"/>
      <c r="E1010" s="183"/>
      <c r="F1010" s="188"/>
      <c r="G1010" s="188"/>
      <c r="H1010" s="183"/>
      <c r="I1010" s="183"/>
      <c r="J1010" s="188"/>
      <c r="K1010" s="188"/>
      <c r="L1010" s="9"/>
      <c r="M1010" s="9"/>
      <c r="N1010" s="183">
        <v>3</v>
      </c>
      <c r="O1010" s="7">
        <v>1.2</v>
      </c>
      <c r="P1010" s="9"/>
      <c r="Q1010" s="9"/>
      <c r="S1010" s="228"/>
      <c r="T1010" s="228"/>
      <c r="U1010" s="237"/>
      <c r="V1010" s="233"/>
      <c r="W1010" s="20"/>
      <c r="X1010" s="20"/>
      <c r="Y1010" s="20"/>
      <c r="Z1010" s="20"/>
      <c r="AA1010" s="228"/>
      <c r="AB1010" s="20"/>
      <c r="AC1010" s="20"/>
      <c r="AD1010" s="20"/>
      <c r="AE1010" s="20"/>
      <c r="AF1010" s="20"/>
      <c r="AG1010" s="20"/>
      <c r="AH1010" s="20"/>
      <c r="AI1010" s="20"/>
    </row>
    <row r="1011" spans="1:35" customFormat="1" ht="14.25" customHeight="1">
      <c r="A1011" s="189" t="s">
        <v>3781</v>
      </c>
      <c r="B1011" s="9">
        <v>12.2</v>
      </c>
      <c r="C1011" s="157" t="s">
        <v>3689</v>
      </c>
      <c r="D1011" s="183"/>
      <c r="E1011" s="183"/>
      <c r="F1011" s="188"/>
      <c r="G1011" s="188"/>
      <c r="H1011" s="183"/>
      <c r="I1011" s="183"/>
      <c r="J1011" s="188"/>
      <c r="K1011" s="188"/>
      <c r="L1011" s="9"/>
      <c r="M1011" s="9"/>
      <c r="N1011" s="183">
        <v>3</v>
      </c>
      <c r="O1011" s="7">
        <v>1.8</v>
      </c>
      <c r="P1011" s="9"/>
      <c r="Q1011" s="9"/>
      <c r="S1011" s="228"/>
      <c r="T1011" s="228"/>
      <c r="U1011" s="237"/>
      <c r="V1011" s="233"/>
      <c r="W1011" s="20"/>
      <c r="X1011" s="20"/>
      <c r="Y1011" s="20"/>
      <c r="Z1011" s="20"/>
      <c r="AA1011" s="228"/>
      <c r="AB1011" s="20"/>
      <c r="AC1011" s="20"/>
      <c r="AD1011" s="20"/>
      <c r="AE1011" s="20"/>
      <c r="AF1011" s="20"/>
      <c r="AG1011" s="20"/>
      <c r="AH1011" s="20"/>
      <c r="AI1011" s="20"/>
    </row>
    <row r="1012" spans="1:35" customFormat="1" ht="14.25" customHeight="1">
      <c r="A1012" s="189" t="s">
        <v>3782</v>
      </c>
      <c r="B1012" s="9">
        <v>14.2</v>
      </c>
      <c r="C1012" s="157" t="s">
        <v>3676</v>
      </c>
      <c r="D1012" s="183"/>
      <c r="E1012" s="183"/>
      <c r="F1012" s="188"/>
      <c r="G1012" s="188"/>
      <c r="H1012" s="183"/>
      <c r="I1012" s="183"/>
      <c r="J1012" s="188"/>
      <c r="K1012" s="188"/>
      <c r="L1012" s="9"/>
      <c r="M1012" s="9"/>
      <c r="N1012" s="183">
        <v>5</v>
      </c>
      <c r="O1012" s="7">
        <v>0.79</v>
      </c>
      <c r="P1012" s="9"/>
      <c r="Q1012" s="9"/>
      <c r="S1012" s="228"/>
      <c r="T1012" s="228"/>
      <c r="U1012" s="237"/>
      <c r="V1012" s="233"/>
      <c r="W1012" s="20"/>
      <c r="X1012" s="20"/>
      <c r="Y1012" s="20"/>
      <c r="Z1012" s="20"/>
      <c r="AA1012" s="228"/>
      <c r="AB1012" s="20"/>
      <c r="AC1012" s="20"/>
      <c r="AD1012" s="20"/>
      <c r="AE1012" s="20"/>
      <c r="AF1012" s="20"/>
      <c r="AG1012" s="20"/>
      <c r="AH1012" s="20"/>
      <c r="AI1012" s="20"/>
    </row>
    <row r="1013" spans="1:35" customFormat="1" ht="14.25" customHeight="1">
      <c r="A1013" s="189" t="s">
        <v>3783</v>
      </c>
      <c r="B1013" s="9">
        <v>11.6</v>
      </c>
      <c r="C1013" s="157" t="s">
        <v>3695</v>
      </c>
      <c r="D1013" s="183"/>
      <c r="E1013" s="183"/>
      <c r="F1013" s="188"/>
      <c r="G1013" s="188"/>
      <c r="H1013" s="183"/>
      <c r="I1013" s="183"/>
      <c r="J1013" s="188"/>
      <c r="K1013" s="188"/>
      <c r="L1013" s="9"/>
      <c r="M1013" s="9"/>
      <c r="N1013" s="183">
        <v>3</v>
      </c>
      <c r="O1013" s="7">
        <v>1.3</v>
      </c>
      <c r="P1013" s="9"/>
      <c r="Q1013" s="9"/>
      <c r="S1013" s="228"/>
      <c r="T1013" s="228"/>
      <c r="U1013" s="237"/>
      <c r="V1013" s="233"/>
      <c r="W1013" s="20"/>
      <c r="X1013" s="20"/>
      <c r="Y1013" s="20"/>
      <c r="Z1013" s="20"/>
      <c r="AA1013" s="228"/>
      <c r="AB1013" s="20"/>
      <c r="AC1013" s="20"/>
      <c r="AD1013" s="20"/>
      <c r="AE1013" s="20"/>
      <c r="AF1013" s="20"/>
      <c r="AG1013" s="20"/>
      <c r="AH1013" s="20"/>
      <c r="AI1013" s="20"/>
    </row>
    <row r="1014" spans="1:35" customFormat="1" ht="14.25" customHeight="1">
      <c r="A1014" s="189" t="s">
        <v>3784</v>
      </c>
      <c r="B1014" s="9">
        <v>12.1</v>
      </c>
      <c r="C1014" s="157" t="s">
        <v>3694</v>
      </c>
      <c r="D1014" s="183"/>
      <c r="E1014" s="183"/>
      <c r="F1014" s="188"/>
      <c r="G1014" s="188"/>
      <c r="H1014" s="183"/>
      <c r="I1014" s="183"/>
      <c r="J1014" s="188"/>
      <c r="K1014" s="188"/>
      <c r="L1014" s="9"/>
      <c r="M1014" s="9"/>
      <c r="N1014" s="183">
        <v>3</v>
      </c>
      <c r="O1014" s="7">
        <v>0.99</v>
      </c>
      <c r="P1014" s="9"/>
      <c r="Q1014" s="9"/>
      <c r="S1014" s="228"/>
      <c r="T1014" s="228"/>
      <c r="U1014" s="237"/>
      <c r="V1014" s="233"/>
      <c r="W1014" s="20"/>
      <c r="X1014" s="20"/>
      <c r="Y1014" s="20"/>
      <c r="Z1014" s="20"/>
      <c r="AA1014" s="228"/>
      <c r="AB1014" s="20"/>
      <c r="AC1014" s="20"/>
      <c r="AD1014" s="20"/>
      <c r="AE1014" s="20"/>
      <c r="AF1014" s="20"/>
      <c r="AG1014" s="20"/>
      <c r="AH1014" s="20"/>
      <c r="AI1014" s="20"/>
    </row>
    <row r="1015" spans="1:35" customFormat="1" ht="14.25" customHeight="1">
      <c r="A1015" s="189" t="s">
        <v>3785</v>
      </c>
      <c r="B1015" s="9">
        <v>12</v>
      </c>
      <c r="C1015" s="157" t="s">
        <v>3688</v>
      </c>
      <c r="D1015" s="183"/>
      <c r="E1015" s="183"/>
      <c r="F1015" s="188"/>
      <c r="G1015" s="188"/>
      <c r="H1015" s="183"/>
      <c r="I1015" s="183"/>
      <c r="J1015" s="188"/>
      <c r="K1015" s="188"/>
      <c r="L1015" s="9"/>
      <c r="M1015" s="9"/>
      <c r="N1015" s="183">
        <v>3</v>
      </c>
      <c r="O1015" s="7">
        <v>0.99</v>
      </c>
      <c r="P1015" s="9"/>
      <c r="Q1015" s="9"/>
      <c r="S1015" s="228"/>
      <c r="T1015" s="228"/>
      <c r="U1015" s="237"/>
      <c r="V1015" s="233"/>
      <c r="W1015" s="20"/>
      <c r="X1015" s="20"/>
      <c r="Y1015" s="20"/>
      <c r="Z1015" s="20"/>
      <c r="AA1015" s="228"/>
      <c r="AB1015" s="20"/>
      <c r="AC1015" s="20"/>
      <c r="AD1015" s="20"/>
      <c r="AE1015" s="20"/>
      <c r="AF1015" s="20"/>
      <c r="AG1015" s="20"/>
      <c r="AH1015" s="20"/>
      <c r="AI1015" s="20"/>
    </row>
    <row r="1016" spans="1:35" customFormat="1" ht="14.25" customHeight="1">
      <c r="A1016" s="190" t="s">
        <v>3786</v>
      </c>
      <c r="B1016" s="9">
        <v>7</v>
      </c>
      <c r="C1016" s="160" t="s">
        <v>3717</v>
      </c>
      <c r="D1016" s="183"/>
      <c r="E1016" s="183"/>
      <c r="F1016" s="188"/>
      <c r="G1016" s="188"/>
      <c r="H1016" s="183"/>
      <c r="I1016" s="183"/>
      <c r="J1016" s="188"/>
      <c r="K1016" s="188"/>
      <c r="L1016" s="9"/>
      <c r="M1016" s="9"/>
      <c r="N1016" s="183">
        <v>100</v>
      </c>
      <c r="O1016" s="198">
        <v>4</v>
      </c>
      <c r="P1016" s="225"/>
      <c r="Q1016" s="225"/>
      <c r="S1016" s="228"/>
      <c r="T1016" s="228"/>
      <c r="U1016" s="237"/>
      <c r="V1016" s="233"/>
      <c r="W1016" s="20"/>
      <c r="X1016" s="20"/>
      <c r="Y1016" s="20"/>
      <c r="Z1016" s="20"/>
      <c r="AA1016" s="228"/>
      <c r="AB1016" s="20"/>
      <c r="AC1016" s="20"/>
      <c r="AD1016" s="20"/>
      <c r="AE1016" s="20"/>
      <c r="AF1016" s="20"/>
      <c r="AG1016" s="20"/>
      <c r="AH1016" s="20"/>
      <c r="AI1016" s="20"/>
    </row>
    <row r="1017" spans="1:35" customFormat="1" ht="14.25" customHeight="1">
      <c r="A1017" s="114" t="s">
        <v>3835</v>
      </c>
      <c r="B1017" s="9">
        <v>5.9</v>
      </c>
      <c r="C1017" s="157" t="s">
        <v>3680</v>
      </c>
      <c r="D1017" s="183"/>
      <c r="E1017" s="183"/>
      <c r="F1017" s="188"/>
      <c r="G1017" s="188"/>
      <c r="H1017" s="183"/>
      <c r="I1017" s="183"/>
      <c r="J1017" s="188"/>
      <c r="K1017" s="188"/>
      <c r="L1017" s="9"/>
      <c r="M1017" s="9"/>
      <c r="N1017" s="183">
        <v>3</v>
      </c>
      <c r="O1017" s="7">
        <v>0.55000000000000004</v>
      </c>
      <c r="P1017" s="9"/>
      <c r="Q1017" s="9"/>
      <c r="S1017" s="228"/>
      <c r="T1017" s="228"/>
      <c r="U1017" s="237"/>
      <c r="V1017" s="233"/>
      <c r="W1017" s="20"/>
      <c r="X1017" s="20"/>
      <c r="Y1017" s="20"/>
      <c r="Z1017" s="20"/>
      <c r="AA1017" s="228"/>
      <c r="AB1017" s="20"/>
      <c r="AC1017" s="20"/>
      <c r="AD1017" s="20"/>
      <c r="AE1017" s="20"/>
      <c r="AF1017" s="20"/>
      <c r="AG1017" s="20"/>
      <c r="AH1017" s="20"/>
      <c r="AI1017" s="20"/>
    </row>
    <row r="1018" spans="1:35" customFormat="1" ht="14.25" customHeight="1">
      <c r="A1018" s="190" t="s">
        <v>3787</v>
      </c>
      <c r="B1018" s="9">
        <v>18</v>
      </c>
      <c r="C1018" s="160" t="s">
        <v>3698</v>
      </c>
      <c r="D1018" s="183"/>
      <c r="E1018" s="183"/>
      <c r="F1018" s="188"/>
      <c r="G1018" s="188"/>
      <c r="H1018" s="183"/>
      <c r="I1018" s="183"/>
      <c r="J1018" s="188"/>
      <c r="K1018" s="188"/>
      <c r="L1018" s="9"/>
      <c r="M1018" s="9"/>
      <c r="N1018" s="183">
        <v>100</v>
      </c>
      <c r="O1018" s="198">
        <v>1.5</v>
      </c>
      <c r="P1018" s="225"/>
      <c r="Q1018" s="225"/>
      <c r="S1018" s="228"/>
      <c r="T1018" s="228"/>
      <c r="U1018" s="237"/>
      <c r="V1018" s="233"/>
      <c r="W1018" s="20"/>
      <c r="X1018" s="20"/>
      <c r="Y1018" s="20"/>
      <c r="Z1018" s="20"/>
      <c r="AA1018" s="228"/>
      <c r="AB1018" s="20"/>
      <c r="AC1018" s="20"/>
      <c r="AD1018" s="20"/>
      <c r="AE1018" s="20"/>
      <c r="AF1018" s="20"/>
      <c r="AG1018" s="20"/>
      <c r="AH1018" s="20"/>
      <c r="AI1018" s="20"/>
    </row>
    <row r="1019" spans="1:35" customFormat="1" ht="14.25" customHeight="1">
      <c r="A1019" s="189" t="s">
        <v>3788</v>
      </c>
      <c r="B1019" s="9">
        <v>15.1</v>
      </c>
      <c r="C1019" s="157" t="s">
        <v>3701</v>
      </c>
      <c r="D1019" s="183"/>
      <c r="E1019" s="183"/>
      <c r="F1019" s="188"/>
      <c r="G1019" s="188"/>
      <c r="H1019" s="183"/>
      <c r="I1019" s="183"/>
      <c r="J1019" s="188"/>
      <c r="K1019" s="188"/>
      <c r="L1019" s="9"/>
      <c r="M1019" s="9"/>
      <c r="N1019" s="183">
        <v>3</v>
      </c>
      <c r="O1019" s="7">
        <v>1.6</v>
      </c>
      <c r="P1019" s="9"/>
      <c r="Q1019" s="9"/>
      <c r="S1019" s="228"/>
      <c r="T1019" s="228"/>
      <c r="U1019" s="237"/>
      <c r="V1019" s="233"/>
      <c r="W1019" s="20"/>
      <c r="X1019" s="20"/>
      <c r="Y1019" s="20"/>
      <c r="Z1019" s="20"/>
      <c r="AA1019" s="228"/>
      <c r="AB1019" s="20"/>
      <c r="AC1019" s="20"/>
      <c r="AD1019" s="20"/>
      <c r="AE1019" s="20"/>
      <c r="AF1019" s="20"/>
      <c r="AG1019" s="20"/>
      <c r="AH1019" s="20"/>
      <c r="AI1019" s="20"/>
    </row>
    <row r="1020" spans="1:35" customFormat="1" ht="14.25" customHeight="1">
      <c r="A1020" s="189" t="s">
        <v>3789</v>
      </c>
      <c r="B1020" s="9">
        <v>19.100000000000001</v>
      </c>
      <c r="C1020" s="157" t="s">
        <v>3697</v>
      </c>
      <c r="D1020" s="183"/>
      <c r="E1020" s="183"/>
      <c r="F1020" s="188"/>
      <c r="G1020" s="188"/>
      <c r="H1020" s="183"/>
      <c r="I1020" s="183"/>
      <c r="J1020" s="188"/>
      <c r="K1020" s="188"/>
      <c r="L1020" s="9"/>
      <c r="M1020" s="9"/>
      <c r="N1020" s="183">
        <v>5</v>
      </c>
      <c r="O1020" s="7">
        <v>1.9</v>
      </c>
      <c r="P1020" s="9"/>
      <c r="Q1020" s="9"/>
      <c r="S1020" s="228"/>
      <c r="T1020" s="228"/>
      <c r="U1020" s="237"/>
      <c r="V1020" s="233"/>
      <c r="W1020" s="20"/>
      <c r="X1020" s="20"/>
      <c r="Y1020" s="20"/>
      <c r="Z1020" s="20"/>
      <c r="AA1020" s="228"/>
      <c r="AB1020" s="20"/>
      <c r="AC1020" s="20"/>
      <c r="AD1020" s="20"/>
      <c r="AE1020" s="20"/>
      <c r="AF1020" s="20"/>
      <c r="AG1020" s="20"/>
      <c r="AH1020" s="20"/>
      <c r="AI1020" s="20"/>
    </row>
    <row r="1021" spans="1:35" customFormat="1" ht="14.25" customHeight="1">
      <c r="A1021" s="189" t="s">
        <v>3790</v>
      </c>
      <c r="B1021" s="9">
        <v>17.600000000000001</v>
      </c>
      <c r="C1021" s="157" t="s">
        <v>3700</v>
      </c>
      <c r="D1021" s="183"/>
      <c r="E1021" s="183"/>
      <c r="F1021" s="188"/>
      <c r="G1021" s="188"/>
      <c r="H1021" s="183"/>
      <c r="I1021" s="183"/>
      <c r="J1021" s="188"/>
      <c r="K1021" s="188"/>
      <c r="L1021" s="9"/>
      <c r="M1021" s="9"/>
      <c r="N1021" s="183">
        <v>3</v>
      </c>
      <c r="O1021" s="7">
        <v>2.8</v>
      </c>
      <c r="P1021" s="9"/>
      <c r="Q1021" s="9"/>
      <c r="S1021" s="228"/>
      <c r="T1021" s="228"/>
      <c r="U1021" s="237"/>
      <c r="V1021" s="233"/>
      <c r="W1021" s="20"/>
      <c r="X1021" s="20"/>
      <c r="Y1021" s="20"/>
      <c r="Z1021" s="20"/>
      <c r="AA1021" s="228"/>
      <c r="AB1021" s="20"/>
      <c r="AC1021" s="20"/>
      <c r="AD1021" s="20"/>
      <c r="AE1021" s="20"/>
      <c r="AF1021" s="20"/>
      <c r="AG1021" s="20"/>
      <c r="AH1021" s="20"/>
      <c r="AI1021" s="20"/>
    </row>
    <row r="1022" spans="1:35" customFormat="1" ht="14.25" customHeight="1">
      <c r="A1022" s="189" t="s">
        <v>3791</v>
      </c>
      <c r="B1022" s="9">
        <v>19.399999999999999</v>
      </c>
      <c r="C1022" s="157" t="s">
        <v>3702</v>
      </c>
      <c r="D1022" s="183"/>
      <c r="E1022" s="183"/>
      <c r="F1022" s="188"/>
      <c r="G1022" s="188"/>
      <c r="H1022" s="183"/>
      <c r="I1022" s="183"/>
      <c r="J1022" s="188"/>
      <c r="K1022" s="188"/>
      <c r="L1022" s="9"/>
      <c r="M1022" s="9"/>
      <c r="N1022" s="183">
        <v>3</v>
      </c>
      <c r="O1022" s="7">
        <v>2.8</v>
      </c>
      <c r="P1022" s="9"/>
      <c r="Q1022" s="9"/>
      <c r="S1022" s="228"/>
      <c r="T1022" s="228"/>
      <c r="U1022" s="237"/>
      <c r="V1022" s="233"/>
      <c r="W1022" s="20"/>
      <c r="X1022" s="20"/>
      <c r="Y1022" s="20"/>
      <c r="Z1022" s="20"/>
      <c r="AA1022" s="228"/>
      <c r="AB1022" s="20"/>
      <c r="AC1022" s="20"/>
      <c r="AD1022" s="20"/>
      <c r="AE1022" s="20"/>
      <c r="AF1022" s="20"/>
      <c r="AG1022" s="20"/>
      <c r="AH1022" s="20"/>
      <c r="AI1022" s="20"/>
    </row>
    <row r="1023" spans="1:35" customFormat="1" ht="14.25" customHeight="1">
      <c r="A1023" s="189" t="s">
        <v>3792</v>
      </c>
      <c r="B1023" s="9">
        <v>15.2</v>
      </c>
      <c r="C1023" s="157" t="s">
        <v>3704</v>
      </c>
      <c r="D1023" s="183"/>
      <c r="E1023" s="183"/>
      <c r="F1023" s="188"/>
      <c r="G1023" s="188"/>
      <c r="H1023" s="183"/>
      <c r="I1023" s="183"/>
      <c r="J1023" s="188"/>
      <c r="K1023" s="188"/>
      <c r="L1023" s="9"/>
      <c r="M1023" s="9"/>
      <c r="N1023" s="183">
        <v>3</v>
      </c>
      <c r="O1023" s="7">
        <v>1.19</v>
      </c>
      <c r="P1023" s="9"/>
      <c r="Q1023" s="9"/>
      <c r="S1023" s="228"/>
      <c r="T1023" s="228"/>
      <c r="U1023" s="237"/>
      <c r="V1023" s="233"/>
      <c r="W1023" s="20"/>
      <c r="X1023" s="20"/>
      <c r="Y1023" s="20"/>
      <c r="Z1023" s="20"/>
      <c r="AA1023" s="228"/>
      <c r="AB1023" s="20"/>
      <c r="AC1023" s="20"/>
      <c r="AD1023" s="20"/>
      <c r="AE1023" s="20"/>
      <c r="AF1023" s="20"/>
      <c r="AG1023" s="20"/>
      <c r="AH1023" s="20"/>
      <c r="AI1023" s="20"/>
    </row>
    <row r="1024" spans="1:35" customFormat="1" ht="14.25" customHeight="1">
      <c r="A1024" s="189" t="s">
        <v>3793</v>
      </c>
      <c r="B1024" s="9">
        <v>28.3</v>
      </c>
      <c r="C1024" s="160" t="s">
        <v>3728</v>
      </c>
      <c r="D1024" s="183"/>
      <c r="E1024" s="183"/>
      <c r="F1024" s="188"/>
      <c r="G1024" s="188"/>
      <c r="H1024" s="183"/>
      <c r="I1024" s="183"/>
      <c r="J1024" s="188"/>
      <c r="K1024" s="188"/>
      <c r="L1024" s="9"/>
      <c r="M1024" s="9"/>
      <c r="N1024" s="183">
        <v>3</v>
      </c>
      <c r="O1024" s="7">
        <v>3.3</v>
      </c>
      <c r="P1024" s="9"/>
      <c r="Q1024" s="9"/>
      <c r="S1024" s="228"/>
      <c r="T1024" s="228"/>
      <c r="U1024" s="237"/>
      <c r="V1024" s="233"/>
      <c r="W1024" s="20"/>
      <c r="X1024" s="20"/>
      <c r="Y1024" s="20"/>
      <c r="Z1024" s="20"/>
      <c r="AA1024" s="228"/>
      <c r="AB1024" s="20"/>
      <c r="AC1024" s="20"/>
      <c r="AD1024" s="20"/>
      <c r="AE1024" s="20"/>
      <c r="AF1024" s="20"/>
      <c r="AG1024" s="20"/>
      <c r="AH1024" s="20"/>
      <c r="AI1024" s="20"/>
    </row>
    <row r="1025" spans="1:36" customFormat="1" ht="14.25" customHeight="1">
      <c r="A1025" s="189" t="s">
        <v>3794</v>
      </c>
      <c r="B1025" s="9">
        <v>17</v>
      </c>
      <c r="C1025" s="157" t="s">
        <v>3707</v>
      </c>
      <c r="D1025" s="183"/>
      <c r="E1025" s="183"/>
      <c r="F1025" s="188"/>
      <c r="G1025" s="188"/>
      <c r="H1025" s="183"/>
      <c r="I1025" s="183"/>
      <c r="J1025" s="188"/>
      <c r="K1025" s="188"/>
      <c r="L1025" s="9"/>
      <c r="M1025" s="9"/>
      <c r="N1025" s="183">
        <v>3</v>
      </c>
      <c r="O1025" s="7">
        <v>2.6</v>
      </c>
      <c r="P1025" s="9"/>
      <c r="Q1025" s="9"/>
      <c r="S1025" s="228"/>
      <c r="T1025" s="228"/>
      <c r="U1025" s="237"/>
      <c r="V1025" s="233"/>
      <c r="W1025" s="20"/>
      <c r="X1025" s="20"/>
      <c r="Y1025" s="20"/>
      <c r="Z1025" s="20"/>
      <c r="AA1025" s="228"/>
      <c r="AB1025" s="20"/>
      <c r="AC1025" s="20"/>
      <c r="AD1025" s="20"/>
      <c r="AE1025" s="20"/>
      <c r="AF1025" s="20"/>
      <c r="AG1025" s="20"/>
      <c r="AH1025" s="20"/>
      <c r="AI1025" s="20"/>
    </row>
    <row r="1026" spans="1:36" customFormat="1" ht="14.25" customHeight="1">
      <c r="A1026" s="189" t="s">
        <v>3795</v>
      </c>
      <c r="B1026" s="9">
        <v>24.3</v>
      </c>
      <c r="C1026" s="157" t="s">
        <v>3706</v>
      </c>
      <c r="D1026" s="183"/>
      <c r="E1026" s="183"/>
      <c r="F1026" s="188"/>
      <c r="G1026" s="188"/>
      <c r="H1026" s="183"/>
      <c r="I1026" s="183"/>
      <c r="J1026" s="188"/>
      <c r="K1026" s="188"/>
      <c r="L1026" s="9"/>
      <c r="M1026" s="9"/>
      <c r="N1026" s="183">
        <v>3</v>
      </c>
      <c r="O1026" s="7">
        <v>3.9</v>
      </c>
      <c r="P1026" s="9"/>
      <c r="Q1026" s="9"/>
      <c r="S1026" s="228"/>
      <c r="T1026" s="228"/>
      <c r="U1026" s="237"/>
      <c r="V1026" s="233"/>
      <c r="W1026" s="20"/>
      <c r="X1026" s="20"/>
      <c r="Y1026" s="20"/>
      <c r="Z1026" s="20"/>
      <c r="AA1026" s="228"/>
      <c r="AB1026" s="20"/>
      <c r="AC1026" s="20"/>
      <c r="AD1026" s="20"/>
      <c r="AE1026" s="20"/>
      <c r="AF1026" s="20"/>
      <c r="AG1026" s="20"/>
      <c r="AH1026" s="20"/>
      <c r="AI1026" s="20"/>
    </row>
    <row r="1027" spans="1:36" customFormat="1" ht="14.25" customHeight="1">
      <c r="A1027" s="189" t="s">
        <v>3796</v>
      </c>
      <c r="B1027" s="9">
        <v>18.100000000000001</v>
      </c>
      <c r="C1027" s="157" t="s">
        <v>3709</v>
      </c>
      <c r="D1027" s="183"/>
      <c r="E1027" s="183"/>
      <c r="F1027" s="188"/>
      <c r="G1027" s="188"/>
      <c r="H1027" s="183"/>
      <c r="I1027" s="183"/>
      <c r="J1027" s="188"/>
      <c r="K1027" s="188"/>
      <c r="L1027" s="9"/>
      <c r="M1027" s="9"/>
      <c r="N1027" s="183">
        <v>3</v>
      </c>
      <c r="O1027" s="7">
        <v>2.5</v>
      </c>
      <c r="P1027" s="9"/>
      <c r="Q1027" s="9"/>
      <c r="S1027" s="228"/>
      <c r="T1027" s="228"/>
      <c r="U1027" s="237"/>
      <c r="V1027" s="233"/>
      <c r="W1027" s="20"/>
      <c r="X1027" s="20"/>
      <c r="Y1027" s="20"/>
      <c r="Z1027" s="20"/>
      <c r="AA1027" s="228"/>
      <c r="AB1027" s="20"/>
      <c r="AC1027" s="20"/>
      <c r="AD1027" s="20"/>
      <c r="AE1027" s="20"/>
      <c r="AF1027" s="20"/>
      <c r="AG1027" s="20"/>
      <c r="AH1027" s="20"/>
      <c r="AI1027" s="20"/>
    </row>
    <row r="1028" spans="1:36" customFormat="1" ht="14.25" customHeight="1">
      <c r="A1028" s="189" t="s">
        <v>3797</v>
      </c>
      <c r="B1028" s="9">
        <v>18.8</v>
      </c>
      <c r="C1028" s="157" t="s">
        <v>3708</v>
      </c>
      <c r="D1028" s="183"/>
      <c r="E1028" s="183"/>
      <c r="F1028" s="188"/>
      <c r="G1028" s="188"/>
      <c r="H1028" s="183"/>
      <c r="I1028" s="183"/>
      <c r="J1028" s="188"/>
      <c r="K1028" s="188"/>
      <c r="L1028" s="9"/>
      <c r="M1028" s="9"/>
      <c r="N1028" s="183">
        <v>3</v>
      </c>
      <c r="O1028" s="7">
        <v>2.8</v>
      </c>
      <c r="P1028" s="9"/>
      <c r="Q1028" s="9"/>
      <c r="S1028" s="228"/>
      <c r="T1028" s="228"/>
      <c r="U1028" s="237"/>
      <c r="V1028" s="233"/>
      <c r="W1028" s="20"/>
      <c r="X1028" s="20"/>
      <c r="Y1028" s="20"/>
      <c r="Z1028" s="20"/>
      <c r="AA1028" s="228"/>
      <c r="AB1028" s="20"/>
      <c r="AC1028" s="20"/>
      <c r="AD1028" s="20"/>
      <c r="AE1028" s="20"/>
      <c r="AF1028" s="20"/>
      <c r="AG1028" s="20"/>
      <c r="AH1028" s="20"/>
      <c r="AI1028" s="20"/>
    </row>
    <row r="1029" spans="1:36" customFormat="1" ht="14.25" customHeight="1">
      <c r="A1029" s="189" t="s">
        <v>3798</v>
      </c>
      <c r="B1029" s="9">
        <v>24.4</v>
      </c>
      <c r="C1029" s="157" t="s">
        <v>3703</v>
      </c>
      <c r="D1029" s="183"/>
      <c r="E1029" s="183"/>
      <c r="F1029" s="188"/>
      <c r="G1029" s="188"/>
      <c r="H1029" s="183"/>
      <c r="I1029" s="183"/>
      <c r="J1029" s="188"/>
      <c r="K1029" s="188"/>
      <c r="L1029" s="9"/>
      <c r="M1029" s="9"/>
      <c r="N1029" s="183">
        <v>3</v>
      </c>
      <c r="O1029" s="7">
        <v>3.9</v>
      </c>
      <c r="P1029" s="9"/>
      <c r="Q1029" s="9"/>
      <c r="S1029" s="228"/>
      <c r="T1029" s="228"/>
      <c r="U1029" s="237"/>
      <c r="V1029" s="233"/>
      <c r="W1029" s="20"/>
      <c r="X1029" s="20"/>
      <c r="Y1029" s="20"/>
      <c r="Z1029" s="20"/>
      <c r="AA1029" s="228"/>
      <c r="AB1029" s="20"/>
      <c r="AC1029" s="20"/>
      <c r="AD1029" s="20"/>
      <c r="AE1029" s="20"/>
      <c r="AF1029" s="20"/>
      <c r="AG1029" s="20"/>
      <c r="AH1029" s="20"/>
      <c r="AI1029" s="20"/>
    </row>
    <row r="1030" spans="1:36" customFormat="1" ht="14.25" customHeight="1">
      <c r="A1030" s="189" t="s">
        <v>3799</v>
      </c>
      <c r="B1030" s="9">
        <v>18</v>
      </c>
      <c r="C1030" s="215" t="s">
        <v>3712</v>
      </c>
      <c r="D1030" s="183"/>
      <c r="E1030" s="183"/>
      <c r="F1030" s="188"/>
      <c r="G1030" s="188"/>
      <c r="H1030" s="183"/>
      <c r="I1030" s="183"/>
      <c r="J1030" s="188"/>
      <c r="K1030" s="188"/>
      <c r="L1030" s="9"/>
      <c r="M1030" s="9"/>
      <c r="N1030" s="183">
        <v>3</v>
      </c>
      <c r="O1030" s="7">
        <v>1.88</v>
      </c>
      <c r="P1030" s="9"/>
      <c r="Q1030" s="9"/>
      <c r="S1030" s="228"/>
      <c r="T1030" s="228"/>
      <c r="U1030" s="237"/>
      <c r="V1030" s="233"/>
      <c r="W1030" s="20"/>
      <c r="X1030" s="20"/>
      <c r="Y1030" s="20"/>
      <c r="Z1030" s="20"/>
      <c r="AA1030" s="228"/>
      <c r="AB1030" s="20"/>
      <c r="AC1030" s="20"/>
      <c r="AD1030" s="20"/>
      <c r="AE1030" s="20"/>
      <c r="AF1030" s="20"/>
      <c r="AG1030" s="20"/>
      <c r="AH1030" s="20"/>
      <c r="AI1030" s="20"/>
    </row>
    <row r="1031" spans="1:36" customFormat="1" ht="14.25" customHeight="1">
      <c r="A1031" s="189" t="s">
        <v>3800</v>
      </c>
      <c r="B1031" s="9">
        <v>18</v>
      </c>
      <c r="C1031" s="160" t="s">
        <v>3714</v>
      </c>
      <c r="D1031" s="183"/>
      <c r="E1031" s="183"/>
      <c r="F1031" s="188"/>
      <c r="G1031" s="188"/>
      <c r="H1031" s="183"/>
      <c r="I1031" s="183"/>
      <c r="J1031" s="188"/>
      <c r="K1031" s="188"/>
      <c r="L1031" s="9"/>
      <c r="M1031" s="9"/>
      <c r="N1031" s="183">
        <v>3</v>
      </c>
      <c r="O1031" s="7">
        <v>2.8</v>
      </c>
      <c r="P1031" s="9"/>
      <c r="Q1031" s="9"/>
      <c r="S1031" s="228"/>
      <c r="T1031" s="228"/>
      <c r="U1031" s="237"/>
      <c r="V1031" s="233"/>
      <c r="W1031" s="20"/>
      <c r="X1031" s="20"/>
      <c r="Y1031" s="20"/>
      <c r="Z1031" s="20"/>
      <c r="AA1031" s="228"/>
      <c r="AB1031" s="20"/>
      <c r="AC1031" s="20"/>
      <c r="AD1031" s="20"/>
      <c r="AE1031" s="20"/>
      <c r="AF1031" s="20"/>
      <c r="AG1031" s="20"/>
      <c r="AH1031" s="20"/>
      <c r="AI1031" s="20"/>
      <c r="AJ1031" s="215" t="s">
        <v>3712</v>
      </c>
    </row>
    <row r="1032" spans="1:36" customFormat="1" ht="14.25" customHeight="1">
      <c r="A1032" s="190" t="s">
        <v>3801</v>
      </c>
      <c r="B1032" s="9">
        <v>18</v>
      </c>
      <c r="C1032" s="214" t="s">
        <v>3807</v>
      </c>
      <c r="D1032" s="183"/>
      <c r="E1032" s="183"/>
      <c r="F1032" s="188"/>
      <c r="G1032" s="188"/>
      <c r="H1032" s="183"/>
      <c r="I1032" s="183"/>
      <c r="J1032" s="188"/>
      <c r="K1032" s="188"/>
      <c r="L1032" s="9"/>
      <c r="M1032" s="9"/>
      <c r="N1032" s="183">
        <v>100</v>
      </c>
      <c r="O1032" s="198">
        <v>3</v>
      </c>
      <c r="P1032" s="225"/>
      <c r="Q1032" s="225"/>
      <c r="S1032" s="228"/>
      <c r="T1032" s="228"/>
      <c r="U1032" s="237"/>
      <c r="V1032" s="233"/>
      <c r="W1032" s="20"/>
      <c r="X1032" s="20"/>
      <c r="Y1032" s="20"/>
      <c r="Z1032" s="20"/>
      <c r="AA1032" s="228"/>
      <c r="AB1032" s="20"/>
      <c r="AC1032" s="20"/>
      <c r="AD1032" s="20"/>
      <c r="AE1032" s="20"/>
      <c r="AF1032" s="20"/>
      <c r="AG1032" s="20"/>
      <c r="AH1032" s="20"/>
      <c r="AI1032" s="20"/>
    </row>
    <row r="1033" spans="1:36" customFormat="1" ht="14.25" customHeight="1">
      <c r="A1033" s="189" t="s">
        <v>3802</v>
      </c>
      <c r="B1033" s="9">
        <v>18</v>
      </c>
      <c r="C1033" s="160" t="s">
        <v>3716</v>
      </c>
      <c r="D1033" s="183"/>
      <c r="E1033" s="183"/>
      <c r="F1033" s="188"/>
      <c r="G1033" s="188"/>
      <c r="H1033" s="183"/>
      <c r="I1033" s="183"/>
      <c r="J1033" s="188"/>
      <c r="K1033" s="188"/>
      <c r="L1033" s="9"/>
      <c r="M1033" s="9"/>
      <c r="N1033" s="183">
        <v>3</v>
      </c>
      <c r="O1033" s="7">
        <v>3.2</v>
      </c>
      <c r="P1033" s="9"/>
      <c r="Q1033" s="9"/>
      <c r="S1033" s="228"/>
      <c r="T1033" s="228"/>
      <c r="U1033" s="237"/>
      <c r="V1033" s="233"/>
      <c r="W1033" s="20"/>
      <c r="X1033" s="20"/>
      <c r="Y1033" s="20"/>
      <c r="Z1033" s="20"/>
      <c r="AA1033" s="228"/>
      <c r="AB1033" s="20"/>
      <c r="AC1033" s="20"/>
      <c r="AD1033" s="20"/>
      <c r="AE1033" s="20"/>
      <c r="AF1033" s="20"/>
      <c r="AG1033" s="20"/>
      <c r="AH1033" s="20"/>
      <c r="AI1033" s="20"/>
    </row>
    <row r="1034" spans="1:36" customFormat="1" ht="14.25" customHeight="1">
      <c r="A1034" s="190" t="s">
        <v>3803</v>
      </c>
      <c r="B1034" s="9">
        <v>18</v>
      </c>
      <c r="C1034" s="160" t="s">
        <v>3808</v>
      </c>
      <c r="D1034" s="183"/>
      <c r="E1034" s="183"/>
      <c r="F1034" s="188"/>
      <c r="G1034" s="188"/>
      <c r="H1034" s="183"/>
      <c r="I1034" s="183"/>
      <c r="J1034" s="188"/>
      <c r="K1034" s="188"/>
      <c r="L1034" s="9"/>
      <c r="M1034" s="9"/>
      <c r="N1034" s="183">
        <v>100</v>
      </c>
      <c r="O1034" s="198">
        <v>3</v>
      </c>
      <c r="P1034" s="225"/>
      <c r="Q1034" s="225"/>
      <c r="S1034" s="228"/>
      <c r="T1034" s="228"/>
      <c r="U1034" s="237"/>
      <c r="V1034" s="233"/>
      <c r="W1034" s="20"/>
      <c r="X1034" s="20"/>
      <c r="Y1034" s="20"/>
      <c r="Z1034" s="20"/>
      <c r="AA1034" s="228"/>
      <c r="AB1034" s="9"/>
      <c r="AC1034" s="9"/>
      <c r="AD1034" s="20"/>
      <c r="AE1034" s="20"/>
      <c r="AF1034" s="20"/>
      <c r="AG1034" s="20"/>
      <c r="AH1034" s="20"/>
      <c r="AI1034" s="20"/>
    </row>
    <row r="1035" spans="1:36" customFormat="1" ht="14.25" customHeight="1">
      <c r="A1035" s="189" t="s">
        <v>3804</v>
      </c>
      <c r="B1035" s="9">
        <v>18</v>
      </c>
      <c r="C1035" s="160" t="s">
        <v>3715</v>
      </c>
      <c r="D1035" s="183"/>
      <c r="E1035" s="183"/>
      <c r="F1035" s="188"/>
      <c r="G1035" s="188"/>
      <c r="H1035" s="183"/>
      <c r="I1035" s="183"/>
      <c r="J1035" s="188"/>
      <c r="K1035" s="188"/>
      <c r="L1035" s="9"/>
      <c r="M1035" s="9"/>
      <c r="N1035" s="183">
        <v>3</v>
      </c>
      <c r="O1035" s="7">
        <v>3.2</v>
      </c>
      <c r="P1035" s="9"/>
      <c r="Q1035" s="9"/>
      <c r="S1035" s="228"/>
      <c r="T1035" s="228"/>
      <c r="U1035" s="237"/>
      <c r="V1035" s="103"/>
      <c r="W1035" s="9"/>
      <c r="X1035" s="9"/>
      <c r="Y1035" s="9"/>
      <c r="Z1035" s="9"/>
      <c r="AA1035" s="228"/>
      <c r="AB1035" s="9"/>
      <c r="AC1035" s="9"/>
      <c r="AD1035" s="9"/>
      <c r="AE1035" s="9"/>
      <c r="AF1035" s="9"/>
      <c r="AG1035" s="9"/>
      <c r="AH1035" s="9"/>
      <c r="AI1035" s="9"/>
    </row>
    <row r="1036" spans="1:36" customFormat="1" ht="14.25" customHeight="1">
      <c r="A1036" s="189" t="s">
        <v>3809</v>
      </c>
      <c r="B1036" s="9">
        <v>18</v>
      </c>
      <c r="C1036" s="160" t="s">
        <v>3713</v>
      </c>
      <c r="D1036" s="183"/>
      <c r="E1036" s="183"/>
      <c r="F1036" s="188"/>
      <c r="G1036" s="188"/>
      <c r="H1036" s="183"/>
      <c r="I1036" s="183"/>
      <c r="J1036" s="188"/>
      <c r="K1036" s="188"/>
      <c r="L1036" s="9"/>
      <c r="M1036" s="9"/>
      <c r="N1036" s="183">
        <v>3</v>
      </c>
      <c r="O1036" s="7">
        <v>2.9</v>
      </c>
      <c r="P1036" s="9"/>
      <c r="Q1036" s="9"/>
      <c r="S1036" s="228"/>
      <c r="T1036" s="228"/>
      <c r="U1036" s="237"/>
      <c r="V1036" s="103"/>
      <c r="W1036" s="9"/>
      <c r="X1036" s="9"/>
      <c r="Y1036" s="9"/>
      <c r="Z1036" s="9"/>
      <c r="AA1036" s="228"/>
      <c r="AB1036" s="9"/>
      <c r="AC1036" s="9"/>
      <c r="AD1036" s="9"/>
      <c r="AE1036" s="9"/>
      <c r="AF1036" s="9"/>
      <c r="AG1036" s="9"/>
      <c r="AH1036" s="9"/>
      <c r="AI1036" s="9"/>
    </row>
    <row r="1037" spans="1:36" customFormat="1" ht="14.25" customHeight="1">
      <c r="A1037" s="190" t="s">
        <v>3810</v>
      </c>
      <c r="B1037" s="9">
        <v>18</v>
      </c>
      <c r="C1037" s="160" t="s">
        <v>3811</v>
      </c>
      <c r="D1037" s="183"/>
      <c r="E1037" s="183"/>
      <c r="F1037" s="188"/>
      <c r="G1037" s="188"/>
      <c r="H1037" s="183"/>
      <c r="I1037" s="183"/>
      <c r="J1037" s="188"/>
      <c r="K1037" s="188"/>
      <c r="L1037" s="9"/>
      <c r="M1037" s="9"/>
      <c r="N1037" s="183">
        <v>100</v>
      </c>
      <c r="O1037" s="198">
        <v>3</v>
      </c>
      <c r="P1037" s="225"/>
      <c r="Q1037" s="225"/>
      <c r="S1037" s="228"/>
      <c r="T1037" s="228"/>
      <c r="U1037" s="237"/>
      <c r="V1037" s="103"/>
      <c r="W1037" s="9"/>
      <c r="X1037" s="9"/>
      <c r="Y1037" s="9"/>
      <c r="Z1037" s="9"/>
      <c r="AA1037" s="228"/>
      <c r="AB1037" s="9"/>
      <c r="AC1037" s="9"/>
      <c r="AD1037" s="9"/>
      <c r="AE1037" s="9"/>
      <c r="AF1037" s="9"/>
      <c r="AG1037" s="9"/>
      <c r="AH1037" s="9"/>
      <c r="AI1037" s="9"/>
    </row>
    <row r="1038" spans="1:36" customFormat="1" ht="14.25" customHeight="1">
      <c r="A1038" s="190" t="s">
        <v>3823</v>
      </c>
      <c r="B1038" s="9">
        <v>18</v>
      </c>
      <c r="C1038" s="160" t="s">
        <v>3812</v>
      </c>
      <c r="D1038" s="183"/>
      <c r="E1038" s="183"/>
      <c r="F1038" s="188"/>
      <c r="G1038" s="188"/>
      <c r="H1038" s="183"/>
      <c r="I1038" s="183"/>
      <c r="J1038" s="188"/>
      <c r="K1038" s="188"/>
      <c r="L1038" s="9"/>
      <c r="M1038" s="9"/>
      <c r="N1038" s="183">
        <v>100</v>
      </c>
      <c r="O1038" s="198">
        <v>3</v>
      </c>
      <c r="P1038" s="225"/>
      <c r="Q1038" s="225"/>
      <c r="S1038" s="228"/>
      <c r="T1038" s="228"/>
      <c r="U1038" s="237"/>
      <c r="V1038" s="103"/>
      <c r="W1038" s="9"/>
      <c r="X1038" s="9"/>
      <c r="Y1038" s="9"/>
      <c r="Z1038" s="9"/>
      <c r="AA1038" s="228"/>
      <c r="AB1038" s="9"/>
      <c r="AC1038" s="9"/>
      <c r="AD1038" s="9"/>
      <c r="AE1038" s="9"/>
      <c r="AF1038" s="9"/>
      <c r="AG1038" s="9"/>
      <c r="AH1038" s="9"/>
      <c r="AI1038" s="9"/>
    </row>
    <row r="1039" spans="1:36" customFormat="1" ht="14.25" customHeight="1">
      <c r="A1039" s="190" t="s">
        <v>3824</v>
      </c>
      <c r="B1039" s="9">
        <v>18</v>
      </c>
      <c r="C1039" s="160" t="s">
        <v>3813</v>
      </c>
      <c r="D1039" s="183"/>
      <c r="E1039" s="183"/>
      <c r="F1039" s="188"/>
      <c r="G1039" s="188"/>
      <c r="H1039" s="183"/>
      <c r="I1039" s="183"/>
      <c r="J1039" s="188"/>
      <c r="K1039" s="188"/>
      <c r="L1039" s="9"/>
      <c r="M1039" s="9"/>
      <c r="N1039" s="183">
        <v>100</v>
      </c>
      <c r="O1039" s="198">
        <v>3</v>
      </c>
      <c r="P1039" s="225"/>
      <c r="Q1039" s="225"/>
      <c r="S1039" s="228"/>
      <c r="T1039" s="228"/>
      <c r="U1039" s="237"/>
      <c r="V1039" s="103"/>
      <c r="W1039" s="9"/>
      <c r="X1039" s="9"/>
      <c r="Y1039" s="9"/>
      <c r="Z1039" s="9"/>
      <c r="AA1039" s="228"/>
      <c r="AB1039" s="9"/>
      <c r="AC1039" s="9"/>
      <c r="AD1039" s="9"/>
      <c r="AE1039" s="9"/>
      <c r="AF1039" s="9"/>
      <c r="AG1039" s="9"/>
      <c r="AH1039" s="9"/>
      <c r="AI1039" s="9"/>
    </row>
    <row r="1040" spans="1:36" customFormat="1" ht="14.25" customHeight="1">
      <c r="A1040" s="190" t="s">
        <v>3825</v>
      </c>
      <c r="B1040" s="9">
        <v>18</v>
      </c>
      <c r="C1040" s="160" t="s">
        <v>3814</v>
      </c>
      <c r="D1040" s="183"/>
      <c r="E1040" s="183"/>
      <c r="F1040" s="188"/>
      <c r="G1040" s="188"/>
      <c r="H1040" s="183"/>
      <c r="I1040" s="183"/>
      <c r="J1040" s="188"/>
      <c r="K1040" s="188"/>
      <c r="L1040" s="9"/>
      <c r="M1040" s="9"/>
      <c r="N1040" s="183">
        <v>100</v>
      </c>
      <c r="O1040" s="198">
        <v>3</v>
      </c>
      <c r="P1040" s="225"/>
      <c r="Q1040" s="225"/>
      <c r="S1040" s="228"/>
      <c r="T1040" s="228"/>
      <c r="U1040" s="237"/>
      <c r="V1040" s="103"/>
      <c r="W1040" s="9"/>
      <c r="X1040" s="9"/>
      <c r="Y1040" s="9"/>
      <c r="Z1040" s="9"/>
      <c r="AA1040" s="228"/>
      <c r="AB1040" s="9"/>
      <c r="AC1040" s="9"/>
      <c r="AD1040" s="9"/>
      <c r="AE1040" s="9"/>
      <c r="AF1040" s="9"/>
      <c r="AG1040" s="9"/>
      <c r="AH1040" s="9"/>
      <c r="AI1040" s="9"/>
    </row>
    <row r="1041" spans="1:40" customFormat="1" ht="14.25" customHeight="1">
      <c r="A1041" s="189" t="s">
        <v>3826</v>
      </c>
      <c r="B1041" s="9">
        <v>8</v>
      </c>
      <c r="C1041" s="215" t="s">
        <v>3711</v>
      </c>
      <c r="D1041" s="183"/>
      <c r="E1041" s="183"/>
      <c r="F1041" s="188"/>
      <c r="G1041" s="188"/>
      <c r="H1041" s="183"/>
      <c r="I1041" s="183"/>
      <c r="J1041" s="188"/>
      <c r="K1041" s="188"/>
      <c r="L1041" s="9"/>
      <c r="M1041" s="9"/>
      <c r="N1041" s="183">
        <v>5</v>
      </c>
      <c r="O1041" s="7">
        <v>0.33</v>
      </c>
      <c r="P1041" s="9"/>
      <c r="Q1041" s="9"/>
      <c r="S1041" s="228"/>
      <c r="T1041" s="228"/>
      <c r="U1041" s="237"/>
      <c r="V1041" s="103"/>
      <c r="W1041" s="9"/>
      <c r="X1041" s="9"/>
      <c r="Y1041" s="9"/>
      <c r="Z1041" s="9"/>
      <c r="AA1041" s="228"/>
      <c r="AB1041" s="9"/>
      <c r="AC1041" s="9"/>
      <c r="AD1041" s="9"/>
      <c r="AE1041" s="9"/>
      <c r="AF1041" s="9"/>
      <c r="AG1041" s="9"/>
      <c r="AH1041" s="9"/>
      <c r="AI1041" s="9"/>
    </row>
    <row r="1042" spans="1:40" customFormat="1" ht="14.25" customHeight="1">
      <c r="A1042" s="189" t="s">
        <v>3827</v>
      </c>
      <c r="B1042" s="9">
        <v>9.1999999999999993</v>
      </c>
      <c r="C1042" s="157" t="s">
        <v>3710</v>
      </c>
      <c r="D1042" s="183"/>
      <c r="E1042" s="183"/>
      <c r="F1042" s="188"/>
      <c r="G1042" s="188"/>
      <c r="H1042" s="183"/>
      <c r="I1042" s="183"/>
      <c r="J1042" s="188"/>
      <c r="K1042" s="188"/>
      <c r="L1042" s="9"/>
      <c r="M1042" s="9"/>
      <c r="N1042" s="183">
        <v>5</v>
      </c>
      <c r="O1042" s="7">
        <v>0.45</v>
      </c>
      <c r="P1042" s="9"/>
      <c r="Q1042" s="9"/>
      <c r="S1042" s="228"/>
      <c r="T1042" s="228"/>
      <c r="U1042" s="237"/>
      <c r="V1042" s="103"/>
      <c r="W1042" s="9"/>
      <c r="X1042" s="9"/>
      <c r="Y1042" s="9"/>
      <c r="Z1042" s="9"/>
      <c r="AA1042" s="228"/>
      <c r="AB1042" s="9"/>
      <c r="AC1042" s="9"/>
      <c r="AD1042" s="9"/>
      <c r="AE1042" s="9"/>
      <c r="AF1042" s="9"/>
      <c r="AG1042" s="9"/>
      <c r="AH1042" s="9"/>
      <c r="AI1042" s="9"/>
      <c r="AJ1042" s="215" t="s">
        <v>3711</v>
      </c>
    </row>
    <row r="1043" spans="1:40" customFormat="1" ht="14.25" customHeight="1">
      <c r="A1043" s="190" t="s">
        <v>3828</v>
      </c>
      <c r="B1043" s="9">
        <v>9</v>
      </c>
      <c r="C1043" s="160" t="s">
        <v>3815</v>
      </c>
      <c r="D1043" s="183"/>
      <c r="E1043" s="183"/>
      <c r="F1043" s="188"/>
      <c r="G1043" s="188"/>
      <c r="H1043" s="183"/>
      <c r="I1043" s="183"/>
      <c r="J1043" s="188"/>
      <c r="K1043" s="188"/>
      <c r="L1043" s="9"/>
      <c r="M1043" s="9"/>
      <c r="N1043" s="183">
        <v>100</v>
      </c>
      <c r="O1043" s="198">
        <v>0.6</v>
      </c>
      <c r="P1043" s="225"/>
      <c r="Q1043" s="225"/>
      <c r="S1043" s="228"/>
      <c r="T1043" s="228"/>
      <c r="U1043" s="237"/>
      <c r="V1043" s="103"/>
      <c r="W1043" s="9"/>
      <c r="X1043" s="9"/>
      <c r="Y1043" s="9"/>
      <c r="Z1043" s="9"/>
      <c r="AA1043" s="228"/>
      <c r="AB1043" s="9"/>
      <c r="AC1043" s="9"/>
      <c r="AD1043" s="9"/>
      <c r="AE1043" s="9"/>
      <c r="AF1043" s="9"/>
      <c r="AG1043" s="9"/>
      <c r="AH1043" s="9"/>
      <c r="AI1043" s="9"/>
    </row>
    <row r="1044" spans="1:40" customFormat="1" ht="14.25" customHeight="1">
      <c r="A1044" s="190" t="s">
        <v>3829</v>
      </c>
      <c r="B1044" s="9">
        <v>12</v>
      </c>
      <c r="C1044" s="160" t="s">
        <v>3822</v>
      </c>
      <c r="D1044" s="183"/>
      <c r="E1044" s="183"/>
      <c r="F1044" s="188"/>
      <c r="G1044" s="188"/>
      <c r="H1044" s="183"/>
      <c r="I1044" s="183"/>
      <c r="J1044" s="188"/>
      <c r="K1044" s="188"/>
      <c r="L1044" s="9"/>
      <c r="M1044" s="9"/>
      <c r="N1044" s="183">
        <v>100</v>
      </c>
      <c r="O1044" s="198">
        <v>0.8</v>
      </c>
      <c r="P1044" s="225"/>
      <c r="Q1044" s="225"/>
      <c r="S1044" s="228"/>
      <c r="T1044" s="228"/>
      <c r="U1044" s="237"/>
      <c r="V1044" s="103"/>
      <c r="W1044" s="9"/>
      <c r="X1044" s="9"/>
      <c r="Y1044" s="9"/>
      <c r="Z1044" s="9"/>
      <c r="AA1044" s="228"/>
      <c r="AB1044" s="9"/>
      <c r="AC1044" s="9"/>
      <c r="AD1044" s="9"/>
      <c r="AE1044" s="9"/>
      <c r="AF1044" s="9"/>
      <c r="AG1044" s="9"/>
      <c r="AH1044" s="9"/>
      <c r="AI1044" s="9"/>
    </row>
    <row r="1045" spans="1:40" customFormat="1" ht="14.25" customHeight="1">
      <c r="A1045" s="189" t="s">
        <v>3830</v>
      </c>
      <c r="B1045" s="9">
        <v>55</v>
      </c>
      <c r="C1045" s="157" t="s">
        <v>3696</v>
      </c>
      <c r="D1045" s="183"/>
      <c r="E1045" s="183"/>
      <c r="F1045" s="188"/>
      <c r="G1045" s="188"/>
      <c r="H1045" s="183"/>
      <c r="I1045" s="183"/>
      <c r="J1045" s="188"/>
      <c r="K1045" s="188"/>
      <c r="L1045" s="9"/>
      <c r="M1045" s="9"/>
      <c r="N1045" s="183">
        <v>3</v>
      </c>
      <c r="O1045" s="7">
        <v>2.69</v>
      </c>
      <c r="P1045" s="9"/>
      <c r="Q1045" s="9"/>
      <c r="S1045" s="228"/>
      <c r="T1045" s="228"/>
      <c r="U1045" s="237"/>
      <c r="V1045" s="103"/>
      <c r="W1045" s="9"/>
      <c r="X1045" s="9"/>
      <c r="Y1045" s="9"/>
      <c r="Z1045" s="9"/>
      <c r="AA1045" s="228"/>
      <c r="AB1045" s="9"/>
      <c r="AC1045" s="9"/>
      <c r="AD1045" s="9"/>
      <c r="AE1045" s="9"/>
      <c r="AF1045" s="9"/>
      <c r="AG1045" s="9"/>
      <c r="AH1045" s="9"/>
      <c r="AI1045" s="9"/>
    </row>
    <row r="1046" spans="1:40" customFormat="1" ht="14.25" customHeight="1">
      <c r="A1046" s="125" t="s">
        <v>3073</v>
      </c>
      <c r="B1046" s="9">
        <v>40.5</v>
      </c>
      <c r="C1046" s="211" t="s">
        <v>1348</v>
      </c>
      <c r="D1046" s="183"/>
      <c r="E1046" s="183"/>
      <c r="F1046" s="188"/>
      <c r="G1046" s="188"/>
      <c r="H1046" s="183"/>
      <c r="I1046" s="183"/>
      <c r="J1046" s="188"/>
      <c r="K1046" s="188"/>
      <c r="L1046" s="9"/>
      <c r="M1046" s="9"/>
      <c r="N1046" s="183">
        <v>3</v>
      </c>
      <c r="O1046" s="7">
        <v>0.62</v>
      </c>
      <c r="P1046" s="9"/>
      <c r="Q1046" s="9"/>
      <c r="R1046" s="7"/>
      <c r="S1046" s="126"/>
      <c r="T1046" s="126"/>
      <c r="U1046" s="237"/>
      <c r="V1046" s="103"/>
      <c r="W1046" s="9"/>
      <c r="X1046" s="9"/>
      <c r="Y1046" s="9"/>
      <c r="Z1046" s="9"/>
      <c r="AA1046" s="228"/>
      <c r="AB1046" s="9"/>
      <c r="AC1046" s="9"/>
      <c r="AD1046" s="9"/>
      <c r="AE1046" s="9"/>
      <c r="AF1046" s="9"/>
      <c r="AG1046" s="9"/>
      <c r="AH1046" s="9"/>
      <c r="AI1046" s="9"/>
    </row>
    <row r="1047" spans="1:40" customFormat="1" ht="14.25" customHeight="1">
      <c r="A1047" s="125" t="s">
        <v>3074</v>
      </c>
      <c r="B1047" s="9">
        <v>40.5</v>
      </c>
      <c r="C1047" s="7" t="s">
        <v>1371</v>
      </c>
      <c r="D1047" s="183"/>
      <c r="E1047" s="183"/>
      <c r="F1047" s="188"/>
      <c r="G1047" s="188"/>
      <c r="H1047" s="183"/>
      <c r="I1047" s="183"/>
      <c r="J1047" s="188"/>
      <c r="K1047" s="188"/>
      <c r="L1047" s="9"/>
      <c r="M1047" s="9"/>
      <c r="N1047" s="183">
        <v>3</v>
      </c>
      <c r="O1047" s="7">
        <v>0.62</v>
      </c>
      <c r="P1047" s="9"/>
      <c r="Q1047" s="9"/>
      <c r="R1047" s="7"/>
      <c r="S1047" s="126"/>
      <c r="T1047" s="126"/>
      <c r="U1047" s="236"/>
      <c r="V1047" s="103"/>
      <c r="W1047" s="9"/>
      <c r="X1047" s="9"/>
      <c r="Y1047" s="9"/>
      <c r="Z1047" s="9"/>
      <c r="AA1047" s="126"/>
      <c r="AB1047" s="9"/>
      <c r="AC1047" s="9"/>
      <c r="AD1047" s="9"/>
      <c r="AE1047" s="9"/>
      <c r="AF1047" s="9"/>
      <c r="AG1047" s="9"/>
      <c r="AH1047" s="9"/>
      <c r="AI1047" s="9"/>
      <c r="AJ1047" s="211" t="s">
        <v>1348</v>
      </c>
      <c r="AK1047" s="7"/>
      <c r="AL1047" s="7"/>
      <c r="AM1047" s="7"/>
      <c r="AN1047" s="7"/>
    </row>
    <row r="1048" spans="1:40" customFormat="1" ht="14.25" customHeight="1">
      <c r="A1048" s="125" t="s">
        <v>3075</v>
      </c>
      <c r="B1048" s="9">
        <v>40.5</v>
      </c>
      <c r="C1048" s="7" t="s">
        <v>5853</v>
      </c>
      <c r="D1048" s="183"/>
      <c r="E1048" s="183"/>
      <c r="F1048" s="188"/>
      <c r="G1048" s="188"/>
      <c r="H1048" s="183"/>
      <c r="I1048" s="183"/>
      <c r="J1048" s="188"/>
      <c r="K1048" s="188"/>
      <c r="L1048" s="9"/>
      <c r="M1048" s="9"/>
      <c r="N1048" s="183">
        <v>3</v>
      </c>
      <c r="O1048" s="7">
        <v>0.62</v>
      </c>
      <c r="P1048" s="9"/>
      <c r="Q1048" s="9"/>
      <c r="R1048" s="7"/>
      <c r="S1048" s="126"/>
      <c r="T1048" s="126"/>
      <c r="U1048" s="236"/>
      <c r="V1048" s="103"/>
      <c r="W1048" s="9"/>
      <c r="X1048" s="9"/>
      <c r="Y1048" s="9"/>
      <c r="Z1048" s="9"/>
      <c r="AA1048" s="126"/>
      <c r="AB1048" s="9"/>
      <c r="AC1048" s="9"/>
      <c r="AD1048" s="9"/>
      <c r="AE1048" s="9"/>
      <c r="AF1048" s="9"/>
      <c r="AG1048" s="9"/>
      <c r="AH1048" s="9"/>
      <c r="AI1048" s="9"/>
      <c r="AJ1048" s="7"/>
      <c r="AK1048" s="7"/>
      <c r="AL1048" s="7"/>
      <c r="AM1048" s="7"/>
      <c r="AN1048" s="7"/>
    </row>
    <row r="1049" spans="1:40" customFormat="1" ht="14.25" customHeight="1">
      <c r="A1049" s="125" t="s">
        <v>3076</v>
      </c>
      <c r="B1049" s="9">
        <v>40.5</v>
      </c>
      <c r="C1049" s="7" t="s">
        <v>5854</v>
      </c>
      <c r="D1049" s="183"/>
      <c r="E1049" s="183"/>
      <c r="F1049" s="188"/>
      <c r="G1049" s="188"/>
      <c r="H1049" s="183"/>
      <c r="I1049" s="183"/>
      <c r="J1049" s="188"/>
      <c r="K1049" s="188"/>
      <c r="L1049" s="9"/>
      <c r="M1049" s="9"/>
      <c r="N1049" s="183">
        <v>3</v>
      </c>
      <c r="O1049" s="7">
        <v>0.62</v>
      </c>
      <c r="P1049" s="9"/>
      <c r="Q1049" s="9"/>
      <c r="R1049" s="7"/>
      <c r="S1049" s="126"/>
      <c r="T1049" s="126"/>
      <c r="U1049" s="236"/>
      <c r="V1049" s="103"/>
      <c r="W1049" s="9"/>
      <c r="X1049" s="9"/>
      <c r="Y1049" s="9"/>
      <c r="Z1049" s="9"/>
      <c r="AA1049" s="126"/>
      <c r="AB1049" s="9"/>
      <c r="AC1049" s="9"/>
      <c r="AD1049" s="9"/>
      <c r="AE1049" s="9"/>
      <c r="AF1049" s="9"/>
      <c r="AG1049" s="9"/>
      <c r="AH1049" s="9"/>
      <c r="AI1049" s="9"/>
      <c r="AJ1049" s="7"/>
      <c r="AK1049" s="7"/>
      <c r="AL1049" s="7"/>
      <c r="AM1049" s="7"/>
      <c r="AN1049" s="7"/>
    </row>
    <row r="1050" spans="1:40" customFormat="1" ht="14.25" customHeight="1">
      <c r="A1050" s="125" t="s">
        <v>3077</v>
      </c>
      <c r="B1050" s="9">
        <v>40.5</v>
      </c>
      <c r="C1050" s="7" t="s">
        <v>5855</v>
      </c>
      <c r="D1050" s="183"/>
      <c r="E1050" s="183"/>
      <c r="F1050" s="188"/>
      <c r="G1050" s="188"/>
      <c r="H1050" s="183"/>
      <c r="I1050" s="183"/>
      <c r="J1050" s="188"/>
      <c r="K1050" s="188"/>
      <c r="L1050" s="9"/>
      <c r="M1050" s="9"/>
      <c r="N1050" s="183">
        <v>3</v>
      </c>
      <c r="O1050" s="7">
        <v>0.62</v>
      </c>
      <c r="P1050" s="9"/>
      <c r="Q1050" s="9"/>
      <c r="R1050" s="7"/>
      <c r="S1050" s="126"/>
      <c r="T1050" s="126"/>
      <c r="U1050" s="236"/>
      <c r="V1050" s="103"/>
      <c r="W1050" s="9"/>
      <c r="X1050" s="9"/>
      <c r="Y1050" s="9"/>
      <c r="Z1050" s="9"/>
      <c r="AA1050" s="126"/>
      <c r="AB1050" s="9"/>
      <c r="AC1050" s="9"/>
      <c r="AD1050" s="9"/>
      <c r="AE1050" s="9"/>
      <c r="AF1050" s="9"/>
      <c r="AG1050" s="9"/>
      <c r="AH1050" s="9"/>
      <c r="AI1050" s="9"/>
      <c r="AJ1050" s="7"/>
      <c r="AK1050" s="7"/>
      <c r="AL1050" s="7"/>
      <c r="AM1050" s="7"/>
      <c r="AN1050" s="7"/>
    </row>
    <row r="1051" spans="1:40" customFormat="1" ht="14.25" customHeight="1">
      <c r="A1051" s="125" t="s">
        <v>3078</v>
      </c>
      <c r="B1051" s="9">
        <v>40.5</v>
      </c>
      <c r="C1051" s="7" t="s">
        <v>5856</v>
      </c>
      <c r="D1051" s="183"/>
      <c r="E1051" s="183"/>
      <c r="F1051" s="188"/>
      <c r="G1051" s="188"/>
      <c r="H1051" s="183"/>
      <c r="I1051" s="183"/>
      <c r="J1051" s="188"/>
      <c r="K1051" s="188"/>
      <c r="L1051" s="9"/>
      <c r="M1051" s="9"/>
      <c r="N1051" s="183">
        <v>3</v>
      </c>
      <c r="O1051" s="7">
        <v>0.62</v>
      </c>
      <c r="P1051" s="9"/>
      <c r="Q1051" s="9"/>
      <c r="R1051" s="7"/>
      <c r="S1051" s="126"/>
      <c r="T1051" s="126"/>
      <c r="U1051" s="236"/>
      <c r="V1051" s="103"/>
      <c r="W1051" s="9"/>
      <c r="X1051" s="9"/>
      <c r="Y1051" s="9"/>
      <c r="Z1051" s="9"/>
      <c r="AA1051" s="126"/>
      <c r="AB1051" s="9"/>
      <c r="AC1051" s="9"/>
      <c r="AD1051" s="9"/>
      <c r="AE1051" s="9"/>
      <c r="AF1051" s="9"/>
      <c r="AG1051" s="9"/>
      <c r="AH1051" s="9"/>
      <c r="AI1051" s="9"/>
      <c r="AJ1051" s="7"/>
      <c r="AK1051" s="7"/>
      <c r="AL1051" s="7"/>
      <c r="AM1051" s="7"/>
      <c r="AN1051" s="7"/>
    </row>
    <row r="1052" spans="1:40" customFormat="1" ht="14.25" customHeight="1">
      <c r="A1052" s="125" t="s">
        <v>3079</v>
      </c>
      <c r="B1052" s="9">
        <v>40.5</v>
      </c>
      <c r="C1052" s="7" t="s">
        <v>5857</v>
      </c>
      <c r="D1052" s="183"/>
      <c r="E1052" s="183"/>
      <c r="F1052" s="188"/>
      <c r="G1052" s="188"/>
      <c r="H1052" s="183"/>
      <c r="I1052" s="183"/>
      <c r="J1052" s="188"/>
      <c r="K1052" s="188"/>
      <c r="L1052" s="9"/>
      <c r="M1052" s="9"/>
      <c r="N1052" s="183">
        <v>3</v>
      </c>
      <c r="O1052" s="7">
        <v>0.62</v>
      </c>
      <c r="P1052" s="9"/>
      <c r="Q1052" s="9"/>
      <c r="R1052" s="7"/>
      <c r="S1052" s="126"/>
      <c r="T1052" s="126"/>
      <c r="U1052" s="236"/>
      <c r="V1052" s="103"/>
      <c r="W1052" s="9"/>
      <c r="X1052" s="9"/>
      <c r="Y1052" s="9"/>
      <c r="Z1052" s="9"/>
      <c r="AA1052" s="126"/>
      <c r="AB1052" s="9"/>
      <c r="AC1052" s="9"/>
      <c r="AD1052" s="9"/>
      <c r="AE1052" s="9"/>
      <c r="AF1052" s="9"/>
      <c r="AG1052" s="9"/>
      <c r="AH1052" s="9"/>
      <c r="AI1052" s="9"/>
      <c r="AJ1052" s="7"/>
      <c r="AK1052" s="7"/>
      <c r="AL1052" s="7"/>
      <c r="AM1052" s="7"/>
      <c r="AN1052" s="7"/>
    </row>
    <row r="1053" spans="1:40" customFormat="1" ht="14.25" customHeight="1">
      <c r="A1053" s="125" t="s">
        <v>3080</v>
      </c>
      <c r="B1053" s="9">
        <f>15.6+30.7</f>
        <v>46.3</v>
      </c>
      <c r="C1053" s="211" t="s">
        <v>1354</v>
      </c>
      <c r="D1053" s="183"/>
      <c r="E1053" s="183"/>
      <c r="F1053" s="188"/>
      <c r="G1053" s="188"/>
      <c r="H1053" s="183"/>
      <c r="I1053" s="183"/>
      <c r="J1053" s="188"/>
      <c r="K1053" s="188"/>
      <c r="L1053" s="9"/>
      <c r="M1053" s="9"/>
      <c r="N1053" s="183">
        <v>3</v>
      </c>
      <c r="O1053" s="7">
        <v>2.4</v>
      </c>
      <c r="P1053" s="9"/>
      <c r="Q1053" s="9"/>
      <c r="R1053" s="7"/>
      <c r="S1053" s="126"/>
      <c r="T1053" s="126"/>
      <c r="U1053" s="236"/>
      <c r="V1053" s="103"/>
      <c r="W1053" s="9"/>
      <c r="X1053" s="9"/>
      <c r="Y1053" s="9"/>
      <c r="Z1053" s="9"/>
      <c r="AA1053" s="126"/>
      <c r="AB1053" s="9"/>
      <c r="AC1053" s="9"/>
      <c r="AD1053" s="9"/>
      <c r="AE1053" s="9"/>
      <c r="AF1053" s="9"/>
      <c r="AG1053" s="9"/>
      <c r="AH1053" s="9"/>
      <c r="AI1053" s="9"/>
      <c r="AJ1053" s="7"/>
      <c r="AK1053" s="7"/>
      <c r="AL1053" s="7"/>
      <c r="AM1053" s="7"/>
      <c r="AN1053" s="7"/>
    </row>
    <row r="1054" spans="1:40" customFormat="1" ht="14.25" customHeight="1">
      <c r="A1054" s="125" t="s">
        <v>3081</v>
      </c>
      <c r="B1054" s="9">
        <f>15.6+30.7</f>
        <v>46.3</v>
      </c>
      <c r="C1054" s="7" t="s">
        <v>5858</v>
      </c>
      <c r="D1054" s="183"/>
      <c r="E1054" s="183"/>
      <c r="F1054" s="188"/>
      <c r="G1054" s="188"/>
      <c r="H1054" s="183"/>
      <c r="I1054" s="183"/>
      <c r="J1054" s="188"/>
      <c r="K1054" s="188"/>
      <c r="L1054" s="9"/>
      <c r="M1054" s="9"/>
      <c r="N1054" s="183">
        <v>3</v>
      </c>
      <c r="O1054" s="7">
        <v>2.4</v>
      </c>
      <c r="P1054" s="9"/>
      <c r="Q1054" s="9"/>
      <c r="R1054" s="7"/>
      <c r="S1054" s="126"/>
      <c r="T1054" s="126"/>
      <c r="U1054" s="236"/>
      <c r="V1054" s="103"/>
      <c r="W1054" s="9"/>
      <c r="X1054" s="9"/>
      <c r="Y1054" s="9"/>
      <c r="Z1054" s="9"/>
      <c r="AA1054" s="126"/>
      <c r="AB1054" s="9"/>
      <c r="AC1054" s="9"/>
      <c r="AD1054" s="9"/>
      <c r="AE1054" s="9"/>
      <c r="AF1054" s="9"/>
      <c r="AG1054" s="9"/>
      <c r="AH1054" s="9"/>
      <c r="AI1054" s="9"/>
      <c r="AJ1054" s="211" t="s">
        <v>1354</v>
      </c>
      <c r="AK1054" s="7"/>
      <c r="AL1054" s="7"/>
      <c r="AM1054" s="7"/>
      <c r="AN1054" s="7"/>
    </row>
    <row r="1055" spans="1:40" customFormat="1" ht="14.25" customHeight="1">
      <c r="A1055" s="125" t="s">
        <v>3082</v>
      </c>
      <c r="B1055" s="9">
        <f>46-7</f>
        <v>39</v>
      </c>
      <c r="C1055" s="7" t="s">
        <v>5859</v>
      </c>
      <c r="D1055" s="183"/>
      <c r="E1055" s="183"/>
      <c r="F1055" s="188"/>
      <c r="G1055" s="188"/>
      <c r="H1055" s="183"/>
      <c r="I1055" s="183"/>
      <c r="J1055" s="188"/>
      <c r="K1055" s="188"/>
      <c r="L1055" s="9"/>
      <c r="M1055" s="9"/>
      <c r="N1055" s="183">
        <v>6</v>
      </c>
      <c r="O1055" s="7">
        <v>1.45</v>
      </c>
      <c r="P1055" s="9"/>
      <c r="Q1055" s="9"/>
      <c r="R1055" s="7"/>
      <c r="S1055" s="126"/>
      <c r="T1055" s="126"/>
      <c r="U1055" s="236"/>
      <c r="V1055" s="103"/>
      <c r="W1055" s="9"/>
      <c r="X1055" s="9"/>
      <c r="Y1055" s="9"/>
      <c r="Z1055" s="9"/>
      <c r="AA1055" s="126"/>
      <c r="AB1055" s="9"/>
      <c r="AC1055" s="9"/>
      <c r="AD1055" s="9"/>
      <c r="AE1055" s="9"/>
      <c r="AF1055" s="9"/>
      <c r="AG1055" s="9"/>
      <c r="AH1055" s="9"/>
      <c r="AI1055" s="9"/>
      <c r="AJ1055" s="7"/>
      <c r="AK1055" s="7"/>
      <c r="AL1055" s="7"/>
      <c r="AM1055" s="7"/>
      <c r="AN1055" s="7"/>
    </row>
    <row r="1056" spans="1:40" customFormat="1" ht="14.25" customHeight="1">
      <c r="A1056" s="125" t="s">
        <v>3083</v>
      </c>
      <c r="B1056" s="9">
        <f>53.2-7</f>
        <v>46.2</v>
      </c>
      <c r="C1056" s="7" t="s">
        <v>5860</v>
      </c>
      <c r="D1056" s="183"/>
      <c r="E1056" s="183"/>
      <c r="F1056" s="188"/>
      <c r="G1056" s="188"/>
      <c r="H1056" s="183"/>
      <c r="I1056" s="183"/>
      <c r="J1056" s="188"/>
      <c r="K1056" s="188"/>
      <c r="L1056" s="9"/>
      <c r="M1056" s="9"/>
      <c r="N1056" s="183">
        <v>3</v>
      </c>
      <c r="O1056" s="7">
        <v>2.1</v>
      </c>
      <c r="P1056" s="9"/>
      <c r="Q1056" s="9"/>
      <c r="R1056" s="7"/>
      <c r="S1056" s="126"/>
      <c r="T1056" s="126"/>
      <c r="U1056" s="236"/>
      <c r="V1056" s="103"/>
      <c r="W1056" s="9"/>
      <c r="X1056" s="9"/>
      <c r="Y1056" s="9"/>
      <c r="Z1056" s="9"/>
      <c r="AA1056" s="126"/>
      <c r="AB1056" s="9"/>
      <c r="AC1056" s="9"/>
      <c r="AD1056" s="9"/>
      <c r="AE1056" s="9"/>
      <c r="AF1056" s="9"/>
      <c r="AG1056" s="9"/>
      <c r="AH1056" s="9"/>
      <c r="AI1056" s="9"/>
      <c r="AJ1056" s="7"/>
      <c r="AK1056" s="7"/>
      <c r="AL1056" s="7"/>
      <c r="AM1056" s="7"/>
      <c r="AN1056" s="7"/>
    </row>
    <row r="1057" spans="1:40" customFormat="1" ht="14.25" customHeight="1">
      <c r="A1057" s="125" t="s">
        <v>3084</v>
      </c>
      <c r="B1057" s="9">
        <f>85.4-7</f>
        <v>78.400000000000006</v>
      </c>
      <c r="C1057" s="211" t="s">
        <v>5861</v>
      </c>
      <c r="D1057" s="183"/>
      <c r="E1057" s="183"/>
      <c r="F1057" s="188"/>
      <c r="G1057" s="188"/>
      <c r="H1057" s="183"/>
      <c r="I1057" s="183"/>
      <c r="J1057" s="188"/>
      <c r="K1057" s="188"/>
      <c r="L1057" s="9"/>
      <c r="M1057" s="9"/>
      <c r="N1057" s="183">
        <v>3</v>
      </c>
      <c r="O1057" s="7">
        <v>1.94</v>
      </c>
      <c r="P1057" s="9"/>
      <c r="Q1057" s="9"/>
      <c r="R1057" s="7"/>
      <c r="S1057" s="126"/>
      <c r="T1057" s="126"/>
      <c r="U1057" s="236"/>
      <c r="V1057" s="103"/>
      <c r="W1057" s="9"/>
      <c r="X1057" s="9"/>
      <c r="Y1057" s="9"/>
      <c r="Z1057" s="9"/>
      <c r="AA1057" s="126"/>
      <c r="AB1057" s="9"/>
      <c r="AC1057" s="9"/>
      <c r="AD1057" s="9"/>
      <c r="AE1057" s="9"/>
      <c r="AF1057" s="9"/>
      <c r="AG1057" s="9"/>
      <c r="AH1057" s="9"/>
      <c r="AI1057" s="9"/>
      <c r="AJ1057" s="7"/>
      <c r="AK1057" s="7"/>
      <c r="AL1057" s="7"/>
      <c r="AM1057" s="7"/>
      <c r="AN1057" s="7"/>
    </row>
    <row r="1058" spans="1:40" customFormat="1" ht="14.25" customHeight="1">
      <c r="A1058" s="125" t="s">
        <v>3085</v>
      </c>
      <c r="B1058" s="9">
        <f>85.4-7</f>
        <v>78.400000000000006</v>
      </c>
      <c r="C1058" s="7" t="s">
        <v>5862</v>
      </c>
      <c r="D1058" s="183"/>
      <c r="E1058" s="183"/>
      <c r="F1058" s="188"/>
      <c r="G1058" s="188"/>
      <c r="H1058" s="183"/>
      <c r="I1058" s="183"/>
      <c r="J1058" s="188"/>
      <c r="K1058" s="188"/>
      <c r="L1058" s="9"/>
      <c r="M1058" s="9"/>
      <c r="N1058" s="183">
        <v>3</v>
      </c>
      <c r="O1058" s="7">
        <v>1.94</v>
      </c>
      <c r="P1058" s="9"/>
      <c r="Q1058" s="9"/>
      <c r="R1058" s="7"/>
      <c r="S1058" s="126"/>
      <c r="T1058" s="126"/>
      <c r="U1058" s="236"/>
      <c r="V1058" s="103"/>
      <c r="W1058" s="9"/>
      <c r="X1058" s="9"/>
      <c r="Y1058" s="9"/>
      <c r="Z1058" s="9"/>
      <c r="AA1058" s="126"/>
      <c r="AB1058" s="9"/>
      <c r="AC1058" s="9"/>
      <c r="AD1058" s="9"/>
      <c r="AE1058" s="9"/>
      <c r="AF1058" s="9"/>
      <c r="AG1058" s="9"/>
      <c r="AH1058" s="9"/>
      <c r="AI1058" s="9"/>
      <c r="AJ1058" s="211" t="s">
        <v>5861</v>
      </c>
      <c r="AK1058" s="7"/>
      <c r="AL1058" s="7"/>
      <c r="AM1058" s="7"/>
      <c r="AN1058" s="7"/>
    </row>
    <row r="1059" spans="1:40" customFormat="1" ht="14.25" customHeight="1">
      <c r="A1059" s="125" t="s">
        <v>3086</v>
      </c>
      <c r="B1059" s="9">
        <f>85.4-7</f>
        <v>78.400000000000006</v>
      </c>
      <c r="C1059" s="7" t="s">
        <v>5863</v>
      </c>
      <c r="D1059" s="183"/>
      <c r="E1059" s="183"/>
      <c r="F1059" s="188"/>
      <c r="G1059" s="188"/>
      <c r="H1059" s="183"/>
      <c r="I1059" s="183"/>
      <c r="J1059" s="188"/>
      <c r="K1059" s="188"/>
      <c r="L1059" s="9"/>
      <c r="M1059" s="9"/>
      <c r="N1059" s="183">
        <v>3</v>
      </c>
      <c r="O1059" s="7">
        <v>1.94</v>
      </c>
      <c r="P1059" s="9"/>
      <c r="Q1059" s="9"/>
      <c r="R1059" s="7"/>
      <c r="S1059" s="126"/>
      <c r="T1059" s="126"/>
      <c r="U1059" s="236"/>
      <c r="V1059" s="103"/>
      <c r="W1059" s="9"/>
      <c r="X1059" s="9"/>
      <c r="Y1059" s="9"/>
      <c r="Z1059" s="9"/>
      <c r="AA1059" s="126"/>
      <c r="AB1059" s="9"/>
      <c r="AC1059" s="9"/>
      <c r="AD1059" s="9"/>
      <c r="AE1059" s="9"/>
      <c r="AF1059" s="9"/>
      <c r="AG1059" s="9"/>
      <c r="AH1059" s="9"/>
      <c r="AI1059" s="9"/>
      <c r="AJ1059" s="7"/>
      <c r="AK1059" s="7"/>
      <c r="AL1059" s="7"/>
      <c r="AM1059" s="7"/>
      <c r="AN1059" s="7"/>
    </row>
    <row r="1060" spans="1:40" customFormat="1" ht="14.25" customHeight="1">
      <c r="A1060" s="125" t="s">
        <v>3087</v>
      </c>
      <c r="B1060" s="9">
        <f>39.5-7</f>
        <v>32.5</v>
      </c>
      <c r="C1060" s="211" t="s">
        <v>5864</v>
      </c>
      <c r="D1060" s="183"/>
      <c r="E1060" s="183"/>
      <c r="F1060" s="188"/>
      <c r="G1060" s="188"/>
      <c r="H1060" s="183"/>
      <c r="I1060" s="183"/>
      <c r="J1060" s="188"/>
      <c r="K1060" s="188"/>
      <c r="L1060" s="9"/>
      <c r="M1060" s="9"/>
      <c r="N1060" s="183">
        <v>3</v>
      </c>
      <c r="O1060" s="7">
        <v>1.88</v>
      </c>
      <c r="P1060" s="9"/>
      <c r="Q1060" s="9"/>
      <c r="R1060" s="7"/>
      <c r="S1060" s="126"/>
      <c r="T1060" s="126"/>
      <c r="U1060" s="236"/>
      <c r="V1060" s="103"/>
      <c r="W1060" s="9"/>
      <c r="X1060" s="9"/>
      <c r="Y1060" s="9"/>
      <c r="Z1060" s="9"/>
      <c r="AA1060" s="126"/>
      <c r="AB1060" s="9"/>
      <c r="AC1060" s="9"/>
      <c r="AD1060" s="9"/>
      <c r="AE1060" s="9"/>
      <c r="AF1060" s="9"/>
      <c r="AG1060" s="9"/>
      <c r="AH1060" s="9"/>
      <c r="AI1060" s="9"/>
      <c r="AJ1060" s="7"/>
      <c r="AK1060" s="7"/>
      <c r="AL1060" s="7"/>
      <c r="AM1060" s="7"/>
      <c r="AN1060" s="4"/>
    </row>
    <row r="1061" spans="1:40" customFormat="1" ht="14.25" customHeight="1">
      <c r="A1061" s="125" t="s">
        <v>3088</v>
      </c>
      <c r="B1061" s="9">
        <f>39.5-7</f>
        <v>32.5</v>
      </c>
      <c r="C1061" s="7" t="s">
        <v>5865</v>
      </c>
      <c r="D1061" s="183"/>
      <c r="E1061" s="183"/>
      <c r="F1061" s="188"/>
      <c r="G1061" s="188"/>
      <c r="H1061" s="183"/>
      <c r="I1061" s="183"/>
      <c r="J1061" s="188"/>
      <c r="K1061" s="188"/>
      <c r="L1061" s="9"/>
      <c r="M1061" s="9"/>
      <c r="N1061" s="183">
        <v>3</v>
      </c>
      <c r="O1061" s="7">
        <v>1.88</v>
      </c>
      <c r="P1061" s="9"/>
      <c r="Q1061" s="9"/>
      <c r="R1061" s="7"/>
      <c r="S1061" s="126"/>
      <c r="T1061" s="126"/>
      <c r="U1061" s="236"/>
      <c r="V1061" s="103"/>
      <c r="W1061" s="9"/>
      <c r="X1061" s="9"/>
      <c r="Y1061" s="9"/>
      <c r="Z1061" s="9"/>
      <c r="AA1061" s="126"/>
      <c r="AB1061" s="9"/>
      <c r="AC1061" s="9"/>
      <c r="AD1061" s="9"/>
      <c r="AE1061" s="9"/>
      <c r="AF1061" s="9"/>
      <c r="AG1061" s="9"/>
      <c r="AH1061" s="9"/>
      <c r="AI1061" s="9"/>
      <c r="AJ1061" s="211" t="s">
        <v>5864</v>
      </c>
      <c r="AK1061" s="7"/>
      <c r="AL1061" s="7"/>
      <c r="AM1061" s="7"/>
      <c r="AN1061" s="7"/>
    </row>
    <row r="1062" spans="1:40" customFormat="1" ht="14.25" customHeight="1">
      <c r="A1062" s="125" t="s">
        <v>3089</v>
      </c>
      <c r="B1062" s="9">
        <f>39.5-7</f>
        <v>32.5</v>
      </c>
      <c r="C1062" s="7" t="s">
        <v>1379</v>
      </c>
      <c r="D1062" s="183"/>
      <c r="E1062" s="183"/>
      <c r="F1062" s="188"/>
      <c r="G1062" s="188"/>
      <c r="H1062" s="183"/>
      <c r="I1062" s="183"/>
      <c r="J1062" s="188"/>
      <c r="K1062" s="188"/>
      <c r="L1062" s="9"/>
      <c r="M1062" s="9"/>
      <c r="N1062" s="183">
        <v>3</v>
      </c>
      <c r="O1062" s="7">
        <v>1.88</v>
      </c>
      <c r="P1062" s="9"/>
      <c r="Q1062" s="9"/>
      <c r="R1062" s="7"/>
      <c r="S1062" s="126"/>
      <c r="T1062" s="126"/>
      <c r="U1062" s="236"/>
      <c r="V1062" s="103"/>
      <c r="W1062" s="9"/>
      <c r="X1062" s="9"/>
      <c r="Y1062" s="9"/>
      <c r="Z1062" s="9"/>
      <c r="AA1062" s="126"/>
      <c r="AB1062" s="9"/>
      <c r="AC1062" s="9"/>
      <c r="AD1062" s="9"/>
      <c r="AE1062" s="9"/>
      <c r="AF1062" s="9"/>
      <c r="AG1062" s="9"/>
      <c r="AH1062" s="9"/>
      <c r="AI1062" s="9"/>
      <c r="AJ1062" s="7"/>
      <c r="AK1062" s="7"/>
      <c r="AL1062" s="7"/>
      <c r="AM1062" s="7"/>
      <c r="AN1062" s="7"/>
    </row>
    <row r="1063" spans="1:40" customFormat="1" ht="14.25" customHeight="1">
      <c r="A1063" s="125" t="s">
        <v>3090</v>
      </c>
      <c r="B1063" s="9">
        <v>25.5</v>
      </c>
      <c r="C1063" s="7" t="s">
        <v>3160</v>
      </c>
      <c r="D1063" s="183"/>
      <c r="E1063" s="183"/>
      <c r="F1063" s="188"/>
      <c r="G1063" s="188"/>
      <c r="H1063" s="183"/>
      <c r="I1063" s="183"/>
      <c r="J1063" s="188"/>
      <c r="K1063" s="188"/>
      <c r="L1063" s="9"/>
      <c r="M1063" s="9"/>
      <c r="N1063" s="183">
        <v>6</v>
      </c>
      <c r="O1063" s="7">
        <v>1.49</v>
      </c>
      <c r="P1063" s="9"/>
      <c r="Q1063" s="9"/>
      <c r="R1063" s="7"/>
      <c r="S1063" s="126"/>
      <c r="T1063" s="126"/>
      <c r="U1063" s="236"/>
      <c r="V1063" s="103"/>
      <c r="W1063" s="9"/>
      <c r="X1063" s="9"/>
      <c r="Y1063" s="9"/>
      <c r="Z1063" s="9"/>
      <c r="AA1063" s="126"/>
      <c r="AB1063" s="9"/>
      <c r="AC1063" s="9"/>
      <c r="AD1063" s="9"/>
      <c r="AE1063" s="9"/>
      <c r="AF1063" s="9"/>
      <c r="AG1063" s="9"/>
      <c r="AH1063" s="9"/>
      <c r="AI1063" s="9"/>
      <c r="AJ1063" s="7"/>
      <c r="AK1063" s="7"/>
      <c r="AL1063" s="7"/>
      <c r="AM1063" s="7"/>
      <c r="AN1063" s="7"/>
    </row>
    <row r="1064" spans="1:40" customFormat="1" ht="14.25" customHeight="1">
      <c r="A1064" s="125" t="s">
        <v>3091</v>
      </c>
      <c r="B1064" s="9">
        <v>24.5</v>
      </c>
      <c r="C1064" s="211" t="s">
        <v>1360</v>
      </c>
      <c r="D1064" s="183"/>
      <c r="E1064" s="183"/>
      <c r="F1064" s="188"/>
      <c r="G1064" s="188"/>
      <c r="H1064" s="183"/>
      <c r="I1064" s="183"/>
      <c r="J1064" s="188"/>
      <c r="K1064" s="188"/>
      <c r="L1064" s="9"/>
      <c r="M1064" s="9"/>
      <c r="N1064" s="183">
        <v>3</v>
      </c>
      <c r="O1064" s="7">
        <v>2.0699999999999998</v>
      </c>
      <c r="P1064" s="9"/>
      <c r="Q1064" s="9"/>
      <c r="R1064" s="7"/>
      <c r="S1064" s="126"/>
      <c r="T1064" s="126"/>
      <c r="U1064" s="236"/>
      <c r="V1064" s="103"/>
      <c r="W1064" s="9"/>
      <c r="X1064" s="9"/>
      <c r="Y1064" s="9"/>
      <c r="Z1064" s="9"/>
      <c r="AA1064" s="126"/>
      <c r="AB1064" s="9"/>
      <c r="AC1064" s="9"/>
      <c r="AD1064" s="9"/>
      <c r="AE1064" s="9"/>
      <c r="AF1064" s="9"/>
      <c r="AG1064" s="9"/>
      <c r="AH1064" s="9"/>
      <c r="AI1064" s="9"/>
      <c r="AJ1064" s="7"/>
      <c r="AK1064" s="7"/>
      <c r="AL1064" s="7"/>
      <c r="AM1064" s="7"/>
      <c r="AN1064" s="7"/>
    </row>
    <row r="1065" spans="1:40" customFormat="1" ht="14.25" customHeight="1">
      <c r="A1065" s="125" t="s">
        <v>3092</v>
      </c>
      <c r="B1065" s="9">
        <v>24.5</v>
      </c>
      <c r="C1065" s="7" t="s">
        <v>5866</v>
      </c>
      <c r="D1065" s="183"/>
      <c r="E1065" s="183"/>
      <c r="F1065" s="188"/>
      <c r="G1065" s="188"/>
      <c r="H1065" s="183"/>
      <c r="I1065" s="183"/>
      <c r="J1065" s="188"/>
      <c r="K1065" s="188"/>
      <c r="L1065" s="9"/>
      <c r="M1065" s="9"/>
      <c r="N1065" s="183">
        <v>3</v>
      </c>
      <c r="O1065" s="7">
        <v>2.0699999999999998</v>
      </c>
      <c r="P1065" s="9"/>
      <c r="Q1065" s="9"/>
      <c r="R1065" s="7"/>
      <c r="S1065" s="126"/>
      <c r="T1065" s="126"/>
      <c r="U1065" s="236"/>
      <c r="V1065" s="103"/>
      <c r="W1065" s="9"/>
      <c r="X1065" s="9"/>
      <c r="Y1065" s="9"/>
      <c r="Z1065" s="9"/>
      <c r="AA1065" s="126"/>
      <c r="AB1065" s="9"/>
      <c r="AC1065" s="9"/>
      <c r="AD1065" s="9"/>
      <c r="AE1065" s="9"/>
      <c r="AF1065" s="9"/>
      <c r="AG1065" s="9"/>
      <c r="AH1065" s="9"/>
      <c r="AI1065" s="9"/>
      <c r="AJ1065" s="211" t="s">
        <v>1360</v>
      </c>
      <c r="AK1065" s="7"/>
      <c r="AL1065" s="7"/>
      <c r="AM1065" s="7"/>
      <c r="AN1065" s="7"/>
    </row>
    <row r="1066" spans="1:40" customFormat="1" ht="14.25" customHeight="1">
      <c r="A1066" s="125" t="s">
        <v>3093</v>
      </c>
      <c r="B1066" s="9">
        <v>24.5</v>
      </c>
      <c r="C1066" s="7" t="s">
        <v>1380</v>
      </c>
      <c r="D1066" s="183"/>
      <c r="E1066" s="183"/>
      <c r="F1066" s="188"/>
      <c r="G1066" s="188"/>
      <c r="H1066" s="183"/>
      <c r="I1066" s="183"/>
      <c r="J1066" s="188"/>
      <c r="K1066" s="188"/>
      <c r="L1066" s="9"/>
      <c r="M1066" s="9"/>
      <c r="N1066" s="183">
        <v>3</v>
      </c>
      <c r="O1066" s="7">
        <v>2.0699999999999998</v>
      </c>
      <c r="P1066" s="9"/>
      <c r="Q1066" s="9"/>
      <c r="R1066" s="7"/>
      <c r="S1066" s="126"/>
      <c r="T1066" s="126"/>
      <c r="U1066" s="236"/>
      <c r="V1066" s="103"/>
      <c r="W1066" s="9"/>
      <c r="X1066" s="9"/>
      <c r="Y1066" s="9"/>
      <c r="Z1066" s="9"/>
      <c r="AA1066" s="126"/>
      <c r="AB1066" s="9"/>
      <c r="AC1066" s="9"/>
      <c r="AD1066" s="9"/>
      <c r="AE1066" s="9"/>
      <c r="AF1066" s="9"/>
      <c r="AG1066" s="9"/>
      <c r="AH1066" s="9"/>
      <c r="AI1066" s="9"/>
      <c r="AJ1066" s="7"/>
      <c r="AK1066" s="7"/>
      <c r="AL1066" s="7"/>
      <c r="AM1066" s="7"/>
      <c r="AN1066" s="7"/>
    </row>
    <row r="1067" spans="1:40" customFormat="1" ht="14.25" customHeight="1">
      <c r="A1067" s="125" t="s">
        <v>3094</v>
      </c>
      <c r="B1067" s="9">
        <v>28</v>
      </c>
      <c r="C1067" s="211" t="s">
        <v>1372</v>
      </c>
      <c r="D1067" s="183"/>
      <c r="E1067" s="183"/>
      <c r="F1067" s="188"/>
      <c r="G1067" s="188"/>
      <c r="H1067" s="183"/>
      <c r="I1067" s="183"/>
      <c r="J1067" s="188"/>
      <c r="K1067" s="188"/>
      <c r="L1067" s="9"/>
      <c r="M1067" s="9"/>
      <c r="N1067" s="183">
        <v>3</v>
      </c>
      <c r="O1067" s="7">
        <v>2.2200000000000002</v>
      </c>
      <c r="P1067" s="9"/>
      <c r="Q1067" s="9"/>
      <c r="R1067" s="7"/>
      <c r="S1067" s="126"/>
      <c r="T1067" s="126"/>
      <c r="U1067" s="236"/>
      <c r="V1067" s="103"/>
      <c r="W1067" s="9"/>
      <c r="X1067" s="9"/>
      <c r="Y1067" s="9"/>
      <c r="Z1067" s="9"/>
      <c r="AA1067" s="126"/>
      <c r="AB1067" s="9"/>
      <c r="AC1067" s="9"/>
      <c r="AD1067" s="9"/>
      <c r="AE1067" s="9"/>
      <c r="AF1067" s="9"/>
      <c r="AG1067" s="9"/>
      <c r="AH1067" s="9"/>
      <c r="AI1067" s="9"/>
      <c r="AJ1067" s="7"/>
      <c r="AK1067" s="7"/>
      <c r="AL1067" s="7"/>
      <c r="AM1067" s="7"/>
      <c r="AN1067" s="7"/>
    </row>
    <row r="1068" spans="1:40" customFormat="1" ht="14.25" customHeight="1">
      <c r="A1068" s="125" t="s">
        <v>3095</v>
      </c>
      <c r="B1068" s="9">
        <v>28</v>
      </c>
      <c r="C1068" s="7" t="s">
        <v>5867</v>
      </c>
      <c r="D1068" s="183"/>
      <c r="E1068" s="183"/>
      <c r="F1068" s="188"/>
      <c r="G1068" s="188"/>
      <c r="H1068" s="183"/>
      <c r="I1068" s="183"/>
      <c r="J1068" s="188"/>
      <c r="K1068" s="188"/>
      <c r="L1068" s="9"/>
      <c r="M1068" s="9"/>
      <c r="N1068" s="183">
        <v>3</v>
      </c>
      <c r="O1068" s="7">
        <v>2.2200000000000002</v>
      </c>
      <c r="P1068" s="9"/>
      <c r="Q1068" s="9"/>
      <c r="R1068" s="7"/>
      <c r="S1068" s="126"/>
      <c r="T1068" s="126"/>
      <c r="U1068" s="236"/>
      <c r="V1068" s="103"/>
      <c r="W1068" s="9"/>
      <c r="X1068" s="9"/>
      <c r="Y1068" s="9"/>
      <c r="Z1068" s="9"/>
      <c r="AA1068" s="126"/>
      <c r="AB1068" s="9"/>
      <c r="AC1068" s="9"/>
      <c r="AD1068" s="9"/>
      <c r="AE1068" s="9"/>
      <c r="AF1068" s="9"/>
      <c r="AG1068" s="9"/>
      <c r="AH1068" s="9"/>
      <c r="AI1068" s="9"/>
      <c r="AJ1068" s="211" t="s">
        <v>1372</v>
      </c>
      <c r="AK1068" s="7"/>
      <c r="AL1068" s="7"/>
      <c r="AM1068" s="7"/>
      <c r="AN1068" s="7"/>
    </row>
    <row r="1069" spans="1:40" customFormat="1" ht="14.25" customHeight="1">
      <c r="A1069" s="125" t="s">
        <v>3096</v>
      </c>
      <c r="B1069" s="9">
        <v>28</v>
      </c>
      <c r="C1069" s="7" t="s">
        <v>1375</v>
      </c>
      <c r="D1069" s="183"/>
      <c r="E1069" s="183"/>
      <c r="F1069" s="188"/>
      <c r="G1069" s="188"/>
      <c r="H1069" s="183"/>
      <c r="I1069" s="183"/>
      <c r="J1069" s="188"/>
      <c r="K1069" s="188"/>
      <c r="L1069" s="9"/>
      <c r="M1069" s="9"/>
      <c r="N1069" s="183">
        <v>3</v>
      </c>
      <c r="O1069" s="7">
        <v>2.2200000000000002</v>
      </c>
      <c r="P1069" s="9"/>
      <c r="Q1069" s="9"/>
      <c r="R1069" s="7"/>
      <c r="S1069" s="126"/>
      <c r="T1069" s="126"/>
      <c r="U1069" s="236"/>
      <c r="V1069" s="103"/>
      <c r="W1069" s="9"/>
      <c r="X1069" s="9"/>
      <c r="Y1069" s="9"/>
      <c r="Z1069" s="9"/>
      <c r="AA1069" s="126"/>
      <c r="AB1069" s="9"/>
      <c r="AC1069" s="9"/>
      <c r="AD1069" s="9"/>
      <c r="AE1069" s="9"/>
      <c r="AF1069" s="9"/>
      <c r="AG1069" s="9"/>
      <c r="AH1069" s="9"/>
      <c r="AI1069" s="9"/>
      <c r="AJ1069" s="7"/>
      <c r="AK1069" s="7"/>
      <c r="AL1069" s="7"/>
      <c r="AM1069" s="7"/>
      <c r="AN1069" s="7"/>
    </row>
    <row r="1070" spans="1:40" customFormat="1" ht="14.25" customHeight="1">
      <c r="A1070" s="148" t="s">
        <v>3360</v>
      </c>
      <c r="B1070" s="9">
        <v>16.5</v>
      </c>
      <c r="C1070" s="198" t="s">
        <v>5923</v>
      </c>
      <c r="D1070" s="183"/>
      <c r="E1070" s="183"/>
      <c r="F1070" s="188"/>
      <c r="G1070" s="188"/>
      <c r="H1070" s="183"/>
      <c r="I1070" s="183"/>
      <c r="J1070" s="188"/>
      <c r="K1070" s="188"/>
      <c r="L1070" s="9"/>
      <c r="M1070" s="9"/>
      <c r="N1070" s="183">
        <v>5</v>
      </c>
      <c r="O1070" s="7">
        <v>0.28000000000000003</v>
      </c>
      <c r="P1070" s="9"/>
      <c r="Q1070" s="9"/>
      <c r="R1070" s="7"/>
      <c r="S1070" s="126"/>
      <c r="T1070" s="126"/>
      <c r="U1070" s="236"/>
      <c r="V1070" s="103"/>
      <c r="W1070" s="9"/>
      <c r="X1070" s="9"/>
      <c r="Y1070" s="9"/>
      <c r="Z1070" s="9"/>
      <c r="AA1070" s="126"/>
      <c r="AB1070" s="9"/>
      <c r="AC1070" s="9"/>
      <c r="AD1070" s="9"/>
      <c r="AE1070" s="9"/>
      <c r="AF1070" s="9"/>
      <c r="AG1070" s="9"/>
      <c r="AH1070" s="9"/>
      <c r="AI1070" s="9"/>
      <c r="AJ1070" s="7"/>
      <c r="AK1070" s="7"/>
      <c r="AL1070" s="7"/>
      <c r="AM1070" s="7"/>
      <c r="AN1070" s="7"/>
    </row>
    <row r="1071" spans="1:40" customFormat="1" ht="14.25" customHeight="1">
      <c r="A1071" s="148" t="s">
        <v>3361</v>
      </c>
      <c r="B1071" s="9">
        <v>9.1999999999999993</v>
      </c>
      <c r="C1071" s="198" t="s">
        <v>5949</v>
      </c>
      <c r="D1071" s="186"/>
      <c r="E1071" s="186"/>
      <c r="F1071" s="188"/>
      <c r="G1071" s="188"/>
      <c r="H1071" s="186"/>
      <c r="I1071" s="186"/>
      <c r="J1071" s="188"/>
      <c r="K1071" s="188"/>
      <c r="L1071" s="168"/>
      <c r="M1071" s="168"/>
      <c r="N1071" s="186">
        <v>5</v>
      </c>
      <c r="O1071" s="7">
        <v>0.32</v>
      </c>
      <c r="P1071" s="9"/>
      <c r="Q1071" s="9"/>
      <c r="R1071" s="7"/>
      <c r="S1071" s="126"/>
      <c r="T1071" s="126"/>
      <c r="U1071" s="236"/>
      <c r="V1071" s="103"/>
      <c r="W1071" s="9"/>
      <c r="X1071" s="9"/>
      <c r="Y1071" s="9"/>
      <c r="Z1071" s="9"/>
      <c r="AA1071" s="126"/>
      <c r="AB1071" s="9"/>
      <c r="AC1071" s="9"/>
      <c r="AD1071" s="9"/>
      <c r="AE1071" s="9"/>
      <c r="AF1071" s="9"/>
      <c r="AG1071" s="9"/>
      <c r="AH1071" s="9"/>
      <c r="AI1071" s="9"/>
      <c r="AJ1071" s="7"/>
      <c r="AK1071" s="7"/>
      <c r="AL1071" s="7"/>
      <c r="AM1071" s="7"/>
      <c r="AN1071" s="7"/>
    </row>
    <row r="1072" spans="1:40" customFormat="1" ht="14.25" customHeight="1">
      <c r="A1072" s="147" t="s">
        <v>3627</v>
      </c>
      <c r="B1072" s="9">
        <v>22.2</v>
      </c>
      <c r="C1072" s="198" t="s">
        <v>5922</v>
      </c>
      <c r="D1072" s="186"/>
      <c r="E1072" s="186"/>
      <c r="F1072" s="188"/>
      <c r="G1072" s="188"/>
      <c r="H1072" s="186"/>
      <c r="I1072" s="186"/>
      <c r="J1072" s="188"/>
      <c r="K1072" s="188"/>
      <c r="L1072" s="168"/>
      <c r="M1072" s="168"/>
      <c r="N1072" s="186">
        <v>5</v>
      </c>
      <c r="O1072" s="7">
        <v>0.9</v>
      </c>
      <c r="P1072" s="9"/>
      <c r="Q1072" s="9"/>
      <c r="R1072" s="7"/>
      <c r="S1072" s="126"/>
      <c r="T1072" s="126"/>
      <c r="U1072" s="236"/>
      <c r="V1072" s="103"/>
      <c r="W1072" s="9"/>
      <c r="X1072" s="9"/>
      <c r="Y1072" s="9"/>
      <c r="Z1072" s="9"/>
      <c r="AA1072" s="126"/>
      <c r="AB1072" s="9"/>
      <c r="AC1072" s="9"/>
      <c r="AD1072" s="9"/>
      <c r="AE1072" s="9"/>
      <c r="AF1072" s="9"/>
      <c r="AG1072" s="9"/>
      <c r="AH1072" s="9"/>
      <c r="AI1072" s="9"/>
      <c r="AJ1072" s="7"/>
      <c r="AK1072" s="7"/>
      <c r="AL1072" s="7"/>
      <c r="AM1072" s="7"/>
      <c r="AN1072" s="7"/>
    </row>
    <row r="1073" spans="1:40" customFormat="1" ht="14.25" customHeight="1">
      <c r="A1073" s="147" t="s">
        <v>3632</v>
      </c>
      <c r="B1073" s="9">
        <v>31.5</v>
      </c>
      <c r="C1073" s="212" t="s">
        <v>5921</v>
      </c>
      <c r="D1073" s="183"/>
      <c r="E1073" s="183"/>
      <c r="F1073" s="188"/>
      <c r="G1073" s="188"/>
      <c r="H1073" s="183"/>
      <c r="I1073" s="183"/>
      <c r="J1073" s="188"/>
      <c r="K1073" s="188"/>
      <c r="L1073" s="9"/>
      <c r="M1073" s="9"/>
      <c r="N1073" s="183">
        <v>5</v>
      </c>
      <c r="O1073" s="7">
        <v>1</v>
      </c>
      <c r="P1073" s="9"/>
      <c r="Q1073" s="9"/>
      <c r="R1073" s="7"/>
      <c r="S1073" s="126"/>
      <c r="T1073" s="126"/>
      <c r="U1073" s="236"/>
      <c r="V1073" s="103"/>
      <c r="W1073" s="9"/>
      <c r="X1073" s="9"/>
      <c r="Y1073" s="9"/>
      <c r="Z1073" s="9"/>
      <c r="AA1073" s="126"/>
      <c r="AB1073" s="9"/>
      <c r="AC1073" s="9"/>
      <c r="AD1073" s="9"/>
      <c r="AE1073" s="9"/>
      <c r="AF1073" s="9"/>
      <c r="AG1073" s="9"/>
      <c r="AH1073" s="9"/>
      <c r="AI1073" s="9"/>
      <c r="AJ1073" s="7"/>
      <c r="AK1073" s="7"/>
      <c r="AL1073" s="7"/>
      <c r="AM1073" s="7"/>
      <c r="AN1073" s="7"/>
    </row>
    <row r="1074" spans="1:40" customFormat="1" ht="14.25" customHeight="1">
      <c r="A1074" s="147" t="s">
        <v>3364</v>
      </c>
      <c r="B1074" s="9">
        <v>31.5</v>
      </c>
      <c r="C1074" s="198" t="s">
        <v>5920</v>
      </c>
      <c r="D1074" s="183"/>
      <c r="E1074" s="183"/>
      <c r="F1074" s="188"/>
      <c r="G1074" s="188"/>
      <c r="H1074" s="183"/>
      <c r="I1074" s="183"/>
      <c r="J1074" s="188"/>
      <c r="K1074" s="188"/>
      <c r="L1074" s="9"/>
      <c r="M1074" s="9"/>
      <c r="N1074" s="183">
        <v>3</v>
      </c>
      <c r="O1074" s="7">
        <v>1</v>
      </c>
      <c r="P1074" s="9"/>
      <c r="Q1074" s="9"/>
      <c r="R1074" s="7"/>
      <c r="S1074" s="126"/>
      <c r="T1074" s="126"/>
      <c r="U1074" s="236"/>
      <c r="V1074" s="103"/>
      <c r="W1074" s="9"/>
      <c r="X1074" s="9"/>
      <c r="Y1074" s="9"/>
      <c r="Z1074" s="9"/>
      <c r="AA1074" s="126"/>
      <c r="AB1074" s="9"/>
      <c r="AC1074" s="9"/>
      <c r="AD1074" s="9"/>
      <c r="AE1074" s="9"/>
      <c r="AF1074" s="9"/>
      <c r="AG1074" s="9"/>
      <c r="AH1074" s="9"/>
      <c r="AI1074" s="9"/>
      <c r="AJ1074" s="212" t="s">
        <v>5921</v>
      </c>
      <c r="AK1074" s="7"/>
      <c r="AL1074" s="7"/>
      <c r="AM1074" s="7"/>
      <c r="AN1074" s="4"/>
    </row>
    <row r="1075" spans="1:40" customFormat="1" ht="14.25" customHeight="1">
      <c r="A1075" s="147" t="s">
        <v>3365</v>
      </c>
      <c r="B1075" s="9">
        <v>31.5</v>
      </c>
      <c r="C1075" s="198" t="s">
        <v>5916</v>
      </c>
      <c r="D1075" s="183"/>
      <c r="E1075" s="183"/>
      <c r="F1075" s="188"/>
      <c r="G1075" s="188"/>
      <c r="H1075" s="183"/>
      <c r="I1075" s="183"/>
      <c r="J1075" s="188"/>
      <c r="K1075" s="188"/>
      <c r="L1075" s="9"/>
      <c r="M1075" s="9"/>
      <c r="N1075" s="183">
        <v>3</v>
      </c>
      <c r="O1075" s="7">
        <v>1</v>
      </c>
      <c r="P1075" s="9"/>
      <c r="Q1075" s="9"/>
      <c r="R1075" s="7"/>
      <c r="S1075" s="126"/>
      <c r="T1075" s="126"/>
      <c r="U1075" s="236"/>
      <c r="V1075" s="103"/>
      <c r="W1075" s="9"/>
      <c r="X1075" s="9"/>
      <c r="Y1075" s="9"/>
      <c r="Z1075" s="9"/>
      <c r="AA1075" s="126"/>
      <c r="AB1075" s="9"/>
      <c r="AC1075" s="9"/>
      <c r="AD1075" s="9"/>
      <c r="AE1075" s="9"/>
      <c r="AF1075" s="9"/>
      <c r="AG1075" s="9"/>
      <c r="AH1075" s="9"/>
      <c r="AI1075" s="9"/>
      <c r="AJ1075" s="7"/>
      <c r="AK1075" s="7"/>
      <c r="AL1075" s="7"/>
      <c r="AM1075" s="7"/>
      <c r="AN1075" s="7"/>
    </row>
    <row r="1076" spans="1:40" customFormat="1" ht="14.25" customHeight="1">
      <c r="A1076" s="147" t="s">
        <v>3366</v>
      </c>
      <c r="B1076" s="9">
        <v>31.5</v>
      </c>
      <c r="C1076" s="198" t="s">
        <v>5917</v>
      </c>
      <c r="D1076" s="183"/>
      <c r="E1076" s="183"/>
      <c r="F1076" s="188"/>
      <c r="G1076" s="188"/>
      <c r="H1076" s="183"/>
      <c r="I1076" s="183"/>
      <c r="J1076" s="188"/>
      <c r="K1076" s="188"/>
      <c r="L1076" s="9"/>
      <c r="M1076" s="9"/>
      <c r="N1076" s="183">
        <v>2</v>
      </c>
      <c r="O1076" s="7">
        <v>1</v>
      </c>
      <c r="P1076" s="9"/>
      <c r="Q1076" s="9"/>
      <c r="R1076" s="7"/>
      <c r="S1076" s="126"/>
      <c r="T1076" s="126"/>
      <c r="U1076" s="236"/>
      <c r="V1076" s="103"/>
      <c r="W1076" s="9"/>
      <c r="X1076" s="9"/>
      <c r="Y1076" s="9"/>
      <c r="Z1076" s="9"/>
      <c r="AA1076" s="126"/>
      <c r="AB1076" s="9"/>
      <c r="AC1076" s="9"/>
      <c r="AD1076" s="9"/>
      <c r="AE1076" s="9"/>
      <c r="AF1076" s="9"/>
      <c r="AG1076" s="9"/>
      <c r="AH1076" s="9"/>
      <c r="AI1076" s="9"/>
      <c r="AJ1076" s="7"/>
      <c r="AK1076" s="7"/>
      <c r="AL1076" s="7"/>
      <c r="AM1076" s="7"/>
      <c r="AN1076" s="7"/>
    </row>
    <row r="1077" spans="1:40" customFormat="1" ht="14.25" customHeight="1">
      <c r="A1077" s="147" t="s">
        <v>3367</v>
      </c>
      <c r="B1077" s="9">
        <v>31.5</v>
      </c>
      <c r="C1077" s="198" t="s">
        <v>5918</v>
      </c>
      <c r="D1077" s="183"/>
      <c r="E1077" s="183"/>
      <c r="F1077" s="188"/>
      <c r="G1077" s="188"/>
      <c r="H1077" s="183"/>
      <c r="I1077" s="183"/>
      <c r="J1077" s="188"/>
      <c r="K1077" s="188"/>
      <c r="L1077" s="9"/>
      <c r="M1077" s="9"/>
      <c r="N1077" s="183">
        <v>1</v>
      </c>
      <c r="O1077" s="7">
        <v>1</v>
      </c>
      <c r="P1077" s="9"/>
      <c r="Q1077" s="9"/>
      <c r="R1077" s="7"/>
      <c r="S1077" s="126"/>
      <c r="T1077" s="126"/>
      <c r="U1077" s="236"/>
      <c r="V1077" s="103"/>
      <c r="W1077" s="9"/>
      <c r="X1077" s="9"/>
      <c r="Y1077" s="9"/>
      <c r="Z1077" s="9"/>
      <c r="AA1077" s="126"/>
      <c r="AB1077" s="9"/>
      <c r="AC1077" s="9"/>
      <c r="AD1077" s="9"/>
      <c r="AE1077" s="9"/>
      <c r="AF1077" s="9"/>
      <c r="AG1077" s="9"/>
      <c r="AH1077" s="9"/>
      <c r="AI1077" s="9"/>
      <c r="AJ1077" s="7"/>
      <c r="AK1077" s="7"/>
      <c r="AL1077" s="7"/>
      <c r="AM1077" s="7"/>
      <c r="AN1077" s="7"/>
    </row>
    <row r="1078" spans="1:40" customFormat="1" ht="14.25" customHeight="1">
      <c r="A1078" s="147" t="s">
        <v>3638</v>
      </c>
      <c r="B1078" s="9">
        <v>31.5</v>
      </c>
      <c r="C1078" s="198" t="s">
        <v>5919</v>
      </c>
      <c r="D1078" s="183"/>
      <c r="E1078" s="183"/>
      <c r="F1078" s="188"/>
      <c r="G1078" s="188"/>
      <c r="H1078" s="183"/>
      <c r="I1078" s="183"/>
      <c r="J1078" s="188"/>
      <c r="K1078" s="188"/>
      <c r="L1078" s="9"/>
      <c r="M1078" s="9"/>
      <c r="N1078" s="183">
        <v>1</v>
      </c>
      <c r="O1078" s="7">
        <v>1</v>
      </c>
      <c r="P1078" s="9"/>
      <c r="Q1078" s="9"/>
      <c r="R1078" s="7"/>
      <c r="S1078" s="126"/>
      <c r="T1078" s="126"/>
      <c r="U1078" s="236"/>
      <c r="V1078" s="103"/>
      <c r="W1078" s="9"/>
      <c r="X1078" s="9"/>
      <c r="Y1078" s="9"/>
      <c r="Z1078" s="9"/>
      <c r="AA1078" s="126"/>
      <c r="AB1078" s="9"/>
      <c r="AC1078" s="9"/>
      <c r="AD1078" s="9"/>
      <c r="AE1078" s="9"/>
      <c r="AF1078" s="9"/>
      <c r="AG1078" s="9"/>
      <c r="AH1078" s="9"/>
      <c r="AI1078" s="9"/>
      <c r="AJ1078" s="7"/>
      <c r="AK1078" s="7"/>
      <c r="AL1078" s="7"/>
      <c r="AM1078" s="7"/>
      <c r="AN1078" s="7"/>
    </row>
    <row r="1079" spans="1:40" customFormat="1" ht="14.25" customHeight="1">
      <c r="A1079" s="125" t="s">
        <v>4074</v>
      </c>
      <c r="B1079" s="9">
        <f>140.8-35.4</f>
        <v>105.4</v>
      </c>
      <c r="C1079" s="7" t="s">
        <v>1133</v>
      </c>
      <c r="D1079" s="183"/>
      <c r="E1079" s="183"/>
      <c r="F1079" s="188"/>
      <c r="G1079" s="188"/>
      <c r="H1079" s="183"/>
      <c r="I1079" s="183"/>
      <c r="J1079" s="188"/>
      <c r="K1079" s="188"/>
      <c r="L1079" s="9"/>
      <c r="M1079" s="9"/>
      <c r="N1079" s="183">
        <v>30</v>
      </c>
      <c r="O1079" s="7">
        <v>2.62</v>
      </c>
      <c r="P1079" s="9"/>
      <c r="Q1079" s="9"/>
      <c r="R1079" s="7"/>
      <c r="S1079" s="126"/>
      <c r="T1079" s="126"/>
      <c r="U1079" s="236"/>
      <c r="V1079" s="103"/>
      <c r="W1079" s="9"/>
      <c r="X1079" s="9"/>
      <c r="Y1079" s="9"/>
      <c r="Z1079" s="9"/>
      <c r="AA1079" s="126"/>
      <c r="AB1079" s="9"/>
      <c r="AC1079" s="9"/>
      <c r="AD1079" s="9"/>
      <c r="AE1079" s="9"/>
      <c r="AF1079" s="9"/>
      <c r="AG1079" s="9"/>
      <c r="AH1079" s="9"/>
      <c r="AI1079" s="9"/>
      <c r="AJ1079" s="7"/>
      <c r="AK1079" s="7"/>
      <c r="AL1079" s="7"/>
      <c r="AM1079" s="7"/>
      <c r="AN1079" s="7"/>
    </row>
    <row r="1080" spans="1:40" customFormat="1" ht="14.25" customHeight="1">
      <c r="A1080" s="125" t="s">
        <v>2842</v>
      </c>
      <c r="B1080" s="9">
        <v>29.1</v>
      </c>
      <c r="C1080" s="7" t="s">
        <v>1208</v>
      </c>
      <c r="D1080" s="183"/>
      <c r="E1080" s="183"/>
      <c r="F1080" s="188"/>
      <c r="G1080" s="188"/>
      <c r="H1080" s="183"/>
      <c r="I1080" s="183"/>
      <c r="J1080" s="188"/>
      <c r="K1080" s="188"/>
      <c r="L1080" s="9"/>
      <c r="M1080" s="9"/>
      <c r="N1080" s="183">
        <v>30</v>
      </c>
      <c r="O1080" s="7">
        <f>1.8-0.03</f>
        <v>1.77</v>
      </c>
      <c r="P1080" s="9"/>
      <c r="Q1080" s="9"/>
      <c r="R1080" s="7"/>
      <c r="S1080" s="126"/>
      <c r="T1080" s="126"/>
      <c r="U1080" s="236"/>
      <c r="V1080" s="103"/>
      <c r="W1080" s="9"/>
      <c r="X1080" s="9"/>
      <c r="Y1080" s="9"/>
      <c r="Z1080" s="9"/>
      <c r="AA1080" s="126"/>
      <c r="AB1080" s="9"/>
      <c r="AC1080" s="9"/>
      <c r="AD1080" s="9"/>
      <c r="AE1080" s="9"/>
      <c r="AF1080" s="9"/>
      <c r="AG1080" s="9"/>
      <c r="AH1080" s="9"/>
      <c r="AI1080" s="9"/>
      <c r="AJ1080" s="7"/>
      <c r="AK1080" s="7"/>
      <c r="AL1080" s="7"/>
      <c r="AM1080" s="7"/>
      <c r="AN1080" s="7"/>
    </row>
    <row r="1081" spans="1:40" customFormat="1" ht="14.25" customHeight="1">
      <c r="A1081" s="116" t="s">
        <v>3098</v>
      </c>
      <c r="B1081" s="9">
        <v>17</v>
      </c>
      <c r="C1081" s="211" t="s">
        <v>1851</v>
      </c>
      <c r="D1081" s="184"/>
      <c r="E1081" s="184"/>
      <c r="F1081" s="188"/>
      <c r="G1081" s="188"/>
      <c r="H1081" s="184"/>
      <c r="I1081" s="184"/>
      <c r="J1081" s="188"/>
      <c r="K1081" s="188"/>
      <c r="L1081" s="3"/>
      <c r="M1081" s="3"/>
      <c r="N1081" s="184">
        <v>5</v>
      </c>
      <c r="O1081" s="6">
        <v>0.6</v>
      </c>
      <c r="P1081" s="222"/>
      <c r="Q1081" s="222"/>
      <c r="R1081" s="7"/>
      <c r="S1081" s="126"/>
      <c r="T1081" s="126"/>
      <c r="U1081" s="236"/>
      <c r="V1081" s="103"/>
      <c r="W1081" s="9"/>
      <c r="X1081" s="9"/>
      <c r="Y1081" s="9"/>
      <c r="Z1081" s="9"/>
      <c r="AA1081" s="126"/>
      <c r="AB1081" s="9"/>
      <c r="AC1081" s="9"/>
      <c r="AD1081" s="9"/>
      <c r="AE1081" s="9"/>
      <c r="AF1081" s="9"/>
      <c r="AG1081" s="9"/>
      <c r="AH1081" s="9"/>
      <c r="AI1081" s="9"/>
      <c r="AJ1081" s="7"/>
      <c r="AK1081" s="7"/>
      <c r="AL1081" s="7"/>
      <c r="AM1081" s="7"/>
      <c r="AN1081" s="7"/>
    </row>
    <row r="1082" spans="1:40" customFormat="1" ht="14.25" customHeight="1">
      <c r="A1082" s="116" t="s">
        <v>3099</v>
      </c>
      <c r="B1082" s="9">
        <v>17</v>
      </c>
      <c r="C1082" s="1" t="s">
        <v>1852</v>
      </c>
      <c r="D1082" s="184"/>
      <c r="E1082" s="184"/>
      <c r="F1082" s="188"/>
      <c r="G1082" s="188"/>
      <c r="H1082" s="184"/>
      <c r="I1082" s="184"/>
      <c r="J1082" s="188"/>
      <c r="K1082" s="188"/>
      <c r="L1082" s="3"/>
      <c r="M1082" s="3"/>
      <c r="N1082" s="184">
        <v>3</v>
      </c>
      <c r="O1082" s="6">
        <v>0.6</v>
      </c>
      <c r="P1082" s="222"/>
      <c r="Q1082" s="222"/>
      <c r="R1082" s="7"/>
      <c r="S1082" s="126"/>
      <c r="T1082" s="126"/>
      <c r="U1082" s="236"/>
      <c r="V1082" s="103"/>
      <c r="W1082" s="9"/>
      <c r="X1082" s="9"/>
      <c r="Y1082" s="9"/>
      <c r="Z1082" s="9"/>
      <c r="AA1082" s="126"/>
      <c r="AB1082" s="9"/>
      <c r="AC1082" s="9"/>
      <c r="AD1082" s="9"/>
      <c r="AE1082" s="9"/>
      <c r="AF1082" s="9"/>
      <c r="AG1082" s="9"/>
      <c r="AH1082" s="9"/>
      <c r="AI1082" s="9"/>
      <c r="AJ1082" s="211" t="s">
        <v>1851</v>
      </c>
      <c r="AK1082" s="7"/>
      <c r="AL1082" s="7"/>
      <c r="AM1082" s="7"/>
      <c r="AN1082" s="7"/>
    </row>
    <row r="1083" spans="1:40" customFormat="1" ht="14.25" customHeight="1">
      <c r="A1083" s="116" t="s">
        <v>3100</v>
      </c>
      <c r="B1083" s="9">
        <v>17</v>
      </c>
      <c r="C1083" s="1" t="s">
        <v>1853</v>
      </c>
      <c r="D1083" s="184"/>
      <c r="E1083" s="184"/>
      <c r="F1083" s="188"/>
      <c r="G1083" s="188"/>
      <c r="H1083" s="184"/>
      <c r="I1083" s="184"/>
      <c r="J1083" s="188"/>
      <c r="K1083" s="188"/>
      <c r="L1083" s="3"/>
      <c r="M1083" s="3"/>
      <c r="N1083" s="184">
        <v>3</v>
      </c>
      <c r="O1083" s="6">
        <v>0.6</v>
      </c>
      <c r="P1083" s="222"/>
      <c r="Q1083" s="222"/>
      <c r="R1083" s="7"/>
      <c r="S1083" s="126"/>
      <c r="T1083" s="126"/>
      <c r="U1083" s="236"/>
      <c r="V1083" s="103"/>
      <c r="W1083" s="9"/>
      <c r="X1083" s="9"/>
      <c r="Y1083" s="9"/>
      <c r="Z1083" s="9"/>
      <c r="AA1083" s="126"/>
      <c r="AB1083" s="9"/>
      <c r="AC1083" s="9"/>
      <c r="AD1083" s="9"/>
      <c r="AE1083" s="9"/>
      <c r="AF1083" s="9"/>
      <c r="AG1083" s="9"/>
      <c r="AH1083" s="9"/>
      <c r="AI1083" s="9"/>
      <c r="AJ1083" s="7"/>
      <c r="AK1083" s="7"/>
      <c r="AL1083" s="7"/>
      <c r="AM1083" s="7"/>
      <c r="AN1083" s="7"/>
    </row>
    <row r="1084" spans="1:40" customFormat="1" ht="14.25" customHeight="1">
      <c r="A1084" s="116" t="s">
        <v>3127</v>
      </c>
      <c r="B1084" s="9">
        <v>17</v>
      </c>
      <c r="C1084" s="1" t="s">
        <v>1854</v>
      </c>
      <c r="D1084" s="184"/>
      <c r="E1084" s="184"/>
      <c r="F1084" s="188"/>
      <c r="G1084" s="188"/>
      <c r="H1084" s="184"/>
      <c r="I1084" s="184"/>
      <c r="J1084" s="188"/>
      <c r="K1084" s="188"/>
      <c r="L1084" s="3"/>
      <c r="M1084" s="3"/>
      <c r="N1084" s="184">
        <v>3</v>
      </c>
      <c r="O1084" s="6">
        <v>0.6</v>
      </c>
      <c r="P1084" s="222"/>
      <c r="Q1084" s="222"/>
      <c r="R1084" s="7"/>
      <c r="S1084" s="126"/>
      <c r="T1084" s="126"/>
      <c r="U1084" s="236"/>
      <c r="V1084" s="103"/>
      <c r="W1084" s="9"/>
      <c r="X1084" s="9"/>
      <c r="Y1084" s="9"/>
      <c r="Z1084" s="9"/>
      <c r="AA1084" s="126"/>
      <c r="AB1084" s="9"/>
      <c r="AC1084" s="9"/>
      <c r="AD1084" s="9"/>
      <c r="AE1084" s="9"/>
      <c r="AF1084" s="9"/>
      <c r="AG1084" s="9"/>
      <c r="AH1084" s="9"/>
      <c r="AI1084" s="9"/>
      <c r="AJ1084" s="7"/>
      <c r="AK1084" s="7"/>
      <c r="AL1084" s="7"/>
      <c r="AM1084" s="7"/>
      <c r="AN1084" s="7"/>
    </row>
    <row r="1085" spans="1:40" customFormat="1" ht="14.25" customHeight="1">
      <c r="A1085" s="116" t="s">
        <v>3101</v>
      </c>
      <c r="B1085" s="9">
        <v>17</v>
      </c>
      <c r="C1085" s="1" t="s">
        <v>1855</v>
      </c>
      <c r="D1085" s="184"/>
      <c r="E1085" s="184"/>
      <c r="F1085" s="188"/>
      <c r="G1085" s="188"/>
      <c r="H1085" s="184"/>
      <c r="I1085" s="184"/>
      <c r="J1085" s="188"/>
      <c r="K1085" s="188"/>
      <c r="L1085" s="3"/>
      <c r="M1085" s="3"/>
      <c r="N1085" s="184">
        <v>3</v>
      </c>
      <c r="O1085" s="6">
        <v>0.6</v>
      </c>
      <c r="P1085" s="222"/>
      <c r="Q1085" s="222"/>
      <c r="R1085" s="7"/>
      <c r="S1085" s="126"/>
      <c r="T1085" s="126"/>
      <c r="U1085" s="236"/>
      <c r="V1085" s="103"/>
      <c r="W1085" s="9"/>
      <c r="X1085" s="9"/>
      <c r="Y1085" s="9"/>
      <c r="Z1085" s="9"/>
      <c r="AA1085" s="126"/>
      <c r="AB1085" s="9"/>
      <c r="AC1085" s="9"/>
      <c r="AD1085" s="9"/>
      <c r="AE1085" s="9"/>
      <c r="AF1085" s="9"/>
      <c r="AG1085" s="9"/>
      <c r="AH1085" s="9"/>
      <c r="AI1085" s="9"/>
      <c r="AJ1085" s="7"/>
      <c r="AK1085" s="7"/>
      <c r="AL1085" s="7"/>
      <c r="AM1085" s="7"/>
      <c r="AN1085" s="4"/>
    </row>
    <row r="1086" spans="1:40" customFormat="1" ht="14.25" customHeight="1">
      <c r="A1086" s="116" t="s">
        <v>3102</v>
      </c>
      <c r="B1086" s="9">
        <v>32</v>
      </c>
      <c r="C1086" s="211" t="s">
        <v>1856</v>
      </c>
      <c r="D1086" s="184"/>
      <c r="E1086" s="184"/>
      <c r="F1086" s="188"/>
      <c r="G1086" s="188"/>
      <c r="H1086" s="184"/>
      <c r="I1086" s="184"/>
      <c r="J1086" s="188"/>
      <c r="K1086" s="188"/>
      <c r="L1086" s="3"/>
      <c r="M1086" s="3"/>
      <c r="N1086" s="184">
        <v>3</v>
      </c>
      <c r="O1086" s="6">
        <v>1.75</v>
      </c>
      <c r="P1086" s="222"/>
      <c r="Q1086" s="222"/>
      <c r="R1086" s="7"/>
      <c r="S1086" s="126"/>
      <c r="T1086" s="126"/>
      <c r="U1086" s="236"/>
      <c r="V1086" s="103"/>
      <c r="W1086" s="9"/>
      <c r="X1086" s="9"/>
      <c r="Y1086" s="9"/>
      <c r="Z1086" s="9"/>
      <c r="AA1086" s="126"/>
      <c r="AB1086" s="9"/>
      <c r="AC1086" s="9"/>
      <c r="AD1086" s="9"/>
      <c r="AE1086" s="9"/>
      <c r="AF1086" s="9"/>
      <c r="AG1086" s="9"/>
      <c r="AH1086" s="9"/>
      <c r="AI1086" s="9"/>
      <c r="AJ1086" s="7"/>
      <c r="AK1086" s="7"/>
      <c r="AL1086" s="7"/>
      <c r="AM1086" s="7"/>
      <c r="AN1086" s="7"/>
    </row>
    <row r="1087" spans="1:40" customFormat="1" ht="14.25" customHeight="1">
      <c r="A1087" s="116" t="s">
        <v>3103</v>
      </c>
      <c r="B1087" s="9">
        <v>32</v>
      </c>
      <c r="C1087" s="1" t="s">
        <v>1857</v>
      </c>
      <c r="D1087" s="184"/>
      <c r="E1087" s="184"/>
      <c r="F1087" s="188"/>
      <c r="G1087" s="188"/>
      <c r="H1087" s="184"/>
      <c r="I1087" s="184"/>
      <c r="J1087" s="188"/>
      <c r="K1087" s="188"/>
      <c r="L1087" s="3"/>
      <c r="M1087" s="3"/>
      <c r="N1087" s="184">
        <v>3</v>
      </c>
      <c r="O1087" s="6">
        <v>1.75</v>
      </c>
      <c r="P1087" s="222"/>
      <c r="Q1087" s="222"/>
      <c r="R1087" s="7"/>
      <c r="S1087" s="126"/>
      <c r="T1087" s="126"/>
      <c r="U1087" s="236"/>
      <c r="V1087" s="103"/>
      <c r="W1087" s="9"/>
      <c r="X1087" s="9"/>
      <c r="Y1087" s="9"/>
      <c r="Z1087" s="9"/>
      <c r="AA1087" s="126"/>
      <c r="AB1087" s="9"/>
      <c r="AC1087" s="9"/>
      <c r="AD1087" s="9"/>
      <c r="AE1087" s="9"/>
      <c r="AF1087" s="9"/>
      <c r="AG1087" s="9"/>
      <c r="AH1087" s="9"/>
      <c r="AI1087" s="9"/>
      <c r="AJ1087" s="211" t="s">
        <v>1856</v>
      </c>
      <c r="AK1087" s="7"/>
      <c r="AL1087" s="7"/>
      <c r="AM1087" s="7"/>
      <c r="AN1087" s="7"/>
    </row>
    <row r="1088" spans="1:40" customFormat="1" ht="14.25" customHeight="1">
      <c r="A1088" s="116" t="s">
        <v>3104</v>
      </c>
      <c r="B1088" s="9">
        <v>32</v>
      </c>
      <c r="C1088" s="1" t="s">
        <v>1858</v>
      </c>
      <c r="D1088" s="184"/>
      <c r="E1088" s="184"/>
      <c r="F1088" s="188"/>
      <c r="G1088" s="188"/>
      <c r="H1088" s="184"/>
      <c r="I1088" s="184"/>
      <c r="J1088" s="188"/>
      <c r="K1088" s="188"/>
      <c r="L1088" s="3"/>
      <c r="M1088" s="3"/>
      <c r="N1088" s="184">
        <v>3</v>
      </c>
      <c r="O1088" s="6">
        <v>1.75</v>
      </c>
      <c r="P1088" s="222"/>
      <c r="Q1088" s="222"/>
      <c r="R1088" s="7"/>
      <c r="S1088" s="126"/>
      <c r="T1088" s="126"/>
      <c r="U1088" s="236"/>
      <c r="V1088" s="103"/>
      <c r="W1088" s="9"/>
      <c r="X1088" s="9"/>
      <c r="Y1088" s="9"/>
      <c r="Z1088" s="9"/>
      <c r="AA1088" s="126"/>
      <c r="AB1088" s="9"/>
      <c r="AC1088" s="9"/>
      <c r="AD1088" s="9"/>
      <c r="AE1088" s="9"/>
      <c r="AF1088" s="9"/>
      <c r="AG1088" s="9"/>
      <c r="AH1088" s="9"/>
      <c r="AI1088" s="9"/>
      <c r="AJ1088" s="7"/>
      <c r="AK1088" s="7"/>
      <c r="AL1088" s="7"/>
      <c r="AM1088" s="7"/>
      <c r="AN1088" s="7"/>
    </row>
    <row r="1089" spans="1:40" customFormat="1" ht="14.25" customHeight="1">
      <c r="A1089" s="116" t="s">
        <v>3105</v>
      </c>
      <c r="B1089" s="9">
        <v>32</v>
      </c>
      <c r="C1089" s="1" t="s">
        <v>1859</v>
      </c>
      <c r="D1089" s="184"/>
      <c r="E1089" s="184"/>
      <c r="F1089" s="188"/>
      <c r="G1089" s="188"/>
      <c r="H1089" s="184"/>
      <c r="I1089" s="184"/>
      <c r="J1089" s="188"/>
      <c r="K1089" s="188"/>
      <c r="L1089" s="3"/>
      <c r="M1089" s="3"/>
      <c r="N1089" s="184">
        <v>3</v>
      </c>
      <c r="O1089" s="6">
        <v>1.75</v>
      </c>
      <c r="P1089" s="222"/>
      <c r="Q1089" s="222"/>
      <c r="R1089" s="7"/>
      <c r="S1089" s="126"/>
      <c r="T1089" s="126"/>
      <c r="U1089" s="236"/>
      <c r="V1089" s="103"/>
      <c r="W1089" s="9"/>
      <c r="X1089" s="9"/>
      <c r="Y1089" s="9"/>
      <c r="Z1089" s="9"/>
      <c r="AA1089" s="126"/>
      <c r="AB1089" s="9"/>
      <c r="AC1089" s="9"/>
      <c r="AD1089" s="9"/>
      <c r="AE1089" s="9"/>
      <c r="AF1089" s="9"/>
      <c r="AG1089" s="9"/>
      <c r="AH1089" s="9"/>
      <c r="AI1089" s="9"/>
      <c r="AJ1089" s="7"/>
      <c r="AK1089" s="7"/>
      <c r="AL1089" s="7"/>
      <c r="AM1089" s="7"/>
      <c r="AN1089" s="7"/>
    </row>
    <row r="1090" spans="1:40" customFormat="1" ht="14.25" customHeight="1">
      <c r="A1090" s="116" t="s">
        <v>3106</v>
      </c>
      <c r="B1090" s="9">
        <v>30</v>
      </c>
      <c r="C1090" s="1" t="s">
        <v>1861</v>
      </c>
      <c r="D1090" s="184"/>
      <c r="E1090" s="184"/>
      <c r="F1090" s="188"/>
      <c r="G1090" s="188"/>
      <c r="H1090" s="184"/>
      <c r="I1090" s="184"/>
      <c r="J1090" s="188"/>
      <c r="K1090" s="188"/>
      <c r="L1090" s="3"/>
      <c r="M1090" s="3"/>
      <c r="N1090" s="184">
        <v>5</v>
      </c>
      <c r="O1090" s="6">
        <v>1</v>
      </c>
      <c r="P1090" s="222"/>
      <c r="Q1090" s="222"/>
      <c r="R1090" s="7"/>
      <c r="S1090" s="126"/>
      <c r="T1090" s="126"/>
      <c r="U1090" s="236"/>
      <c r="V1090" s="103"/>
      <c r="W1090" s="9"/>
      <c r="X1090" s="9"/>
      <c r="Y1090" s="9"/>
      <c r="Z1090" s="9"/>
      <c r="AA1090" s="126"/>
      <c r="AB1090" s="9"/>
      <c r="AC1090" s="9"/>
      <c r="AD1090" s="9"/>
      <c r="AE1090" s="9"/>
      <c r="AF1090" s="9"/>
      <c r="AG1090" s="9"/>
      <c r="AH1090" s="9"/>
      <c r="AI1090" s="9"/>
      <c r="AJ1090" s="7"/>
      <c r="AK1090" s="7"/>
      <c r="AL1090" s="7"/>
      <c r="AM1090" s="7"/>
      <c r="AN1090" s="7"/>
    </row>
    <row r="1091" spans="1:40" customFormat="1" ht="14.25" customHeight="1">
      <c r="A1091" s="116" t="s">
        <v>3126</v>
      </c>
      <c r="B1091" s="9">
        <v>24.4</v>
      </c>
      <c r="C1091" s="211" t="s">
        <v>1860</v>
      </c>
      <c r="D1091" s="184"/>
      <c r="E1091" s="184"/>
      <c r="F1091" s="188"/>
      <c r="G1091" s="188"/>
      <c r="H1091" s="184"/>
      <c r="I1091" s="184"/>
      <c r="J1091" s="188"/>
      <c r="K1091" s="188"/>
      <c r="L1091" s="3"/>
      <c r="M1091" s="3"/>
      <c r="N1091" s="184">
        <v>20</v>
      </c>
      <c r="O1091" s="6">
        <v>0.6</v>
      </c>
      <c r="P1091" s="222"/>
      <c r="Q1091" s="222"/>
      <c r="R1091" s="7"/>
      <c r="S1091" s="126"/>
      <c r="T1091" s="126"/>
      <c r="U1091" s="236"/>
      <c r="V1091" s="103"/>
      <c r="W1091" s="9"/>
      <c r="X1091" s="9"/>
      <c r="Y1091" s="9"/>
      <c r="Z1091" s="9"/>
      <c r="AA1091" s="126"/>
      <c r="AB1091" s="9"/>
      <c r="AC1091" s="9"/>
      <c r="AD1091" s="9"/>
      <c r="AE1091" s="9"/>
      <c r="AF1091" s="9"/>
      <c r="AG1091" s="9"/>
      <c r="AH1091" s="9"/>
      <c r="AI1091" s="9"/>
      <c r="AJ1091" s="7"/>
      <c r="AK1091" s="7"/>
      <c r="AL1091" s="7"/>
      <c r="AM1091" s="7"/>
      <c r="AN1091" s="4"/>
    </row>
    <row r="1092" spans="1:40" customFormat="1" ht="14.25" customHeight="1">
      <c r="A1092" s="116" t="s">
        <v>3107</v>
      </c>
      <c r="B1092" s="9">
        <v>26</v>
      </c>
      <c r="C1092" s="1" t="s">
        <v>1862</v>
      </c>
      <c r="D1092" s="184"/>
      <c r="E1092" s="184"/>
      <c r="F1092" s="188"/>
      <c r="G1092" s="188"/>
      <c r="H1092" s="184"/>
      <c r="I1092" s="184"/>
      <c r="J1092" s="188"/>
      <c r="K1092" s="188"/>
      <c r="L1092" s="3"/>
      <c r="M1092" s="3"/>
      <c r="N1092" s="184">
        <v>10</v>
      </c>
      <c r="O1092" s="6">
        <v>0.6</v>
      </c>
      <c r="P1092" s="222"/>
      <c r="Q1092" s="222"/>
      <c r="R1092" s="7"/>
      <c r="S1092" s="126"/>
      <c r="T1092" s="126"/>
      <c r="U1092" s="236"/>
      <c r="V1092" s="103"/>
      <c r="W1092" s="9"/>
      <c r="X1092" s="9"/>
      <c r="Y1092" s="9"/>
      <c r="Z1092" s="9"/>
      <c r="AA1092" s="126"/>
      <c r="AB1092" s="9"/>
      <c r="AC1092" s="9"/>
      <c r="AD1092" s="9"/>
      <c r="AE1092" s="9"/>
      <c r="AF1092" s="9"/>
      <c r="AG1092" s="9"/>
      <c r="AH1092" s="9"/>
      <c r="AI1092" s="9"/>
      <c r="AJ1092" s="211" t="s">
        <v>1860</v>
      </c>
      <c r="AK1092" s="7"/>
      <c r="AL1092" s="7"/>
      <c r="AM1092" s="7"/>
      <c r="AN1092" s="7"/>
    </row>
    <row r="1093" spans="1:40" customFormat="1" ht="14.25" customHeight="1">
      <c r="A1093" s="116" t="s">
        <v>3108</v>
      </c>
      <c r="B1093" s="9">
        <v>26.9</v>
      </c>
      <c r="C1093" s="1" t="s">
        <v>1863</v>
      </c>
      <c r="D1093" s="184"/>
      <c r="E1093" s="184"/>
      <c r="F1093" s="188"/>
      <c r="G1093" s="188"/>
      <c r="H1093" s="184"/>
      <c r="I1093" s="184"/>
      <c r="J1093" s="188"/>
      <c r="K1093" s="188"/>
      <c r="L1093" s="3"/>
      <c r="M1093" s="3"/>
      <c r="N1093" s="184">
        <v>10</v>
      </c>
      <c r="O1093" s="6">
        <v>0.6</v>
      </c>
      <c r="P1093" s="222"/>
      <c r="Q1093" s="222"/>
      <c r="R1093" s="7"/>
      <c r="S1093" s="126"/>
      <c r="T1093" s="126"/>
      <c r="U1093" s="236"/>
      <c r="V1093" s="103"/>
      <c r="W1093" s="9"/>
      <c r="X1093" s="9"/>
      <c r="Y1093" s="9"/>
      <c r="Z1093" s="9"/>
      <c r="AA1093" s="126"/>
      <c r="AB1093" s="9"/>
      <c r="AC1093" s="9"/>
      <c r="AD1093" s="9"/>
      <c r="AE1093" s="9"/>
      <c r="AF1093" s="9"/>
      <c r="AG1093" s="9"/>
      <c r="AH1093" s="9"/>
      <c r="AI1093" s="9"/>
      <c r="AJ1093" s="7"/>
      <c r="AK1093" s="7"/>
      <c r="AL1093" s="7"/>
      <c r="AM1093" s="7"/>
      <c r="AN1093" s="7"/>
    </row>
    <row r="1094" spans="1:40" customFormat="1" ht="14.25" customHeight="1">
      <c r="A1094" s="116" t="s">
        <v>3109</v>
      </c>
      <c r="B1094" s="9">
        <v>25.2</v>
      </c>
      <c r="C1094" s="1" t="s">
        <v>1864</v>
      </c>
      <c r="D1094" s="184"/>
      <c r="E1094" s="184"/>
      <c r="F1094" s="188"/>
      <c r="G1094" s="188"/>
      <c r="H1094" s="184"/>
      <c r="I1094" s="184"/>
      <c r="J1094" s="188"/>
      <c r="K1094" s="188"/>
      <c r="L1094" s="3"/>
      <c r="M1094" s="3"/>
      <c r="N1094" s="184">
        <v>10</v>
      </c>
      <c r="O1094" s="6">
        <v>0.6</v>
      </c>
      <c r="P1094" s="222"/>
      <c r="Q1094" s="222"/>
      <c r="R1094" s="7"/>
      <c r="S1094" s="126"/>
      <c r="T1094" s="126"/>
      <c r="U1094" s="236"/>
      <c r="V1094" s="103"/>
      <c r="W1094" s="9"/>
      <c r="X1094" s="9"/>
      <c r="Y1094" s="9"/>
      <c r="Z1094" s="9"/>
      <c r="AA1094" s="126"/>
      <c r="AB1094" s="9"/>
      <c r="AC1094" s="9"/>
      <c r="AD1094" s="9"/>
      <c r="AE1094" s="9"/>
      <c r="AF1094" s="9"/>
      <c r="AG1094" s="9"/>
      <c r="AH1094" s="9"/>
      <c r="AI1094" s="9"/>
      <c r="AJ1094" s="7"/>
      <c r="AK1094" s="7"/>
      <c r="AL1094" s="7"/>
      <c r="AM1094" s="7"/>
      <c r="AN1094" s="7"/>
    </row>
    <row r="1095" spans="1:40" customFormat="1" ht="14.25" customHeight="1">
      <c r="A1095" s="116" t="s">
        <v>3110</v>
      </c>
      <c r="B1095" s="9">
        <v>19.3</v>
      </c>
      <c r="C1095" s="211" t="s">
        <v>1865</v>
      </c>
      <c r="D1095" s="184"/>
      <c r="E1095" s="184"/>
      <c r="F1095" s="188"/>
      <c r="G1095" s="188"/>
      <c r="H1095" s="184"/>
      <c r="I1095" s="184"/>
      <c r="J1095" s="188"/>
      <c r="K1095" s="188"/>
      <c r="L1095" s="3"/>
      <c r="M1095" s="3"/>
      <c r="N1095" s="184">
        <v>5</v>
      </c>
      <c r="O1095" s="6">
        <v>1.1000000000000001</v>
      </c>
      <c r="P1095" s="222"/>
      <c r="Q1095" s="222"/>
      <c r="R1095" s="7"/>
      <c r="S1095" s="126"/>
      <c r="T1095" s="126"/>
      <c r="U1095" s="236"/>
      <c r="V1095" s="103"/>
      <c r="W1095" s="9"/>
      <c r="X1095" s="9"/>
      <c r="Y1095" s="9"/>
      <c r="Z1095" s="9"/>
      <c r="AA1095" s="126"/>
      <c r="AB1095" s="9"/>
      <c r="AC1095" s="9"/>
      <c r="AD1095" s="9"/>
      <c r="AE1095" s="9"/>
      <c r="AF1095" s="9"/>
      <c r="AG1095" s="9"/>
      <c r="AH1095" s="9"/>
      <c r="AI1095" s="9"/>
      <c r="AJ1095" s="7"/>
      <c r="AK1095" s="7"/>
      <c r="AL1095" s="7"/>
      <c r="AM1095" s="7"/>
      <c r="AN1095" s="7"/>
    </row>
    <row r="1096" spans="1:40" customFormat="1" ht="14.25" customHeight="1">
      <c r="A1096" s="116" t="s">
        <v>3111</v>
      </c>
      <c r="B1096" s="9">
        <v>20</v>
      </c>
      <c r="C1096" s="1" t="s">
        <v>1866</v>
      </c>
      <c r="D1096" s="184"/>
      <c r="E1096" s="184"/>
      <c r="F1096" s="188"/>
      <c r="G1096" s="188"/>
      <c r="H1096" s="184"/>
      <c r="I1096" s="184"/>
      <c r="J1096" s="188"/>
      <c r="K1096" s="188"/>
      <c r="L1096" s="3"/>
      <c r="M1096" s="3"/>
      <c r="N1096" s="184">
        <v>5</v>
      </c>
      <c r="O1096" s="6">
        <v>1.1000000000000001</v>
      </c>
      <c r="P1096" s="222"/>
      <c r="Q1096" s="222"/>
      <c r="R1096" s="7"/>
      <c r="S1096" s="126"/>
      <c r="T1096" s="126"/>
      <c r="U1096" s="236"/>
      <c r="V1096" s="103"/>
      <c r="W1096" s="9"/>
      <c r="X1096" s="9"/>
      <c r="Y1096" s="9"/>
      <c r="Z1096" s="9"/>
      <c r="AA1096" s="126"/>
      <c r="AB1096" s="9"/>
      <c r="AC1096" s="9"/>
      <c r="AD1096" s="9"/>
      <c r="AE1096" s="9"/>
      <c r="AF1096" s="9"/>
      <c r="AG1096" s="9"/>
      <c r="AH1096" s="9"/>
      <c r="AI1096" s="9"/>
      <c r="AJ1096" s="211" t="s">
        <v>1865</v>
      </c>
      <c r="AK1096" s="7"/>
      <c r="AL1096" s="7"/>
      <c r="AM1096" s="7"/>
      <c r="AN1096" s="4"/>
    </row>
    <row r="1097" spans="1:40" customFormat="1" ht="14.25" customHeight="1">
      <c r="A1097" s="116" t="s">
        <v>3112</v>
      </c>
      <c r="B1097" s="9">
        <v>57</v>
      </c>
      <c r="C1097" s="1" t="s">
        <v>1867</v>
      </c>
      <c r="D1097" s="184"/>
      <c r="E1097" s="184"/>
      <c r="F1097" s="188"/>
      <c r="G1097" s="188"/>
      <c r="H1097" s="184"/>
      <c r="I1097" s="184"/>
      <c r="J1097" s="188"/>
      <c r="K1097" s="188"/>
      <c r="L1097" s="3"/>
      <c r="M1097" s="3"/>
      <c r="N1097" s="184">
        <v>20</v>
      </c>
      <c r="O1097" s="6">
        <v>1.2</v>
      </c>
      <c r="P1097" s="222"/>
      <c r="Q1097" s="222"/>
      <c r="R1097" s="7"/>
      <c r="S1097" s="126"/>
      <c r="T1097" s="126"/>
      <c r="U1097" s="236"/>
      <c r="V1097" s="103"/>
      <c r="W1097" s="9"/>
      <c r="X1097" s="9"/>
      <c r="Y1097" s="9"/>
      <c r="Z1097" s="9"/>
      <c r="AA1097" s="126"/>
      <c r="AB1097" s="9"/>
      <c r="AC1097" s="9"/>
      <c r="AD1097" s="9"/>
      <c r="AE1097" s="9"/>
      <c r="AF1097" s="9"/>
      <c r="AG1097" s="9"/>
      <c r="AH1097" s="9"/>
      <c r="AI1097" s="9"/>
      <c r="AJ1097" s="7"/>
      <c r="AK1097" s="7"/>
      <c r="AL1097" s="7"/>
      <c r="AM1097" s="7"/>
      <c r="AN1097" s="7"/>
    </row>
    <row r="1098" spans="1:40" customFormat="1" ht="14.25" customHeight="1">
      <c r="A1098" s="148" t="s">
        <v>3362</v>
      </c>
      <c r="B1098" s="9">
        <v>12.5</v>
      </c>
      <c r="C1098" s="212" t="s">
        <v>5924</v>
      </c>
      <c r="D1098" s="183"/>
      <c r="E1098" s="183"/>
      <c r="F1098" s="188"/>
      <c r="G1098" s="188"/>
      <c r="H1098" s="183"/>
      <c r="I1098" s="183"/>
      <c r="J1098" s="188"/>
      <c r="K1098" s="188"/>
      <c r="L1098" s="9"/>
      <c r="M1098" s="9"/>
      <c r="N1098" s="183">
        <v>5</v>
      </c>
      <c r="O1098" s="7">
        <v>0.45</v>
      </c>
      <c r="P1098" s="9"/>
      <c r="Q1098" s="9"/>
      <c r="R1098" s="7"/>
      <c r="S1098" s="126"/>
      <c r="T1098" s="126"/>
      <c r="U1098" s="236"/>
      <c r="V1098" s="103"/>
      <c r="W1098" s="9"/>
      <c r="X1098" s="9"/>
      <c r="Y1098" s="9"/>
      <c r="Z1098" s="9"/>
      <c r="AA1098" s="126"/>
      <c r="AB1098" s="9"/>
      <c r="AC1098" s="9"/>
      <c r="AD1098" s="9"/>
      <c r="AE1098" s="9"/>
      <c r="AF1098" s="9"/>
      <c r="AG1098" s="9"/>
      <c r="AH1098" s="9"/>
      <c r="AI1098" s="9"/>
      <c r="AJ1098" s="7"/>
      <c r="AK1098" s="7"/>
      <c r="AL1098" s="7"/>
      <c r="AM1098" s="7"/>
      <c r="AN1098" s="4"/>
    </row>
    <row r="1099" spans="1:40" customFormat="1" ht="14.25" customHeight="1">
      <c r="A1099" s="148" t="s">
        <v>3363</v>
      </c>
      <c r="B1099" s="9">
        <v>9.8000000000000007</v>
      </c>
      <c r="C1099" s="198" t="s">
        <v>5925</v>
      </c>
      <c r="D1099" s="183"/>
      <c r="E1099" s="183"/>
      <c r="F1099" s="188"/>
      <c r="G1099" s="188"/>
      <c r="H1099" s="183"/>
      <c r="I1099" s="183"/>
      <c r="J1099" s="188"/>
      <c r="K1099" s="188"/>
      <c r="L1099" s="9"/>
      <c r="M1099" s="9"/>
      <c r="N1099" s="183">
        <v>5</v>
      </c>
      <c r="O1099" s="7">
        <v>0.36</v>
      </c>
      <c r="P1099" s="9"/>
      <c r="Q1099" s="9"/>
      <c r="R1099" s="7"/>
      <c r="S1099" s="126"/>
      <c r="T1099" s="126"/>
      <c r="U1099" s="236"/>
      <c r="V1099" s="103"/>
      <c r="W1099" s="9"/>
      <c r="X1099" s="9"/>
      <c r="Y1099" s="9"/>
      <c r="Z1099" s="9"/>
      <c r="AA1099" s="126"/>
      <c r="AB1099" s="9"/>
      <c r="AC1099" s="9"/>
      <c r="AD1099" s="9"/>
      <c r="AE1099" s="9"/>
      <c r="AF1099" s="9"/>
      <c r="AG1099" s="9"/>
      <c r="AH1099" s="9"/>
      <c r="AI1099" s="9"/>
      <c r="AJ1099" s="212" t="s">
        <v>5924</v>
      </c>
      <c r="AK1099" s="7"/>
      <c r="AL1099" s="7"/>
      <c r="AM1099" s="7"/>
      <c r="AN1099" s="7"/>
    </row>
    <row r="1100" spans="1:40" customFormat="1" ht="14.25" customHeight="1">
      <c r="A1100" s="148" t="s">
        <v>3358</v>
      </c>
      <c r="B1100" s="9">
        <v>18.600000000000001</v>
      </c>
      <c r="C1100" s="212" t="s">
        <v>5926</v>
      </c>
      <c r="D1100" s="183"/>
      <c r="E1100" s="183"/>
      <c r="F1100" s="188"/>
      <c r="G1100" s="188"/>
      <c r="H1100" s="183"/>
      <c r="I1100" s="183"/>
      <c r="J1100" s="188"/>
      <c r="K1100" s="188"/>
      <c r="L1100" s="9"/>
      <c r="M1100" s="9"/>
      <c r="N1100" s="183">
        <v>3</v>
      </c>
      <c r="O1100" s="7">
        <v>0.95</v>
      </c>
      <c r="P1100" s="9"/>
      <c r="Q1100" s="9"/>
      <c r="R1100" s="7"/>
      <c r="S1100" s="126"/>
      <c r="T1100" s="126"/>
      <c r="U1100" s="236"/>
      <c r="V1100" s="103"/>
      <c r="W1100" s="9"/>
      <c r="X1100" s="9"/>
      <c r="Y1100" s="9"/>
      <c r="Z1100" s="9"/>
      <c r="AA1100" s="126"/>
      <c r="AB1100" s="9"/>
      <c r="AC1100" s="9"/>
      <c r="AD1100" s="9"/>
      <c r="AE1100" s="9"/>
      <c r="AF1100" s="9"/>
      <c r="AG1100" s="9"/>
      <c r="AH1100" s="9"/>
      <c r="AI1100" s="9"/>
      <c r="AJ1100" s="7"/>
      <c r="AK1100" s="7"/>
      <c r="AL1100" s="7"/>
      <c r="AM1100" s="7"/>
      <c r="AN1100" s="7"/>
    </row>
    <row r="1101" spans="1:40" customFormat="1" ht="14.25" customHeight="1">
      <c r="A1101" s="148" t="s">
        <v>3622</v>
      </c>
      <c r="B1101" s="9">
        <v>18.600000000000001</v>
      </c>
      <c r="C1101" s="198" t="s">
        <v>5927</v>
      </c>
      <c r="D1101" s="183"/>
      <c r="E1101" s="183"/>
      <c r="F1101" s="188"/>
      <c r="G1101" s="188"/>
      <c r="H1101" s="183"/>
      <c r="I1101" s="183"/>
      <c r="J1101" s="188"/>
      <c r="K1101" s="188"/>
      <c r="L1101" s="9"/>
      <c r="M1101" s="9"/>
      <c r="N1101" s="183">
        <v>3</v>
      </c>
      <c r="O1101" s="7">
        <v>0.95</v>
      </c>
      <c r="P1101" s="9"/>
      <c r="Q1101" s="9"/>
      <c r="R1101" s="7"/>
      <c r="S1101" s="126"/>
      <c r="T1101" s="126"/>
      <c r="U1101" s="236"/>
      <c r="V1101" s="103"/>
      <c r="W1101" s="9"/>
      <c r="X1101" s="9"/>
      <c r="Y1101" s="9"/>
      <c r="Z1101" s="9"/>
      <c r="AA1101" s="126"/>
      <c r="AB1101" s="9"/>
      <c r="AC1101" s="9"/>
      <c r="AD1101" s="9"/>
      <c r="AE1101" s="9"/>
      <c r="AF1101" s="9"/>
      <c r="AG1101" s="9"/>
      <c r="AH1101" s="9"/>
      <c r="AI1101" s="9"/>
      <c r="AJ1101" s="212" t="s">
        <v>5926</v>
      </c>
      <c r="AK1101" s="7"/>
      <c r="AL1101" s="7"/>
      <c r="AM1101" s="7"/>
      <c r="AN1101" s="7"/>
    </row>
    <row r="1102" spans="1:40" customFormat="1" ht="14.25" customHeight="1">
      <c r="A1102" s="116" t="s">
        <v>2822</v>
      </c>
      <c r="B1102" s="9">
        <v>23</v>
      </c>
      <c r="C1102" s="211" t="s">
        <v>1187</v>
      </c>
      <c r="D1102" s="183"/>
      <c r="E1102" s="183"/>
      <c r="F1102" s="188"/>
      <c r="G1102" s="188"/>
      <c r="H1102" s="183"/>
      <c r="I1102" s="183"/>
      <c r="J1102" s="188"/>
      <c r="K1102" s="188"/>
      <c r="L1102" s="9"/>
      <c r="M1102" s="9"/>
      <c r="N1102" s="183">
        <v>6</v>
      </c>
      <c r="O1102" s="7">
        <v>3</v>
      </c>
      <c r="P1102" s="183">
        <f t="shared" ref="P1102:P1165" si="67">N1102*O1102</f>
        <v>18</v>
      </c>
      <c r="Q1102" s="9"/>
      <c r="R1102" s="7"/>
      <c r="S1102" s="126"/>
      <c r="T1102" s="126"/>
      <c r="U1102" s="236"/>
      <c r="V1102" s="103"/>
      <c r="W1102" s="9"/>
      <c r="X1102" s="9"/>
      <c r="Y1102" s="9"/>
      <c r="Z1102" s="9"/>
      <c r="AA1102" s="126"/>
      <c r="AB1102" s="9"/>
      <c r="AC1102" s="9"/>
      <c r="AD1102" s="9"/>
      <c r="AE1102" s="9"/>
      <c r="AF1102" s="9"/>
      <c r="AG1102" s="9"/>
      <c r="AH1102" s="9"/>
      <c r="AI1102" s="9"/>
      <c r="AJ1102" s="7"/>
      <c r="AK1102" s="7"/>
      <c r="AL1102" s="7"/>
      <c r="AM1102" s="7"/>
      <c r="AN1102" s="7"/>
    </row>
    <row r="1103" spans="1:40" customFormat="1" ht="14.25" customHeight="1">
      <c r="A1103" s="116" t="s">
        <v>2823</v>
      </c>
      <c r="B1103" s="9">
        <v>23</v>
      </c>
      <c r="C1103" s="7" t="s">
        <v>1188</v>
      </c>
      <c r="D1103" s="183"/>
      <c r="E1103" s="183"/>
      <c r="F1103" s="188"/>
      <c r="G1103" s="188"/>
      <c r="H1103" s="183"/>
      <c r="I1103" s="183"/>
      <c r="J1103" s="188"/>
      <c r="K1103" s="188"/>
      <c r="L1103" s="9"/>
      <c r="M1103" s="9"/>
      <c r="N1103" s="183">
        <v>5</v>
      </c>
      <c r="O1103" s="7">
        <v>3</v>
      </c>
      <c r="P1103" s="183">
        <f t="shared" si="67"/>
        <v>15</v>
      </c>
      <c r="Q1103" s="9"/>
      <c r="R1103" s="7"/>
      <c r="S1103" s="126"/>
      <c r="T1103" s="126"/>
      <c r="U1103" s="236"/>
      <c r="V1103" s="103"/>
      <c r="W1103" s="9"/>
      <c r="X1103" s="9"/>
      <c r="Y1103" s="9"/>
      <c r="Z1103" s="9"/>
      <c r="AA1103" s="126"/>
      <c r="AB1103" s="9"/>
      <c r="AC1103" s="9"/>
      <c r="AD1103" s="9"/>
      <c r="AE1103" s="9"/>
      <c r="AF1103" s="9"/>
      <c r="AG1103" s="9"/>
      <c r="AH1103" s="9"/>
      <c r="AI1103" s="9"/>
      <c r="AJ1103" s="211" t="s">
        <v>1187</v>
      </c>
      <c r="AK1103" s="7"/>
      <c r="AL1103" s="7"/>
      <c r="AM1103" s="7"/>
      <c r="AN1103" s="7"/>
    </row>
    <row r="1104" spans="1:40" customFormat="1" ht="14.25" customHeight="1">
      <c r="A1104" s="116" t="s">
        <v>2824</v>
      </c>
      <c r="B1104" s="9">
        <v>23</v>
      </c>
      <c r="C1104" s="7" t="s">
        <v>1189</v>
      </c>
      <c r="D1104" s="183"/>
      <c r="E1104" s="183"/>
      <c r="F1104" s="188"/>
      <c r="G1104" s="188"/>
      <c r="H1104" s="183"/>
      <c r="I1104" s="183"/>
      <c r="J1104" s="188"/>
      <c r="K1104" s="188"/>
      <c r="L1104" s="9"/>
      <c r="M1104" s="9"/>
      <c r="N1104" s="183">
        <v>5</v>
      </c>
      <c r="O1104" s="7">
        <v>3</v>
      </c>
      <c r="P1104" s="183">
        <f t="shared" si="67"/>
        <v>15</v>
      </c>
      <c r="Q1104" s="9"/>
      <c r="R1104" s="7"/>
      <c r="S1104" s="126"/>
      <c r="T1104" s="126"/>
      <c r="U1104" s="236"/>
      <c r="V1104" s="103"/>
      <c r="W1104" s="9"/>
      <c r="X1104" s="9"/>
      <c r="Y1104" s="9"/>
      <c r="Z1104" s="9"/>
      <c r="AA1104" s="126"/>
      <c r="AB1104" s="9"/>
      <c r="AC1104" s="9"/>
      <c r="AD1104" s="9"/>
      <c r="AE1104" s="9"/>
      <c r="AF1104" s="9"/>
      <c r="AG1104" s="9"/>
      <c r="AH1104" s="9"/>
      <c r="AI1104" s="9"/>
      <c r="AJ1104" s="7"/>
      <c r="AK1104" s="7"/>
      <c r="AL1104" s="7"/>
      <c r="AM1104" s="7"/>
      <c r="AN1104" s="7"/>
    </row>
    <row r="1105" spans="1:40" customFormat="1" ht="14.25" customHeight="1">
      <c r="A1105" s="116" t="s">
        <v>2825</v>
      </c>
      <c r="B1105" s="9">
        <v>23</v>
      </c>
      <c r="C1105" s="7" t="s">
        <v>1190</v>
      </c>
      <c r="D1105" s="183"/>
      <c r="E1105" s="183"/>
      <c r="F1105" s="188"/>
      <c r="G1105" s="188"/>
      <c r="H1105" s="183"/>
      <c r="I1105" s="183"/>
      <c r="J1105" s="188"/>
      <c r="K1105" s="188"/>
      <c r="L1105" s="9"/>
      <c r="M1105" s="9"/>
      <c r="N1105" s="183">
        <v>5</v>
      </c>
      <c r="O1105" s="7">
        <v>3</v>
      </c>
      <c r="P1105" s="183">
        <f t="shared" si="67"/>
        <v>15</v>
      </c>
      <c r="Q1105" s="9"/>
      <c r="R1105" s="7"/>
      <c r="S1105" s="126"/>
      <c r="T1105" s="126"/>
      <c r="U1105" s="236"/>
      <c r="V1105" s="103"/>
      <c r="W1105" s="9"/>
      <c r="X1105" s="9"/>
      <c r="Y1105" s="9"/>
      <c r="Z1105" s="9"/>
      <c r="AA1105" s="126"/>
      <c r="AB1105" s="9"/>
      <c r="AC1105" s="9"/>
      <c r="AD1105" s="9"/>
      <c r="AE1105" s="9"/>
      <c r="AF1105" s="9"/>
      <c r="AG1105" s="9"/>
      <c r="AH1105" s="9"/>
      <c r="AI1105" s="9"/>
      <c r="AJ1105" s="7"/>
      <c r="AK1105" s="7"/>
      <c r="AL1105" s="7"/>
      <c r="AM1105" s="7"/>
      <c r="AN1105" s="7"/>
    </row>
    <row r="1106" spans="1:40" customFormat="1" ht="14.25" customHeight="1">
      <c r="A1106" s="116" t="s">
        <v>2826</v>
      </c>
      <c r="B1106" s="9">
        <v>23</v>
      </c>
      <c r="C1106" s="7" t="s">
        <v>1192</v>
      </c>
      <c r="D1106" s="183"/>
      <c r="E1106" s="183"/>
      <c r="F1106" s="188"/>
      <c r="G1106" s="188"/>
      <c r="H1106" s="183"/>
      <c r="I1106" s="183"/>
      <c r="J1106" s="188"/>
      <c r="K1106" s="188"/>
      <c r="L1106" s="9"/>
      <c r="M1106" s="9"/>
      <c r="N1106" s="183">
        <v>3</v>
      </c>
      <c r="O1106" s="7">
        <v>3</v>
      </c>
      <c r="P1106" s="183">
        <f t="shared" si="67"/>
        <v>9</v>
      </c>
      <c r="Q1106" s="9"/>
      <c r="R1106" s="7"/>
      <c r="S1106" s="126"/>
      <c r="T1106" s="126"/>
      <c r="U1106" s="236"/>
      <c r="V1106" s="103"/>
      <c r="W1106" s="9"/>
      <c r="X1106" s="9"/>
      <c r="Y1106" s="9"/>
      <c r="Z1106" s="9"/>
      <c r="AA1106" s="126"/>
      <c r="AB1106" s="9"/>
      <c r="AC1106" s="9"/>
      <c r="AD1106" s="9"/>
      <c r="AE1106" s="9"/>
      <c r="AF1106" s="9"/>
      <c r="AG1106" s="9"/>
      <c r="AH1106" s="9"/>
      <c r="AI1106" s="9"/>
      <c r="AJ1106" s="7"/>
      <c r="AK1106" s="7"/>
      <c r="AL1106" s="7"/>
      <c r="AM1106" s="7"/>
      <c r="AN1106" s="7"/>
    </row>
    <row r="1107" spans="1:40" customFormat="1" ht="14.25" customHeight="1">
      <c r="A1107" s="116" t="s">
        <v>2827</v>
      </c>
      <c r="B1107" s="9">
        <v>23</v>
      </c>
      <c r="C1107" s="7" t="s">
        <v>1191</v>
      </c>
      <c r="D1107" s="183"/>
      <c r="E1107" s="183"/>
      <c r="F1107" s="188"/>
      <c r="G1107" s="188"/>
      <c r="H1107" s="183"/>
      <c r="I1107" s="183"/>
      <c r="J1107" s="188"/>
      <c r="K1107" s="188"/>
      <c r="L1107" s="9"/>
      <c r="M1107" s="9"/>
      <c r="N1107" s="183">
        <v>3</v>
      </c>
      <c r="O1107" s="7">
        <v>3</v>
      </c>
      <c r="P1107" s="183">
        <f t="shared" si="67"/>
        <v>9</v>
      </c>
      <c r="Q1107" s="9"/>
      <c r="R1107" s="7"/>
      <c r="S1107" s="126"/>
      <c r="T1107" s="126"/>
      <c r="U1107" s="236"/>
      <c r="V1107" s="103"/>
      <c r="W1107" s="9"/>
      <c r="X1107" s="9"/>
      <c r="Y1107" s="9"/>
      <c r="Z1107" s="9"/>
      <c r="AA1107" s="126"/>
      <c r="AB1107" s="9"/>
      <c r="AC1107" s="9"/>
      <c r="AD1107" s="9"/>
      <c r="AE1107" s="9"/>
      <c r="AF1107" s="9"/>
      <c r="AG1107" s="9"/>
      <c r="AH1107" s="9"/>
      <c r="AI1107" s="9"/>
      <c r="AJ1107" s="7"/>
      <c r="AK1107" s="7"/>
      <c r="AL1107" s="7"/>
      <c r="AM1107" s="7"/>
      <c r="AN1107" s="7"/>
    </row>
    <row r="1108" spans="1:40" customFormat="1" ht="14.25" customHeight="1">
      <c r="A1108" s="116" t="s">
        <v>2828</v>
      </c>
      <c r="B1108" s="9">
        <v>22</v>
      </c>
      <c r="C1108" s="211" t="s">
        <v>1193</v>
      </c>
      <c r="D1108" s="183"/>
      <c r="E1108" s="183"/>
      <c r="F1108" s="188"/>
      <c r="G1108" s="188"/>
      <c r="H1108" s="183"/>
      <c r="I1108" s="183"/>
      <c r="J1108" s="188"/>
      <c r="K1108" s="188"/>
      <c r="L1108" s="9"/>
      <c r="M1108" s="9"/>
      <c r="N1108" s="183">
        <v>3</v>
      </c>
      <c r="O1108" s="7">
        <v>1.7</v>
      </c>
      <c r="P1108" s="183">
        <f t="shared" si="67"/>
        <v>5.0999999999999996</v>
      </c>
      <c r="Q1108" s="9"/>
      <c r="R1108" s="7"/>
      <c r="S1108" s="126"/>
      <c r="T1108" s="126"/>
      <c r="U1108" s="236"/>
      <c r="V1108" s="103"/>
      <c r="W1108" s="9"/>
      <c r="X1108" s="9"/>
      <c r="Y1108" s="9"/>
      <c r="Z1108" s="9"/>
      <c r="AA1108" s="126"/>
      <c r="AB1108" s="9"/>
      <c r="AC1108" s="9"/>
      <c r="AD1108" s="9"/>
      <c r="AE1108" s="9"/>
      <c r="AF1108" s="9"/>
      <c r="AG1108" s="9"/>
      <c r="AH1108" s="9"/>
      <c r="AI1108" s="9"/>
      <c r="AJ1108" s="7"/>
      <c r="AK1108" s="7"/>
      <c r="AL1108" s="7"/>
      <c r="AM1108" s="7"/>
      <c r="AN1108" s="7"/>
    </row>
    <row r="1109" spans="1:40" customFormat="1" ht="14.25" customHeight="1">
      <c r="A1109" s="116" t="s">
        <v>2829</v>
      </c>
      <c r="B1109" s="9">
        <v>22</v>
      </c>
      <c r="C1109" s="7" t="s">
        <v>1194</v>
      </c>
      <c r="D1109" s="183"/>
      <c r="E1109" s="183"/>
      <c r="F1109" s="188"/>
      <c r="G1109" s="188"/>
      <c r="H1109" s="183"/>
      <c r="I1109" s="183"/>
      <c r="J1109" s="188"/>
      <c r="K1109" s="188"/>
      <c r="L1109" s="9"/>
      <c r="M1109" s="9"/>
      <c r="N1109" s="183">
        <v>3</v>
      </c>
      <c r="O1109" s="7">
        <v>1.7</v>
      </c>
      <c r="P1109" s="183">
        <f t="shared" si="67"/>
        <v>5.0999999999999996</v>
      </c>
      <c r="Q1109" s="9"/>
      <c r="R1109" s="7"/>
      <c r="S1109" s="126"/>
      <c r="T1109" s="126"/>
      <c r="U1109" s="236"/>
      <c r="V1109" s="103"/>
      <c r="W1109" s="9"/>
      <c r="X1109" s="9"/>
      <c r="Y1109" s="9"/>
      <c r="Z1109" s="9"/>
      <c r="AA1109" s="126"/>
      <c r="AB1109" s="9"/>
      <c r="AC1109" s="9"/>
      <c r="AD1109" s="9"/>
      <c r="AE1109" s="9"/>
      <c r="AF1109" s="9"/>
      <c r="AG1109" s="9"/>
      <c r="AH1109" s="9"/>
      <c r="AI1109" s="9"/>
      <c r="AJ1109" s="211" t="s">
        <v>1193</v>
      </c>
      <c r="AK1109" s="7"/>
      <c r="AL1109" s="7"/>
      <c r="AM1109" s="7"/>
      <c r="AN1109" s="7"/>
    </row>
    <row r="1110" spans="1:40" customFormat="1" ht="14.25" customHeight="1">
      <c r="A1110" s="116" t="s">
        <v>2830</v>
      </c>
      <c r="B1110" s="9">
        <v>22</v>
      </c>
      <c r="C1110" s="7" t="s">
        <v>1195</v>
      </c>
      <c r="D1110" s="183"/>
      <c r="E1110" s="183"/>
      <c r="F1110" s="188"/>
      <c r="G1110" s="188"/>
      <c r="H1110" s="183"/>
      <c r="I1110" s="183"/>
      <c r="J1110" s="188"/>
      <c r="K1110" s="188"/>
      <c r="L1110" s="9"/>
      <c r="M1110" s="9"/>
      <c r="N1110" s="183">
        <v>3</v>
      </c>
      <c r="O1110" s="7">
        <v>1.7</v>
      </c>
      <c r="P1110" s="183">
        <f t="shared" si="67"/>
        <v>5.0999999999999996</v>
      </c>
      <c r="Q1110" s="9"/>
      <c r="R1110" s="7"/>
      <c r="S1110" s="126"/>
      <c r="T1110" s="126"/>
      <c r="U1110" s="236"/>
      <c r="V1110" s="103"/>
      <c r="W1110" s="9"/>
      <c r="X1110" s="9"/>
      <c r="Y1110" s="9"/>
      <c r="Z1110" s="9"/>
      <c r="AA1110" s="126"/>
      <c r="AB1110" s="9"/>
      <c r="AC1110" s="9"/>
      <c r="AD1110" s="9"/>
      <c r="AE1110" s="9"/>
      <c r="AF1110" s="9"/>
      <c r="AG1110" s="9"/>
      <c r="AH1110" s="9"/>
      <c r="AI1110" s="9"/>
      <c r="AJ1110" s="7"/>
      <c r="AK1110" s="7"/>
      <c r="AL1110" s="7"/>
      <c r="AM1110" s="7"/>
      <c r="AN1110" s="7"/>
    </row>
    <row r="1111" spans="1:40" customFormat="1" ht="14.25" customHeight="1">
      <c r="A1111" s="116" t="s">
        <v>2831</v>
      </c>
      <c r="B1111" s="9">
        <v>22</v>
      </c>
      <c r="C1111" s="7" t="s">
        <v>1196</v>
      </c>
      <c r="D1111" s="183"/>
      <c r="E1111" s="183"/>
      <c r="F1111" s="188"/>
      <c r="G1111" s="188"/>
      <c r="H1111" s="183"/>
      <c r="I1111" s="183"/>
      <c r="J1111" s="188"/>
      <c r="K1111" s="188"/>
      <c r="L1111" s="9"/>
      <c r="M1111" s="9"/>
      <c r="N1111" s="183">
        <v>3</v>
      </c>
      <c r="O1111" s="7">
        <v>1.7</v>
      </c>
      <c r="P1111" s="183">
        <f t="shared" si="67"/>
        <v>5.0999999999999996</v>
      </c>
      <c r="Q1111" s="9"/>
      <c r="R1111" s="7"/>
      <c r="S1111" s="126"/>
      <c r="T1111" s="126"/>
      <c r="U1111" s="236"/>
      <c r="V1111" s="103"/>
      <c r="W1111" s="9"/>
      <c r="X1111" s="9"/>
      <c r="Y1111" s="9"/>
      <c r="Z1111" s="9"/>
      <c r="AA1111" s="126"/>
      <c r="AB1111" s="9"/>
      <c r="AC1111" s="9"/>
      <c r="AD1111" s="9"/>
      <c r="AE1111" s="9"/>
      <c r="AF1111" s="9"/>
      <c r="AG1111" s="9"/>
      <c r="AH1111" s="9"/>
      <c r="AI1111" s="9"/>
      <c r="AJ1111" s="7"/>
      <c r="AK1111" s="7"/>
      <c r="AL1111" s="7"/>
      <c r="AM1111" s="7"/>
      <c r="AN1111" s="4"/>
    </row>
    <row r="1112" spans="1:40" customFormat="1" ht="14.25" customHeight="1">
      <c r="A1112" s="116" t="s">
        <v>2832</v>
      </c>
      <c r="B1112" s="9">
        <v>22</v>
      </c>
      <c r="C1112" s="7" t="s">
        <v>1197</v>
      </c>
      <c r="D1112" s="183"/>
      <c r="E1112" s="183"/>
      <c r="F1112" s="188"/>
      <c r="G1112" s="188"/>
      <c r="H1112" s="183"/>
      <c r="I1112" s="183"/>
      <c r="J1112" s="188"/>
      <c r="K1112" s="188"/>
      <c r="L1112" s="9"/>
      <c r="M1112" s="9"/>
      <c r="N1112" s="183">
        <v>3</v>
      </c>
      <c r="O1112" s="7">
        <v>1.7</v>
      </c>
      <c r="P1112" s="183">
        <f t="shared" si="67"/>
        <v>5.0999999999999996</v>
      </c>
      <c r="Q1112" s="9"/>
      <c r="R1112" s="7"/>
      <c r="S1112" s="126"/>
      <c r="T1112" s="126"/>
      <c r="U1112" s="236"/>
      <c r="V1112" s="103"/>
      <c r="W1112" s="9"/>
      <c r="X1112" s="9"/>
      <c r="Y1112" s="9"/>
      <c r="Z1112" s="9"/>
      <c r="AA1112" s="126"/>
      <c r="AB1112" s="9"/>
      <c r="AC1112" s="9"/>
      <c r="AD1112" s="9"/>
      <c r="AE1112" s="9"/>
      <c r="AF1112" s="9"/>
      <c r="AG1112" s="9"/>
      <c r="AH1112" s="9"/>
      <c r="AI1112" s="9"/>
      <c r="AJ1112" s="7"/>
      <c r="AK1112" s="7"/>
      <c r="AL1112" s="7"/>
      <c r="AM1112" s="7"/>
      <c r="AN1112" s="7"/>
    </row>
    <row r="1113" spans="1:40" customFormat="1" ht="14.25" customHeight="1">
      <c r="A1113" s="116" t="s">
        <v>2833</v>
      </c>
      <c r="B1113" s="9">
        <v>22</v>
      </c>
      <c r="C1113" s="7" t="s">
        <v>1198</v>
      </c>
      <c r="D1113" s="183"/>
      <c r="E1113" s="183"/>
      <c r="F1113" s="188"/>
      <c r="G1113" s="188"/>
      <c r="H1113" s="183"/>
      <c r="I1113" s="183"/>
      <c r="J1113" s="188"/>
      <c r="K1113" s="188"/>
      <c r="L1113" s="9"/>
      <c r="M1113" s="9"/>
      <c r="N1113" s="183">
        <v>2</v>
      </c>
      <c r="O1113" s="7">
        <v>1.7</v>
      </c>
      <c r="P1113" s="183">
        <f t="shared" si="67"/>
        <v>3.4</v>
      </c>
      <c r="Q1113" s="9"/>
      <c r="R1113" s="7"/>
      <c r="S1113" s="126"/>
      <c r="T1113" s="126"/>
      <c r="U1113" s="236"/>
      <c r="V1113" s="103"/>
      <c r="W1113" s="9"/>
      <c r="X1113" s="9"/>
      <c r="Y1113" s="9"/>
      <c r="Z1113" s="9"/>
      <c r="AA1113" s="126"/>
      <c r="AB1113" s="9"/>
      <c r="AC1113" s="9"/>
      <c r="AD1113" s="9"/>
      <c r="AE1113" s="9"/>
      <c r="AF1113" s="9"/>
      <c r="AG1113" s="9"/>
      <c r="AH1113" s="9"/>
      <c r="AI1113" s="9"/>
      <c r="AJ1113" s="7"/>
      <c r="AK1113" s="7"/>
      <c r="AL1113" s="7"/>
      <c r="AM1113" s="7"/>
      <c r="AN1113" s="7"/>
    </row>
    <row r="1114" spans="1:40" customFormat="1" ht="14.25" customHeight="1">
      <c r="A1114" s="116" t="s">
        <v>2834</v>
      </c>
      <c r="B1114" s="9">
        <v>22</v>
      </c>
      <c r="C1114" s="7" t="s">
        <v>1199</v>
      </c>
      <c r="D1114" s="183"/>
      <c r="E1114" s="183"/>
      <c r="F1114" s="188"/>
      <c r="G1114" s="188"/>
      <c r="H1114" s="183"/>
      <c r="I1114" s="183"/>
      <c r="J1114" s="188"/>
      <c r="K1114" s="188"/>
      <c r="L1114" s="9"/>
      <c r="M1114" s="9"/>
      <c r="N1114" s="183">
        <v>2</v>
      </c>
      <c r="O1114" s="7">
        <v>1.7</v>
      </c>
      <c r="P1114" s="183">
        <f t="shared" si="67"/>
        <v>3.4</v>
      </c>
      <c r="Q1114" s="9"/>
      <c r="R1114" s="7"/>
      <c r="S1114" s="126"/>
      <c r="T1114" s="126"/>
      <c r="U1114" s="236"/>
      <c r="V1114" s="103"/>
      <c r="W1114" s="9"/>
      <c r="X1114" s="9"/>
      <c r="Y1114" s="9"/>
      <c r="Z1114" s="9"/>
      <c r="AA1114" s="126"/>
      <c r="AB1114" s="9"/>
      <c r="AC1114" s="9"/>
      <c r="AD1114" s="9"/>
      <c r="AE1114" s="9"/>
      <c r="AF1114" s="9"/>
      <c r="AG1114" s="9"/>
      <c r="AH1114" s="9"/>
      <c r="AI1114" s="9"/>
      <c r="AJ1114" s="7"/>
      <c r="AK1114" s="7"/>
      <c r="AL1114" s="7"/>
      <c r="AM1114" s="7"/>
      <c r="AN1114" s="7"/>
    </row>
    <row r="1115" spans="1:40" customFormat="1" ht="14.25" customHeight="1">
      <c r="A1115" s="116" t="s">
        <v>2835</v>
      </c>
      <c r="B1115" s="9">
        <v>21</v>
      </c>
      <c r="C1115" s="211" t="s">
        <v>1206</v>
      </c>
      <c r="D1115" s="183"/>
      <c r="E1115" s="183"/>
      <c r="F1115" s="188"/>
      <c r="G1115" s="188"/>
      <c r="H1115" s="183"/>
      <c r="I1115" s="183"/>
      <c r="J1115" s="188"/>
      <c r="K1115" s="188"/>
      <c r="L1115" s="9"/>
      <c r="M1115" s="9"/>
      <c r="N1115" s="183">
        <v>3</v>
      </c>
      <c r="O1115" s="7">
        <v>1.7</v>
      </c>
      <c r="P1115" s="183">
        <f t="shared" si="67"/>
        <v>5.0999999999999996</v>
      </c>
      <c r="Q1115" s="9"/>
      <c r="R1115" s="7"/>
      <c r="S1115" s="126"/>
      <c r="T1115" s="126"/>
      <c r="U1115" s="236"/>
      <c r="V1115" s="103"/>
      <c r="W1115" s="9"/>
      <c r="X1115" s="9"/>
      <c r="Y1115" s="9"/>
      <c r="Z1115" s="9"/>
      <c r="AA1115" s="126"/>
      <c r="AB1115" s="9"/>
      <c r="AC1115" s="9"/>
      <c r="AD1115" s="9"/>
      <c r="AE1115" s="9"/>
      <c r="AF1115" s="9"/>
      <c r="AG1115" s="9"/>
      <c r="AH1115" s="9"/>
      <c r="AI1115" s="9"/>
      <c r="AJ1115" s="7"/>
      <c r="AK1115" s="7"/>
      <c r="AL1115" s="7"/>
      <c r="AM1115" s="7"/>
      <c r="AN1115" s="7"/>
    </row>
    <row r="1116" spans="1:40" customFormat="1" ht="14.25" customHeight="1">
      <c r="A1116" s="116" t="s">
        <v>2836</v>
      </c>
      <c r="B1116" s="9">
        <v>21</v>
      </c>
      <c r="C1116" s="7" t="s">
        <v>1200</v>
      </c>
      <c r="D1116" s="183"/>
      <c r="E1116" s="183"/>
      <c r="F1116" s="188"/>
      <c r="G1116" s="188"/>
      <c r="H1116" s="183"/>
      <c r="I1116" s="183"/>
      <c r="J1116" s="188"/>
      <c r="K1116" s="188"/>
      <c r="L1116" s="9"/>
      <c r="M1116" s="9"/>
      <c r="N1116" s="183">
        <v>3</v>
      </c>
      <c r="O1116" s="7">
        <v>1.7</v>
      </c>
      <c r="P1116" s="183">
        <f t="shared" si="67"/>
        <v>5.0999999999999996</v>
      </c>
      <c r="Q1116" s="9"/>
      <c r="R1116" s="7"/>
      <c r="S1116" s="126"/>
      <c r="T1116" s="126"/>
      <c r="U1116" s="236"/>
      <c r="V1116" s="103"/>
      <c r="W1116" s="9"/>
      <c r="X1116" s="9"/>
      <c r="Y1116" s="9"/>
      <c r="Z1116" s="9"/>
      <c r="AA1116" s="126"/>
      <c r="AB1116" s="9"/>
      <c r="AC1116" s="9"/>
      <c r="AD1116" s="9"/>
      <c r="AE1116" s="9"/>
      <c r="AF1116" s="9"/>
      <c r="AG1116" s="9"/>
      <c r="AH1116" s="9"/>
      <c r="AI1116" s="9"/>
      <c r="AJ1116" s="211" t="s">
        <v>1206</v>
      </c>
      <c r="AK1116" s="7"/>
      <c r="AL1116" s="7"/>
      <c r="AM1116" s="7"/>
      <c r="AN1116" s="7"/>
    </row>
    <row r="1117" spans="1:40" customFormat="1" ht="14.25" customHeight="1">
      <c r="A1117" s="116" t="s">
        <v>2837</v>
      </c>
      <c r="B1117" s="9">
        <v>21</v>
      </c>
      <c r="C1117" s="7" t="s">
        <v>1201</v>
      </c>
      <c r="D1117" s="183"/>
      <c r="E1117" s="183"/>
      <c r="F1117" s="188"/>
      <c r="G1117" s="188"/>
      <c r="H1117" s="183"/>
      <c r="I1117" s="183"/>
      <c r="J1117" s="188"/>
      <c r="K1117" s="188"/>
      <c r="L1117" s="9"/>
      <c r="M1117" s="9"/>
      <c r="N1117" s="183">
        <v>3</v>
      </c>
      <c r="O1117" s="7">
        <v>1.7</v>
      </c>
      <c r="P1117" s="183">
        <f t="shared" si="67"/>
        <v>5.0999999999999996</v>
      </c>
      <c r="Q1117" s="9"/>
      <c r="R1117" s="7"/>
      <c r="S1117" s="126"/>
      <c r="T1117" s="126"/>
      <c r="U1117" s="236"/>
      <c r="V1117" s="103"/>
      <c r="W1117" s="9"/>
      <c r="X1117" s="9"/>
      <c r="Y1117" s="9"/>
      <c r="Z1117" s="9"/>
      <c r="AA1117" s="126"/>
      <c r="AB1117" s="9"/>
      <c r="AC1117" s="9"/>
      <c r="AD1117" s="9"/>
      <c r="AE1117" s="9"/>
      <c r="AF1117" s="9"/>
      <c r="AG1117" s="9"/>
      <c r="AH1117" s="9"/>
      <c r="AI1117" s="9"/>
      <c r="AJ1117" s="7"/>
      <c r="AK1117" s="7"/>
      <c r="AL1117" s="7"/>
      <c r="AM1117" s="7"/>
      <c r="AN1117" s="7"/>
    </row>
    <row r="1118" spans="1:40" customFormat="1" ht="14.25" customHeight="1">
      <c r="A1118" s="116" t="s">
        <v>2838</v>
      </c>
      <c r="B1118" s="9">
        <v>21</v>
      </c>
      <c r="C1118" s="7" t="s">
        <v>1202</v>
      </c>
      <c r="D1118" s="183"/>
      <c r="E1118" s="183"/>
      <c r="F1118" s="188"/>
      <c r="G1118" s="188"/>
      <c r="H1118" s="183"/>
      <c r="I1118" s="183"/>
      <c r="J1118" s="188"/>
      <c r="K1118" s="188"/>
      <c r="L1118" s="9"/>
      <c r="M1118" s="9"/>
      <c r="N1118" s="183">
        <v>3</v>
      </c>
      <c r="O1118" s="7">
        <v>1.7</v>
      </c>
      <c r="P1118" s="183">
        <f t="shared" si="67"/>
        <v>5.0999999999999996</v>
      </c>
      <c r="Q1118" s="9"/>
      <c r="R1118" s="7"/>
      <c r="S1118" s="126"/>
      <c r="T1118" s="126"/>
      <c r="U1118" s="236"/>
      <c r="V1118" s="103"/>
      <c r="W1118" s="9"/>
      <c r="X1118" s="9"/>
      <c r="Y1118" s="9"/>
      <c r="Z1118" s="9"/>
      <c r="AA1118" s="126"/>
      <c r="AB1118" s="9"/>
      <c r="AC1118" s="9"/>
      <c r="AD1118" s="9"/>
      <c r="AE1118" s="9"/>
      <c r="AF1118" s="9"/>
      <c r="AG1118" s="9"/>
      <c r="AH1118" s="9"/>
      <c r="AI1118" s="9"/>
      <c r="AJ1118" s="7"/>
      <c r="AK1118" s="7"/>
      <c r="AL1118" s="7"/>
      <c r="AM1118" s="7"/>
      <c r="AN1118" s="7"/>
    </row>
    <row r="1119" spans="1:40" customFormat="1" ht="14.25" customHeight="1">
      <c r="A1119" s="116" t="s">
        <v>2839</v>
      </c>
      <c r="B1119" s="9">
        <v>21</v>
      </c>
      <c r="C1119" s="7" t="s">
        <v>1203</v>
      </c>
      <c r="D1119" s="183"/>
      <c r="E1119" s="183"/>
      <c r="F1119" s="188"/>
      <c r="G1119" s="188"/>
      <c r="H1119" s="183"/>
      <c r="I1119" s="183"/>
      <c r="J1119" s="188"/>
      <c r="K1119" s="188"/>
      <c r="L1119" s="9"/>
      <c r="M1119" s="9"/>
      <c r="N1119" s="183">
        <v>3</v>
      </c>
      <c r="O1119" s="7">
        <v>1.7</v>
      </c>
      <c r="P1119" s="183">
        <f t="shared" si="67"/>
        <v>5.0999999999999996</v>
      </c>
      <c r="Q1119" s="9"/>
      <c r="R1119" s="7"/>
      <c r="S1119" s="126"/>
      <c r="T1119" s="126"/>
      <c r="U1119" s="236"/>
      <c r="V1119" s="103"/>
      <c r="W1119" s="9"/>
      <c r="X1119" s="9"/>
      <c r="Y1119" s="9"/>
      <c r="Z1119" s="9"/>
      <c r="AA1119" s="126"/>
      <c r="AB1119" s="9"/>
      <c r="AC1119" s="9"/>
      <c r="AD1119" s="9"/>
      <c r="AE1119" s="9"/>
      <c r="AF1119" s="9"/>
      <c r="AG1119" s="9"/>
      <c r="AH1119" s="9"/>
      <c r="AI1119" s="9"/>
      <c r="AJ1119" s="7"/>
      <c r="AK1119" s="7"/>
      <c r="AL1119" s="7"/>
      <c r="AM1119" s="7"/>
      <c r="AN1119" s="7"/>
    </row>
    <row r="1120" spans="1:40" customFormat="1" ht="14.25" customHeight="1">
      <c r="A1120" s="116" t="s">
        <v>2840</v>
      </c>
      <c r="B1120" s="9">
        <v>21</v>
      </c>
      <c r="C1120" s="7" t="s">
        <v>1204</v>
      </c>
      <c r="D1120" s="183"/>
      <c r="E1120" s="183"/>
      <c r="F1120" s="188"/>
      <c r="G1120" s="188"/>
      <c r="H1120" s="183"/>
      <c r="I1120" s="183"/>
      <c r="J1120" s="188"/>
      <c r="K1120" s="188"/>
      <c r="L1120" s="9"/>
      <c r="M1120" s="9"/>
      <c r="N1120" s="183">
        <v>2</v>
      </c>
      <c r="O1120" s="7">
        <v>1.7</v>
      </c>
      <c r="P1120" s="183">
        <f t="shared" si="67"/>
        <v>3.4</v>
      </c>
      <c r="Q1120" s="9"/>
      <c r="R1120" s="7"/>
      <c r="S1120" s="126"/>
      <c r="T1120" s="126"/>
      <c r="U1120" s="236"/>
      <c r="V1120" s="103"/>
      <c r="W1120" s="9"/>
      <c r="X1120" s="9"/>
      <c r="Y1120" s="9"/>
      <c r="Z1120" s="9"/>
      <c r="AA1120" s="126"/>
      <c r="AB1120" s="9"/>
      <c r="AC1120" s="9"/>
      <c r="AD1120" s="9"/>
      <c r="AE1120" s="9"/>
      <c r="AF1120" s="9"/>
      <c r="AG1120" s="9"/>
      <c r="AH1120" s="9"/>
      <c r="AI1120" s="9"/>
      <c r="AJ1120" s="7"/>
      <c r="AK1120" s="7"/>
      <c r="AL1120" s="7"/>
      <c r="AM1120" s="7"/>
      <c r="AN1120" s="7"/>
    </row>
    <row r="1121" spans="1:40" customFormat="1" ht="14.25" customHeight="1">
      <c r="A1121" s="116" t="s">
        <v>2841</v>
      </c>
      <c r="B1121" s="9">
        <v>21</v>
      </c>
      <c r="C1121" s="7" t="s">
        <v>1205</v>
      </c>
      <c r="D1121" s="183"/>
      <c r="E1121" s="183"/>
      <c r="F1121" s="188"/>
      <c r="G1121" s="188"/>
      <c r="H1121" s="183"/>
      <c r="I1121" s="183"/>
      <c r="J1121" s="188"/>
      <c r="K1121" s="188"/>
      <c r="L1121" s="9"/>
      <c r="M1121" s="9"/>
      <c r="N1121" s="183">
        <v>2</v>
      </c>
      <c r="O1121" s="7">
        <v>1.7</v>
      </c>
      <c r="P1121" s="183">
        <f t="shared" si="67"/>
        <v>3.4</v>
      </c>
      <c r="Q1121" s="9"/>
      <c r="R1121" s="7"/>
      <c r="S1121" s="126"/>
      <c r="T1121" s="126"/>
      <c r="U1121" s="236"/>
      <c r="V1121" s="103"/>
      <c r="W1121" s="9"/>
      <c r="X1121" s="9"/>
      <c r="Y1121" s="9"/>
      <c r="Z1121" s="9"/>
      <c r="AA1121" s="126"/>
      <c r="AB1121" s="9"/>
      <c r="AC1121" s="9"/>
      <c r="AD1121" s="9"/>
      <c r="AE1121" s="9"/>
      <c r="AF1121" s="9"/>
      <c r="AG1121" s="9"/>
      <c r="AH1121" s="9"/>
      <c r="AI1121" s="9"/>
      <c r="AJ1121" s="7"/>
      <c r="AK1121" s="7"/>
      <c r="AL1121" s="7"/>
      <c r="AM1121" s="7"/>
      <c r="AN1121" s="7"/>
    </row>
    <row r="1122" spans="1:40" customFormat="1" ht="14.25" customHeight="1">
      <c r="A1122" s="116" t="s">
        <v>2843</v>
      </c>
      <c r="B1122" s="9">
        <v>17</v>
      </c>
      <c r="C1122" s="211" t="s">
        <v>1668</v>
      </c>
      <c r="D1122" s="183"/>
      <c r="E1122" s="183"/>
      <c r="F1122" s="188"/>
      <c r="G1122" s="188"/>
      <c r="H1122" s="183"/>
      <c r="I1122" s="183"/>
      <c r="J1122" s="188"/>
      <c r="K1122" s="188"/>
      <c r="L1122" s="9"/>
      <c r="M1122" s="9"/>
      <c r="N1122" s="183">
        <v>3</v>
      </c>
      <c r="O1122" s="7">
        <v>1.6</v>
      </c>
      <c r="P1122" s="183">
        <f t="shared" si="67"/>
        <v>4.8000000000000007</v>
      </c>
      <c r="Q1122" s="9"/>
      <c r="R1122" s="7"/>
      <c r="S1122" s="126"/>
      <c r="T1122" s="126"/>
      <c r="U1122" s="236"/>
      <c r="V1122" s="103"/>
      <c r="W1122" s="9"/>
      <c r="X1122" s="9"/>
      <c r="Y1122" s="9"/>
      <c r="Z1122" s="9"/>
      <c r="AA1122" s="126"/>
      <c r="AB1122" s="9"/>
      <c r="AC1122" s="9"/>
      <c r="AD1122" s="9"/>
      <c r="AE1122" s="9"/>
      <c r="AF1122" s="9"/>
      <c r="AG1122" s="9"/>
      <c r="AH1122" s="9"/>
      <c r="AI1122" s="9"/>
      <c r="AJ1122" s="7"/>
      <c r="AK1122" s="7"/>
      <c r="AL1122" s="7"/>
      <c r="AM1122" s="7"/>
      <c r="AN1122" s="7"/>
    </row>
    <row r="1123" spans="1:40" customFormat="1" ht="14.25" customHeight="1">
      <c r="A1123" s="116" t="s">
        <v>2844</v>
      </c>
      <c r="B1123" s="9">
        <v>17</v>
      </c>
      <c r="C1123" s="7" t="s">
        <v>1219</v>
      </c>
      <c r="D1123" s="183"/>
      <c r="E1123" s="183"/>
      <c r="F1123" s="188"/>
      <c r="G1123" s="188"/>
      <c r="H1123" s="183"/>
      <c r="I1123" s="183"/>
      <c r="J1123" s="188"/>
      <c r="K1123" s="188"/>
      <c r="L1123" s="9"/>
      <c r="M1123" s="9"/>
      <c r="N1123" s="183">
        <v>3</v>
      </c>
      <c r="O1123" s="7">
        <v>1.6</v>
      </c>
      <c r="P1123" s="183">
        <f t="shared" si="67"/>
        <v>4.8000000000000007</v>
      </c>
      <c r="Q1123" s="9"/>
      <c r="R1123" s="7"/>
      <c r="S1123" s="126"/>
      <c r="T1123" s="126"/>
      <c r="U1123" s="236"/>
      <c r="V1123" s="103"/>
      <c r="W1123" s="9"/>
      <c r="X1123" s="9"/>
      <c r="Y1123" s="9"/>
      <c r="Z1123" s="9"/>
      <c r="AA1123" s="126"/>
      <c r="AB1123" s="9"/>
      <c r="AC1123" s="9"/>
      <c r="AD1123" s="9"/>
      <c r="AE1123" s="9"/>
      <c r="AF1123" s="9"/>
      <c r="AG1123" s="9"/>
      <c r="AH1123" s="9"/>
      <c r="AI1123" s="9"/>
      <c r="AJ1123" s="211" t="s">
        <v>1668</v>
      </c>
      <c r="AK1123" s="7"/>
      <c r="AL1123" s="7"/>
      <c r="AM1123" s="7"/>
      <c r="AN1123" s="7"/>
    </row>
    <row r="1124" spans="1:40" customFormat="1" ht="14.25" customHeight="1">
      <c r="A1124" s="116" t="s">
        <v>2845</v>
      </c>
      <c r="B1124" s="9">
        <v>17</v>
      </c>
      <c r="C1124" s="7" t="s">
        <v>1220</v>
      </c>
      <c r="D1124" s="183"/>
      <c r="E1124" s="183"/>
      <c r="F1124" s="188"/>
      <c r="G1124" s="188"/>
      <c r="H1124" s="183"/>
      <c r="I1124" s="183"/>
      <c r="J1124" s="188"/>
      <c r="K1124" s="188"/>
      <c r="L1124" s="9"/>
      <c r="M1124" s="9"/>
      <c r="N1124" s="183">
        <v>3</v>
      </c>
      <c r="O1124" s="7">
        <v>1.6</v>
      </c>
      <c r="P1124" s="183">
        <f t="shared" si="67"/>
        <v>4.8000000000000007</v>
      </c>
      <c r="Q1124" s="9"/>
      <c r="R1124" s="7"/>
      <c r="S1124" s="126"/>
      <c r="T1124" s="126"/>
      <c r="U1124" s="236"/>
      <c r="V1124" s="103"/>
      <c r="W1124" s="9"/>
      <c r="X1124" s="9"/>
      <c r="Y1124" s="9"/>
      <c r="Z1124" s="9"/>
      <c r="AA1124" s="126"/>
      <c r="AB1124" s="9"/>
      <c r="AC1124" s="9"/>
      <c r="AD1124" s="9"/>
      <c r="AE1124" s="9"/>
      <c r="AF1124" s="9"/>
      <c r="AG1124" s="9"/>
      <c r="AH1124" s="9"/>
      <c r="AI1124" s="9"/>
      <c r="AJ1124" s="7"/>
      <c r="AK1124" s="7"/>
      <c r="AL1124" s="7"/>
      <c r="AM1124" s="7"/>
      <c r="AN1124" s="7"/>
    </row>
    <row r="1125" spans="1:40" customFormat="1" ht="14.25" customHeight="1">
      <c r="A1125" s="116" t="s">
        <v>2846</v>
      </c>
      <c r="B1125" s="9">
        <v>17</v>
      </c>
      <c r="C1125" s="7" t="s">
        <v>1221</v>
      </c>
      <c r="D1125" s="183"/>
      <c r="E1125" s="183"/>
      <c r="F1125" s="188"/>
      <c r="G1125" s="188"/>
      <c r="H1125" s="183"/>
      <c r="I1125" s="183"/>
      <c r="J1125" s="188"/>
      <c r="K1125" s="188"/>
      <c r="L1125" s="9"/>
      <c r="M1125" s="9"/>
      <c r="N1125" s="183">
        <v>3</v>
      </c>
      <c r="O1125" s="7">
        <v>1.6</v>
      </c>
      <c r="P1125" s="183">
        <f t="shared" si="67"/>
        <v>4.8000000000000007</v>
      </c>
      <c r="Q1125" s="9"/>
      <c r="R1125" s="7"/>
      <c r="S1125" s="126"/>
      <c r="T1125" s="126"/>
      <c r="U1125" s="236"/>
      <c r="V1125" s="103"/>
      <c r="W1125" s="9"/>
      <c r="X1125" s="9"/>
      <c r="Y1125" s="9"/>
      <c r="Z1125" s="9"/>
      <c r="AA1125" s="126"/>
      <c r="AB1125" s="9"/>
      <c r="AC1125" s="9"/>
      <c r="AD1125" s="9"/>
      <c r="AE1125" s="9"/>
      <c r="AF1125" s="9"/>
      <c r="AG1125" s="9"/>
      <c r="AH1125" s="9"/>
      <c r="AI1125" s="9"/>
      <c r="AJ1125" s="7"/>
      <c r="AK1125" s="7"/>
      <c r="AL1125" s="7"/>
      <c r="AM1125" s="7"/>
      <c r="AN1125" s="7"/>
    </row>
    <row r="1126" spans="1:40" customFormat="1" ht="14.25" customHeight="1">
      <c r="A1126" s="116" t="s">
        <v>2847</v>
      </c>
      <c r="B1126" s="9">
        <v>17</v>
      </c>
      <c r="C1126" s="7" t="s">
        <v>1222</v>
      </c>
      <c r="D1126" s="183"/>
      <c r="E1126" s="183"/>
      <c r="F1126" s="188"/>
      <c r="G1126" s="188"/>
      <c r="H1126" s="183"/>
      <c r="I1126" s="183"/>
      <c r="J1126" s="188"/>
      <c r="K1126" s="188"/>
      <c r="L1126" s="9"/>
      <c r="M1126" s="9"/>
      <c r="N1126" s="183">
        <v>3</v>
      </c>
      <c r="O1126" s="7">
        <v>1.6</v>
      </c>
      <c r="P1126" s="183">
        <f t="shared" si="67"/>
        <v>4.8000000000000007</v>
      </c>
      <c r="Q1126" s="9"/>
      <c r="R1126" s="7"/>
      <c r="S1126" s="126"/>
      <c r="T1126" s="126"/>
      <c r="U1126" s="236"/>
      <c r="V1126" s="103"/>
      <c r="W1126" s="9"/>
      <c r="X1126" s="9"/>
      <c r="Y1126" s="9"/>
      <c r="Z1126" s="9"/>
      <c r="AA1126" s="126"/>
      <c r="AB1126" s="9"/>
      <c r="AC1126" s="9"/>
      <c r="AD1126" s="9"/>
      <c r="AE1126" s="9"/>
      <c r="AF1126" s="9"/>
      <c r="AG1126" s="9"/>
      <c r="AH1126" s="9"/>
      <c r="AI1126" s="9"/>
      <c r="AJ1126" s="7"/>
      <c r="AK1126" s="7"/>
      <c r="AL1126" s="7"/>
      <c r="AM1126" s="7"/>
      <c r="AN1126" s="7"/>
    </row>
    <row r="1127" spans="1:40" customFormat="1" ht="14.25" customHeight="1">
      <c r="A1127" s="116" t="s">
        <v>2848</v>
      </c>
      <c r="B1127" s="9">
        <v>17</v>
      </c>
      <c r="C1127" s="7" t="s">
        <v>1223</v>
      </c>
      <c r="D1127" s="183"/>
      <c r="E1127" s="183"/>
      <c r="F1127" s="188"/>
      <c r="G1127" s="188"/>
      <c r="H1127" s="183"/>
      <c r="I1127" s="183"/>
      <c r="J1127" s="188"/>
      <c r="K1127" s="188"/>
      <c r="L1127" s="9"/>
      <c r="M1127" s="9"/>
      <c r="N1127" s="183">
        <v>2</v>
      </c>
      <c r="O1127" s="7">
        <v>1.6</v>
      </c>
      <c r="P1127" s="183">
        <f t="shared" si="67"/>
        <v>3.2</v>
      </c>
      <c r="Q1127" s="9"/>
      <c r="R1127" s="7"/>
      <c r="S1127" s="126"/>
      <c r="T1127" s="126"/>
      <c r="U1127" s="236"/>
      <c r="V1127" s="103"/>
      <c r="W1127" s="9"/>
      <c r="X1127" s="9"/>
      <c r="Y1127" s="9"/>
      <c r="Z1127" s="9"/>
      <c r="AA1127" s="126"/>
      <c r="AB1127" s="9"/>
      <c r="AC1127" s="9"/>
      <c r="AD1127" s="9"/>
      <c r="AE1127" s="9"/>
      <c r="AF1127" s="9"/>
      <c r="AG1127" s="9"/>
      <c r="AH1127" s="9"/>
      <c r="AI1127" s="9"/>
      <c r="AJ1127" s="7"/>
      <c r="AK1127" s="7"/>
      <c r="AL1127" s="7"/>
      <c r="AM1127" s="7"/>
      <c r="AN1127" s="7"/>
    </row>
    <row r="1128" spans="1:40" customFormat="1" ht="14.25" customHeight="1">
      <c r="A1128" s="116" t="s">
        <v>2849</v>
      </c>
      <c r="B1128" s="9">
        <v>17</v>
      </c>
      <c r="C1128" s="7" t="s">
        <v>1224</v>
      </c>
      <c r="D1128" s="183"/>
      <c r="E1128" s="183"/>
      <c r="F1128" s="188"/>
      <c r="G1128" s="188"/>
      <c r="H1128" s="183"/>
      <c r="I1128" s="183"/>
      <c r="J1128" s="188"/>
      <c r="K1128" s="188"/>
      <c r="L1128" s="9"/>
      <c r="M1128" s="9"/>
      <c r="N1128" s="183">
        <v>2</v>
      </c>
      <c r="O1128" s="7">
        <v>1.6</v>
      </c>
      <c r="P1128" s="183">
        <f t="shared" si="67"/>
        <v>3.2</v>
      </c>
      <c r="Q1128" s="9"/>
      <c r="R1128" s="7"/>
      <c r="S1128" s="126"/>
      <c r="T1128" s="126"/>
      <c r="U1128" s="236"/>
      <c r="V1128" s="103"/>
      <c r="W1128" s="9"/>
      <c r="X1128" s="9"/>
      <c r="Y1128" s="9"/>
      <c r="Z1128" s="9"/>
      <c r="AA1128" s="126"/>
      <c r="AB1128" s="9"/>
      <c r="AC1128" s="9"/>
      <c r="AD1128" s="9"/>
      <c r="AE1128" s="9"/>
      <c r="AF1128" s="9"/>
      <c r="AG1128" s="9"/>
      <c r="AH1128" s="9"/>
      <c r="AI1128" s="9"/>
      <c r="AJ1128" s="7"/>
      <c r="AK1128" s="7"/>
      <c r="AL1128" s="7"/>
      <c r="AM1128" s="7"/>
      <c r="AN1128" s="7"/>
    </row>
    <row r="1129" spans="1:40" customFormat="1" ht="14.25" customHeight="1">
      <c r="A1129" s="117" t="s">
        <v>2875</v>
      </c>
      <c r="B1129" s="9">
        <v>23.5</v>
      </c>
      <c r="C1129" s="211" t="s">
        <v>1178</v>
      </c>
      <c r="D1129" s="183"/>
      <c r="E1129" s="183"/>
      <c r="F1129" s="188"/>
      <c r="G1129" s="188"/>
      <c r="H1129" s="183"/>
      <c r="I1129" s="183"/>
      <c r="J1129" s="188"/>
      <c r="K1129" s="188"/>
      <c r="L1129" s="9"/>
      <c r="M1129" s="9"/>
      <c r="N1129" s="183">
        <v>3</v>
      </c>
      <c r="O1129" s="7">
        <v>1.65</v>
      </c>
      <c r="P1129" s="183">
        <f t="shared" si="67"/>
        <v>4.9499999999999993</v>
      </c>
      <c r="Q1129" s="9"/>
      <c r="R1129" s="7"/>
      <c r="S1129" s="126"/>
      <c r="T1129" s="126"/>
      <c r="U1129" s="236"/>
      <c r="V1129" s="103"/>
      <c r="W1129" s="9"/>
      <c r="X1129" s="9"/>
      <c r="Y1129" s="9"/>
      <c r="Z1129" s="9"/>
      <c r="AA1129" s="126"/>
      <c r="AB1129" s="9"/>
      <c r="AC1129" s="9"/>
      <c r="AD1129" s="9"/>
      <c r="AE1129" s="9"/>
      <c r="AF1129" s="9"/>
      <c r="AG1129" s="9"/>
      <c r="AH1129" s="9"/>
      <c r="AI1129" s="9"/>
      <c r="AJ1129" s="7"/>
      <c r="AK1129" s="7"/>
      <c r="AL1129" s="7"/>
      <c r="AM1129" s="7"/>
      <c r="AN1129" s="7"/>
    </row>
    <row r="1130" spans="1:40" customFormat="1" ht="14.25" customHeight="1">
      <c r="A1130" s="117" t="s">
        <v>2876</v>
      </c>
      <c r="B1130" s="9">
        <v>23.5</v>
      </c>
      <c r="C1130" s="7" t="s">
        <v>1180</v>
      </c>
      <c r="D1130" s="183"/>
      <c r="E1130" s="183"/>
      <c r="F1130" s="188"/>
      <c r="G1130" s="188"/>
      <c r="H1130" s="183"/>
      <c r="I1130" s="183"/>
      <c r="J1130" s="188"/>
      <c r="K1130" s="188"/>
      <c r="L1130" s="9"/>
      <c r="M1130" s="9"/>
      <c r="N1130" s="183">
        <v>3</v>
      </c>
      <c r="O1130" s="7">
        <v>1.65</v>
      </c>
      <c r="P1130" s="183">
        <f t="shared" si="67"/>
        <v>4.9499999999999993</v>
      </c>
      <c r="Q1130" s="9"/>
      <c r="R1130" s="7"/>
      <c r="S1130" s="126"/>
      <c r="T1130" s="126"/>
      <c r="U1130" s="236"/>
      <c r="V1130" s="103"/>
      <c r="W1130" s="9"/>
      <c r="X1130" s="9"/>
      <c r="Y1130" s="9"/>
      <c r="Z1130" s="9"/>
      <c r="AA1130" s="126"/>
      <c r="AB1130" s="9"/>
      <c r="AC1130" s="9"/>
      <c r="AD1130" s="9"/>
      <c r="AE1130" s="9"/>
      <c r="AF1130" s="9"/>
      <c r="AG1130" s="9"/>
      <c r="AH1130" s="9"/>
      <c r="AI1130" s="9"/>
      <c r="AJ1130" s="211" t="s">
        <v>1178</v>
      </c>
      <c r="AK1130" s="7"/>
      <c r="AL1130" s="7"/>
      <c r="AM1130" s="7"/>
      <c r="AN1130" s="7"/>
    </row>
    <row r="1131" spans="1:40" customFormat="1" ht="14.25" customHeight="1">
      <c r="A1131" s="117" t="s">
        <v>2877</v>
      </c>
      <c r="B1131" s="9">
        <v>23.8</v>
      </c>
      <c r="C1131" s="7" t="s">
        <v>1179</v>
      </c>
      <c r="D1131" s="183"/>
      <c r="E1131" s="183"/>
      <c r="F1131" s="188"/>
      <c r="G1131" s="188"/>
      <c r="H1131" s="183"/>
      <c r="I1131" s="183"/>
      <c r="J1131" s="188"/>
      <c r="K1131" s="188"/>
      <c r="L1131" s="9"/>
      <c r="M1131" s="9"/>
      <c r="N1131" s="183">
        <v>3</v>
      </c>
      <c r="O1131" s="7">
        <v>1.65</v>
      </c>
      <c r="P1131" s="183">
        <f t="shared" si="67"/>
        <v>4.9499999999999993</v>
      </c>
      <c r="Q1131" s="9"/>
      <c r="R1131" s="7"/>
      <c r="S1131" s="126"/>
      <c r="T1131" s="126"/>
      <c r="U1131" s="236"/>
      <c r="V1131" s="103"/>
      <c r="W1131" s="9"/>
      <c r="X1131" s="9"/>
      <c r="Y1131" s="9"/>
      <c r="Z1131" s="9"/>
      <c r="AA1131" s="126"/>
      <c r="AB1131" s="9"/>
      <c r="AC1131" s="9"/>
      <c r="AD1131" s="9"/>
      <c r="AE1131" s="9"/>
      <c r="AF1131" s="9"/>
      <c r="AG1131" s="9"/>
      <c r="AH1131" s="9"/>
      <c r="AI1131" s="9"/>
      <c r="AJ1131" s="7"/>
      <c r="AK1131" s="7"/>
      <c r="AL1131" s="7"/>
      <c r="AM1131" s="7"/>
      <c r="AN1131" s="7"/>
    </row>
    <row r="1132" spans="1:40" customFormat="1" ht="14.25" customHeight="1">
      <c r="A1132" s="117" t="s">
        <v>2878</v>
      </c>
      <c r="B1132" s="9">
        <v>29.4</v>
      </c>
      <c r="C1132" s="7" t="s">
        <v>1181</v>
      </c>
      <c r="D1132" s="183"/>
      <c r="E1132" s="183"/>
      <c r="F1132" s="188"/>
      <c r="G1132" s="188"/>
      <c r="H1132" s="183"/>
      <c r="I1132" s="183"/>
      <c r="J1132" s="188"/>
      <c r="K1132" s="188"/>
      <c r="L1132" s="9"/>
      <c r="M1132" s="9"/>
      <c r="N1132" s="183">
        <v>3</v>
      </c>
      <c r="O1132" s="7">
        <v>1.65</v>
      </c>
      <c r="P1132" s="183">
        <f t="shared" si="67"/>
        <v>4.9499999999999993</v>
      </c>
      <c r="Q1132" s="9"/>
      <c r="R1132" s="7"/>
      <c r="S1132" s="126"/>
      <c r="T1132" s="126"/>
      <c r="U1132" s="236"/>
      <c r="V1132" s="103"/>
      <c r="W1132" s="9"/>
      <c r="X1132" s="9"/>
      <c r="Y1132" s="9"/>
      <c r="Z1132" s="9"/>
      <c r="AA1132" s="126"/>
      <c r="AB1132" s="9"/>
      <c r="AC1132" s="9"/>
      <c r="AD1132" s="9"/>
      <c r="AE1132" s="9"/>
      <c r="AF1132" s="9"/>
      <c r="AG1132" s="9"/>
      <c r="AH1132" s="9"/>
      <c r="AI1132" s="9"/>
      <c r="AJ1132" s="7"/>
      <c r="AK1132" s="7"/>
      <c r="AL1132" s="7"/>
      <c r="AM1132" s="7"/>
      <c r="AN1132" s="7"/>
    </row>
    <row r="1133" spans="1:40" customFormat="1" ht="14.25" customHeight="1">
      <c r="A1133" s="117" t="s">
        <v>2879</v>
      </c>
      <c r="B1133" s="9">
        <v>27.2</v>
      </c>
      <c r="C1133" s="7" t="s">
        <v>1182</v>
      </c>
      <c r="D1133" s="183"/>
      <c r="E1133" s="183"/>
      <c r="F1133" s="188"/>
      <c r="G1133" s="188"/>
      <c r="H1133" s="183"/>
      <c r="I1133" s="183"/>
      <c r="J1133" s="188"/>
      <c r="K1133" s="188"/>
      <c r="L1133" s="9"/>
      <c r="M1133" s="9"/>
      <c r="N1133" s="183">
        <v>3</v>
      </c>
      <c r="O1133" s="7">
        <v>1.65</v>
      </c>
      <c r="P1133" s="183">
        <f t="shared" si="67"/>
        <v>4.9499999999999993</v>
      </c>
      <c r="Q1133" s="9"/>
      <c r="R1133" s="7"/>
      <c r="S1133" s="126"/>
      <c r="T1133" s="126"/>
      <c r="U1133" s="236"/>
      <c r="V1133" s="103"/>
      <c r="W1133" s="9"/>
      <c r="X1133" s="9"/>
      <c r="Y1133" s="9"/>
      <c r="Z1133" s="9"/>
      <c r="AA1133" s="126"/>
      <c r="AB1133" s="9"/>
      <c r="AC1133" s="9"/>
      <c r="AD1133" s="9"/>
      <c r="AE1133" s="9"/>
      <c r="AF1133" s="9"/>
      <c r="AG1133" s="9"/>
      <c r="AH1133" s="9"/>
      <c r="AI1133" s="9"/>
      <c r="AJ1133" s="7"/>
      <c r="AK1133" s="7"/>
      <c r="AL1133" s="7"/>
      <c r="AM1133" s="7"/>
      <c r="AN1133" s="7"/>
    </row>
    <row r="1134" spans="1:40" customFormat="1" ht="14.25" customHeight="1">
      <c r="A1134" s="117" t="s">
        <v>2880</v>
      </c>
      <c r="B1134" s="9">
        <v>26.5</v>
      </c>
      <c r="C1134" s="7" t="s">
        <v>1183</v>
      </c>
      <c r="D1134" s="183"/>
      <c r="E1134" s="183"/>
      <c r="F1134" s="188"/>
      <c r="G1134" s="188"/>
      <c r="H1134" s="183"/>
      <c r="I1134" s="183"/>
      <c r="J1134" s="188"/>
      <c r="K1134" s="188"/>
      <c r="L1134" s="9"/>
      <c r="M1134" s="9"/>
      <c r="N1134" s="183">
        <v>3</v>
      </c>
      <c r="O1134" s="7">
        <v>1.65</v>
      </c>
      <c r="P1134" s="183">
        <f t="shared" si="67"/>
        <v>4.9499999999999993</v>
      </c>
      <c r="Q1134" s="9"/>
      <c r="R1134" s="7"/>
      <c r="S1134" s="126"/>
      <c r="T1134" s="126"/>
      <c r="U1134" s="236"/>
      <c r="V1134" s="103"/>
      <c r="W1134" s="9"/>
      <c r="X1134" s="9"/>
      <c r="Y1134" s="9"/>
      <c r="Z1134" s="9"/>
      <c r="AA1134" s="126"/>
      <c r="AB1134" s="9"/>
      <c r="AC1134" s="9"/>
      <c r="AD1134" s="9"/>
      <c r="AE1134" s="9"/>
      <c r="AF1134" s="9"/>
      <c r="AG1134" s="9"/>
      <c r="AH1134" s="9"/>
      <c r="AI1134" s="9"/>
      <c r="AJ1134" s="7"/>
      <c r="AK1134" s="7"/>
      <c r="AL1134" s="7"/>
      <c r="AM1134" s="7"/>
      <c r="AN1134" s="7"/>
    </row>
    <row r="1135" spans="1:40" customFormat="1" ht="14.25" customHeight="1">
      <c r="A1135" s="117" t="s">
        <v>2881</v>
      </c>
      <c r="B1135" s="9">
        <v>26.8</v>
      </c>
      <c r="C1135" s="7" t="s">
        <v>1184</v>
      </c>
      <c r="D1135" s="183"/>
      <c r="E1135" s="183"/>
      <c r="F1135" s="188"/>
      <c r="G1135" s="188"/>
      <c r="H1135" s="183"/>
      <c r="I1135" s="183"/>
      <c r="J1135" s="188"/>
      <c r="K1135" s="188"/>
      <c r="L1135" s="9"/>
      <c r="M1135" s="9"/>
      <c r="N1135" s="183">
        <v>3</v>
      </c>
      <c r="O1135" s="7">
        <v>1.65</v>
      </c>
      <c r="P1135" s="183">
        <f t="shared" si="67"/>
        <v>4.9499999999999993</v>
      </c>
      <c r="Q1135" s="9"/>
      <c r="R1135" s="7"/>
      <c r="S1135" s="126"/>
      <c r="T1135" s="126"/>
      <c r="U1135" s="236"/>
      <c r="V1135" s="103"/>
      <c r="W1135" s="9"/>
      <c r="X1135" s="9"/>
      <c r="Y1135" s="9"/>
      <c r="Z1135" s="9"/>
      <c r="AA1135" s="126"/>
      <c r="AB1135" s="9"/>
      <c r="AC1135" s="9"/>
      <c r="AD1135" s="9"/>
      <c r="AE1135" s="9"/>
      <c r="AF1135" s="9"/>
      <c r="AG1135" s="9"/>
      <c r="AH1135" s="9"/>
      <c r="AI1135" s="9"/>
      <c r="AJ1135" s="7"/>
      <c r="AK1135" s="7"/>
      <c r="AL1135" s="7"/>
      <c r="AM1135" s="7"/>
      <c r="AN1135" s="7"/>
    </row>
    <row r="1136" spans="1:40" customFormat="1" ht="14.25" customHeight="1">
      <c r="A1136" s="117" t="s">
        <v>2882</v>
      </c>
      <c r="B1136" s="9">
        <v>23.3</v>
      </c>
      <c r="C1136" s="7" t="s">
        <v>1185</v>
      </c>
      <c r="D1136" s="183"/>
      <c r="E1136" s="183"/>
      <c r="F1136" s="188"/>
      <c r="G1136" s="188"/>
      <c r="H1136" s="183"/>
      <c r="I1136" s="183"/>
      <c r="J1136" s="188"/>
      <c r="K1136" s="188"/>
      <c r="L1136" s="9"/>
      <c r="M1136" s="9"/>
      <c r="N1136" s="183">
        <v>3</v>
      </c>
      <c r="O1136" s="7">
        <v>1.65</v>
      </c>
      <c r="P1136" s="183">
        <f t="shared" si="67"/>
        <v>4.9499999999999993</v>
      </c>
      <c r="Q1136" s="9"/>
      <c r="R1136" s="7"/>
      <c r="S1136" s="126"/>
      <c r="T1136" s="126"/>
      <c r="U1136" s="236"/>
      <c r="V1136" s="103"/>
      <c r="W1136" s="9"/>
      <c r="X1136" s="9"/>
      <c r="Y1136" s="9"/>
      <c r="Z1136" s="9"/>
      <c r="AA1136" s="126"/>
      <c r="AB1136" s="9"/>
      <c r="AC1136" s="9"/>
      <c r="AD1136" s="9"/>
      <c r="AE1136" s="9"/>
      <c r="AF1136" s="9"/>
      <c r="AG1136" s="9"/>
      <c r="AH1136" s="9"/>
      <c r="AI1136" s="9"/>
      <c r="AJ1136" s="7"/>
      <c r="AK1136" s="7"/>
      <c r="AL1136" s="7"/>
      <c r="AM1136" s="7"/>
      <c r="AN1136" s="7"/>
    </row>
    <row r="1137" spans="1:40" customFormat="1" ht="14.25" customHeight="1">
      <c r="A1137" s="117" t="s">
        <v>2884</v>
      </c>
      <c r="B1137" s="9">
        <v>23.6</v>
      </c>
      <c r="C1137" s="1" t="s">
        <v>2883</v>
      </c>
      <c r="D1137" s="183"/>
      <c r="E1137" s="183"/>
      <c r="F1137" s="188"/>
      <c r="G1137" s="188"/>
      <c r="H1137" s="183"/>
      <c r="I1137" s="183"/>
      <c r="J1137" s="188"/>
      <c r="K1137" s="188"/>
      <c r="L1137" s="9"/>
      <c r="M1137" s="9"/>
      <c r="N1137" s="183">
        <v>3</v>
      </c>
      <c r="O1137" s="7">
        <v>1.65</v>
      </c>
      <c r="P1137" s="183">
        <f t="shared" si="67"/>
        <v>4.9499999999999993</v>
      </c>
      <c r="Q1137" s="9"/>
      <c r="R1137" s="7"/>
      <c r="S1137" s="126"/>
      <c r="T1137" s="126"/>
      <c r="U1137" s="236"/>
      <c r="V1137" s="103"/>
      <c r="W1137" s="9"/>
      <c r="X1137" s="9"/>
      <c r="Y1137" s="9"/>
      <c r="Z1137" s="9"/>
      <c r="AA1137" s="126"/>
      <c r="AB1137" s="9"/>
      <c r="AC1137" s="9"/>
      <c r="AD1137" s="9"/>
      <c r="AE1137" s="9"/>
      <c r="AF1137" s="9"/>
      <c r="AG1137" s="9"/>
      <c r="AH1137" s="9"/>
      <c r="AI1137" s="9"/>
      <c r="AJ1137" s="7"/>
      <c r="AK1137" s="7"/>
      <c r="AL1137" s="7"/>
      <c r="AM1137" s="7"/>
      <c r="AN1137" s="7"/>
    </row>
    <row r="1138" spans="1:40" customFormat="1" ht="14.25" customHeight="1">
      <c r="A1138" s="193" t="s">
        <v>4167</v>
      </c>
      <c r="B1138" s="9">
        <v>20.6</v>
      </c>
      <c r="C1138" s="211" t="s">
        <v>1146</v>
      </c>
      <c r="D1138" s="183"/>
      <c r="E1138" s="183"/>
      <c r="F1138" s="188"/>
      <c r="G1138" s="188"/>
      <c r="H1138" s="183"/>
      <c r="I1138" s="183"/>
      <c r="J1138" s="188"/>
      <c r="K1138" s="188"/>
      <c r="L1138" s="9"/>
      <c r="M1138" s="9"/>
      <c r="N1138" s="183">
        <v>3</v>
      </c>
      <c r="O1138" s="7">
        <v>1.75</v>
      </c>
      <c r="P1138" s="183">
        <f t="shared" si="67"/>
        <v>5.25</v>
      </c>
      <c r="Q1138" s="9"/>
      <c r="R1138" s="7"/>
      <c r="S1138" s="126"/>
      <c r="T1138" s="126"/>
      <c r="U1138" s="236"/>
      <c r="V1138" s="103"/>
      <c r="W1138" s="9"/>
      <c r="X1138" s="9"/>
      <c r="Y1138" s="9"/>
      <c r="Z1138" s="9"/>
      <c r="AA1138" s="126"/>
      <c r="AB1138" s="9"/>
      <c r="AC1138" s="9"/>
      <c r="AD1138" s="9"/>
      <c r="AE1138" s="9"/>
      <c r="AF1138" s="9"/>
      <c r="AG1138" s="9"/>
      <c r="AH1138" s="9"/>
      <c r="AI1138" s="9"/>
      <c r="AJ1138" s="7"/>
      <c r="AK1138" s="7"/>
      <c r="AL1138" s="7"/>
      <c r="AM1138" s="7"/>
      <c r="AN1138" s="7"/>
    </row>
    <row r="1139" spans="1:40" customFormat="1" ht="14.25" customHeight="1">
      <c r="A1139" s="193" t="s">
        <v>4169</v>
      </c>
      <c r="B1139" s="9">
        <v>19.7</v>
      </c>
      <c r="C1139" s="7" t="s">
        <v>1147</v>
      </c>
      <c r="D1139" s="183"/>
      <c r="E1139" s="183"/>
      <c r="F1139" s="188"/>
      <c r="G1139" s="188"/>
      <c r="H1139" s="183"/>
      <c r="I1139" s="183"/>
      <c r="J1139" s="188"/>
      <c r="K1139" s="188"/>
      <c r="L1139" s="9"/>
      <c r="M1139" s="9"/>
      <c r="N1139" s="183">
        <v>3</v>
      </c>
      <c r="O1139" s="7">
        <v>1.75</v>
      </c>
      <c r="P1139" s="183">
        <f t="shared" si="67"/>
        <v>5.25</v>
      </c>
      <c r="Q1139" s="9"/>
      <c r="R1139" s="7"/>
      <c r="S1139" s="126"/>
      <c r="T1139" s="126"/>
      <c r="U1139" s="236"/>
      <c r="V1139" s="103"/>
      <c r="W1139" s="9"/>
      <c r="X1139" s="9"/>
      <c r="Y1139" s="9"/>
      <c r="Z1139" s="9"/>
      <c r="AA1139" s="126"/>
      <c r="AB1139" s="9"/>
      <c r="AC1139" s="9"/>
      <c r="AD1139" s="9"/>
      <c r="AE1139" s="9"/>
      <c r="AF1139" s="9"/>
      <c r="AG1139" s="9"/>
      <c r="AH1139" s="9"/>
      <c r="AI1139" s="9"/>
      <c r="AJ1139" s="211" t="s">
        <v>1146</v>
      </c>
      <c r="AK1139" s="7"/>
      <c r="AL1139" s="7"/>
      <c r="AM1139" s="7"/>
      <c r="AN1139" s="7"/>
    </row>
    <row r="1140" spans="1:40" customFormat="1" ht="14.25" customHeight="1">
      <c r="A1140" s="193" t="s">
        <v>4171</v>
      </c>
      <c r="B1140" s="9">
        <v>19.2</v>
      </c>
      <c r="C1140" s="7" t="s">
        <v>1148</v>
      </c>
      <c r="D1140" s="183"/>
      <c r="E1140" s="183"/>
      <c r="F1140" s="188"/>
      <c r="G1140" s="188"/>
      <c r="H1140" s="183"/>
      <c r="I1140" s="183"/>
      <c r="J1140" s="188"/>
      <c r="K1140" s="188"/>
      <c r="L1140" s="9"/>
      <c r="M1140" s="9"/>
      <c r="N1140" s="183">
        <v>3</v>
      </c>
      <c r="O1140" s="7">
        <v>1.75</v>
      </c>
      <c r="P1140" s="183">
        <f t="shared" si="67"/>
        <v>5.25</v>
      </c>
      <c r="Q1140" s="9"/>
      <c r="R1140" s="7"/>
      <c r="S1140" s="126"/>
      <c r="T1140" s="126"/>
      <c r="U1140" s="236"/>
      <c r="V1140" s="103"/>
      <c r="W1140" s="9"/>
      <c r="X1140" s="9"/>
      <c r="Y1140" s="9"/>
      <c r="Z1140" s="9"/>
      <c r="AA1140" s="126"/>
      <c r="AB1140" s="9"/>
      <c r="AC1140" s="9"/>
      <c r="AD1140" s="9"/>
      <c r="AE1140" s="9"/>
      <c r="AF1140" s="9"/>
      <c r="AG1140" s="9"/>
      <c r="AH1140" s="9"/>
      <c r="AI1140" s="9"/>
      <c r="AJ1140" s="7"/>
      <c r="AK1140" s="7"/>
      <c r="AL1140" s="7"/>
      <c r="AM1140" s="7"/>
      <c r="AN1140" s="7"/>
    </row>
    <row r="1141" spans="1:40" customFormat="1" ht="14.25" customHeight="1">
      <c r="A1141" s="193" t="s">
        <v>4173</v>
      </c>
      <c r="B1141" s="9">
        <v>19.2</v>
      </c>
      <c r="C1141" s="7" t="s">
        <v>1149</v>
      </c>
      <c r="D1141" s="183"/>
      <c r="E1141" s="183"/>
      <c r="F1141" s="188"/>
      <c r="G1141" s="188"/>
      <c r="H1141" s="183"/>
      <c r="I1141" s="183"/>
      <c r="J1141" s="188"/>
      <c r="K1141" s="188"/>
      <c r="L1141" s="9"/>
      <c r="M1141" s="9"/>
      <c r="N1141" s="183">
        <v>3</v>
      </c>
      <c r="O1141" s="7">
        <v>1.75</v>
      </c>
      <c r="P1141" s="183">
        <f t="shared" si="67"/>
        <v>5.25</v>
      </c>
      <c r="Q1141" s="9"/>
      <c r="R1141" s="7"/>
      <c r="S1141" s="126"/>
      <c r="T1141" s="126"/>
      <c r="U1141" s="236"/>
      <c r="V1141" s="103"/>
      <c r="W1141" s="9"/>
      <c r="X1141" s="9"/>
      <c r="Y1141" s="9"/>
      <c r="Z1141" s="9"/>
      <c r="AA1141" s="126"/>
      <c r="AB1141" s="9"/>
      <c r="AC1141" s="9"/>
      <c r="AD1141" s="9"/>
      <c r="AE1141" s="9"/>
      <c r="AF1141" s="9"/>
      <c r="AG1141" s="9"/>
      <c r="AH1141" s="9"/>
      <c r="AI1141" s="9"/>
      <c r="AJ1141" s="7"/>
      <c r="AK1141" s="7"/>
      <c r="AL1141" s="7"/>
      <c r="AM1141" s="7"/>
      <c r="AN1141" s="7"/>
    </row>
    <row r="1142" spans="1:40" customFormat="1" ht="14.25" customHeight="1">
      <c r="A1142" s="193" t="s">
        <v>4175</v>
      </c>
      <c r="B1142" s="9">
        <v>20.399999999999999</v>
      </c>
      <c r="C1142" s="7" t="s">
        <v>1150</v>
      </c>
      <c r="D1142" s="183"/>
      <c r="E1142" s="183"/>
      <c r="F1142" s="188"/>
      <c r="G1142" s="188"/>
      <c r="H1142" s="183"/>
      <c r="I1142" s="183"/>
      <c r="J1142" s="188"/>
      <c r="K1142" s="188"/>
      <c r="L1142" s="9"/>
      <c r="M1142" s="9"/>
      <c r="N1142" s="183">
        <v>3</v>
      </c>
      <c r="O1142" s="7">
        <v>1.75</v>
      </c>
      <c r="P1142" s="183">
        <f t="shared" si="67"/>
        <v>5.25</v>
      </c>
      <c r="Q1142" s="9"/>
      <c r="R1142" s="7"/>
      <c r="S1142" s="126"/>
      <c r="T1142" s="126"/>
      <c r="U1142" s="236"/>
      <c r="V1142" s="103"/>
      <c r="W1142" s="9"/>
      <c r="X1142" s="9"/>
      <c r="Y1142" s="9"/>
      <c r="Z1142" s="9"/>
      <c r="AA1142" s="126"/>
      <c r="AB1142" s="9"/>
      <c r="AC1142" s="9"/>
      <c r="AD1142" s="9"/>
      <c r="AE1142" s="9"/>
      <c r="AF1142" s="9"/>
      <c r="AG1142" s="9"/>
      <c r="AH1142" s="9"/>
      <c r="AI1142" s="9"/>
      <c r="AJ1142" s="7"/>
      <c r="AK1142" s="7"/>
      <c r="AL1142" s="7"/>
      <c r="AM1142" s="7"/>
      <c r="AN1142" s="7"/>
    </row>
    <row r="1143" spans="1:40" customFormat="1" ht="14.25" customHeight="1">
      <c r="A1143" s="193" t="s">
        <v>4177</v>
      </c>
      <c r="B1143" s="9">
        <v>20.8</v>
      </c>
      <c r="C1143" s="7" t="s">
        <v>1145</v>
      </c>
      <c r="D1143" s="183"/>
      <c r="E1143" s="183"/>
      <c r="F1143" s="188"/>
      <c r="G1143" s="188"/>
      <c r="H1143" s="183"/>
      <c r="I1143" s="183"/>
      <c r="J1143" s="188"/>
      <c r="K1143" s="188"/>
      <c r="L1143" s="9"/>
      <c r="M1143" s="9"/>
      <c r="N1143" s="183">
        <v>3</v>
      </c>
      <c r="O1143" s="7">
        <v>1.75</v>
      </c>
      <c r="P1143" s="183">
        <f t="shared" si="67"/>
        <v>5.25</v>
      </c>
      <c r="Q1143" s="9"/>
      <c r="R1143" s="7"/>
      <c r="S1143" s="126"/>
      <c r="T1143" s="126"/>
      <c r="U1143" s="236"/>
      <c r="V1143" s="103"/>
      <c r="W1143" s="9"/>
      <c r="X1143" s="9"/>
      <c r="Y1143" s="9"/>
      <c r="Z1143" s="9"/>
      <c r="AA1143" s="126"/>
      <c r="AB1143" s="9"/>
      <c r="AC1143" s="9"/>
      <c r="AD1143" s="9"/>
      <c r="AE1143" s="9"/>
      <c r="AF1143" s="9"/>
      <c r="AG1143" s="9"/>
      <c r="AH1143" s="9"/>
      <c r="AI1143" s="9"/>
      <c r="AJ1143" s="7"/>
      <c r="AK1143" s="7"/>
      <c r="AL1143" s="7"/>
      <c r="AM1143" s="7"/>
      <c r="AN1143" s="7"/>
    </row>
    <row r="1144" spans="1:40" customFormat="1" ht="14.25" customHeight="1">
      <c r="A1144" s="193" t="s">
        <v>4179</v>
      </c>
      <c r="B1144" s="9">
        <v>19.8</v>
      </c>
      <c r="C1144" s="7" t="s">
        <v>1151</v>
      </c>
      <c r="D1144" s="183"/>
      <c r="E1144" s="183"/>
      <c r="F1144" s="188"/>
      <c r="G1144" s="188"/>
      <c r="H1144" s="183"/>
      <c r="I1144" s="183"/>
      <c r="J1144" s="188"/>
      <c r="K1144" s="188"/>
      <c r="L1144" s="9"/>
      <c r="M1144" s="9"/>
      <c r="N1144" s="183">
        <v>3</v>
      </c>
      <c r="O1144" s="7">
        <v>1.7</v>
      </c>
      <c r="P1144" s="183">
        <f t="shared" si="67"/>
        <v>5.0999999999999996</v>
      </c>
      <c r="Q1144" s="9"/>
      <c r="R1144" s="7"/>
      <c r="S1144" s="126"/>
      <c r="T1144" s="126"/>
      <c r="U1144" s="236"/>
      <c r="V1144" s="103"/>
      <c r="W1144" s="9"/>
      <c r="X1144" s="9"/>
      <c r="Y1144" s="9"/>
      <c r="Z1144" s="9"/>
      <c r="AA1144" s="126"/>
      <c r="AB1144" s="9"/>
      <c r="AC1144" s="9"/>
      <c r="AD1144" s="9"/>
      <c r="AE1144" s="9"/>
      <c r="AF1144" s="9"/>
      <c r="AG1144" s="9"/>
      <c r="AH1144" s="9"/>
      <c r="AI1144" s="9"/>
      <c r="AJ1144" s="7"/>
      <c r="AK1144" s="7"/>
      <c r="AL1144" s="7"/>
      <c r="AM1144" s="7"/>
      <c r="AN1144" s="7"/>
    </row>
    <row r="1145" spans="1:40" customFormat="1" ht="14.25" customHeight="1">
      <c r="A1145" s="193" t="s">
        <v>4181</v>
      </c>
      <c r="B1145" s="9">
        <v>20.8</v>
      </c>
      <c r="C1145" s="7" t="s">
        <v>1152</v>
      </c>
      <c r="D1145" s="183"/>
      <c r="E1145" s="183"/>
      <c r="F1145" s="188"/>
      <c r="G1145" s="188"/>
      <c r="H1145" s="183"/>
      <c r="I1145" s="183"/>
      <c r="J1145" s="188"/>
      <c r="K1145" s="188"/>
      <c r="L1145" s="9"/>
      <c r="M1145" s="9"/>
      <c r="N1145" s="183">
        <v>3</v>
      </c>
      <c r="O1145" s="7">
        <v>1.75</v>
      </c>
      <c r="P1145" s="183">
        <f t="shared" si="67"/>
        <v>5.25</v>
      </c>
      <c r="Q1145" s="9"/>
      <c r="R1145" s="7"/>
      <c r="S1145" s="126"/>
      <c r="T1145" s="126"/>
      <c r="U1145" s="236"/>
      <c r="V1145" s="103"/>
      <c r="W1145" s="9"/>
      <c r="X1145" s="9"/>
      <c r="Y1145" s="9"/>
      <c r="Z1145" s="9"/>
      <c r="AA1145" s="126"/>
      <c r="AB1145" s="9"/>
      <c r="AC1145" s="9"/>
      <c r="AD1145" s="9"/>
      <c r="AE1145" s="9"/>
      <c r="AF1145" s="9"/>
      <c r="AG1145" s="9"/>
      <c r="AH1145" s="9"/>
      <c r="AI1145" s="9"/>
      <c r="AJ1145" s="7"/>
      <c r="AK1145" s="7"/>
      <c r="AL1145" s="7"/>
      <c r="AM1145" s="7"/>
      <c r="AN1145" s="7"/>
    </row>
    <row r="1146" spans="1:40" customFormat="1" ht="14.25" customHeight="1">
      <c r="A1146" s="193" t="s">
        <v>4183</v>
      </c>
      <c r="B1146" s="9">
        <v>20.100000000000001</v>
      </c>
      <c r="C1146" s="7" t="s">
        <v>1153</v>
      </c>
      <c r="D1146" s="183"/>
      <c r="E1146" s="183"/>
      <c r="F1146" s="188"/>
      <c r="G1146" s="188"/>
      <c r="H1146" s="183"/>
      <c r="I1146" s="183"/>
      <c r="J1146" s="188"/>
      <c r="K1146" s="188"/>
      <c r="L1146" s="9"/>
      <c r="M1146" s="9"/>
      <c r="N1146" s="183">
        <v>3</v>
      </c>
      <c r="O1146" s="7">
        <v>1.75</v>
      </c>
      <c r="P1146" s="183">
        <f t="shared" si="67"/>
        <v>5.25</v>
      </c>
      <c r="Q1146" s="9"/>
      <c r="R1146" s="7"/>
      <c r="S1146" s="126"/>
      <c r="T1146" s="126"/>
      <c r="U1146" s="236"/>
      <c r="V1146" s="103"/>
      <c r="W1146" s="9"/>
      <c r="X1146" s="9"/>
      <c r="Y1146" s="9"/>
      <c r="Z1146" s="9"/>
      <c r="AA1146" s="126"/>
      <c r="AB1146" s="9"/>
      <c r="AC1146" s="9"/>
      <c r="AD1146" s="9"/>
      <c r="AE1146" s="9"/>
      <c r="AF1146" s="9"/>
      <c r="AG1146" s="9"/>
      <c r="AH1146" s="9"/>
      <c r="AI1146" s="9"/>
      <c r="AJ1146" s="7"/>
      <c r="AK1146" s="7"/>
      <c r="AL1146" s="7"/>
      <c r="AM1146" s="7"/>
      <c r="AN1146" s="7"/>
    </row>
    <row r="1147" spans="1:40" customFormat="1" ht="14.25" customHeight="1">
      <c r="A1147" s="193" t="s">
        <v>4185</v>
      </c>
      <c r="B1147" s="9">
        <v>19.600000000000001</v>
      </c>
      <c r="C1147" s="7" t="s">
        <v>1154</v>
      </c>
      <c r="D1147" s="183"/>
      <c r="E1147" s="183"/>
      <c r="F1147" s="188"/>
      <c r="G1147" s="188"/>
      <c r="H1147" s="183"/>
      <c r="I1147" s="183"/>
      <c r="J1147" s="188"/>
      <c r="K1147" s="188"/>
      <c r="L1147" s="9"/>
      <c r="M1147" s="9"/>
      <c r="N1147" s="183">
        <v>3</v>
      </c>
      <c r="O1147" s="7">
        <v>1.75</v>
      </c>
      <c r="P1147" s="183">
        <f t="shared" si="67"/>
        <v>5.25</v>
      </c>
      <c r="Q1147" s="9"/>
      <c r="R1147" s="7"/>
      <c r="S1147" s="126"/>
      <c r="T1147" s="126"/>
      <c r="U1147" s="236"/>
      <c r="V1147" s="103"/>
      <c r="W1147" s="9"/>
      <c r="X1147" s="9"/>
      <c r="Y1147" s="9"/>
      <c r="Z1147" s="9"/>
      <c r="AA1147" s="126"/>
      <c r="AB1147" s="9"/>
      <c r="AC1147" s="9"/>
      <c r="AD1147" s="9"/>
      <c r="AE1147" s="9"/>
      <c r="AF1147" s="9"/>
      <c r="AG1147" s="9"/>
      <c r="AH1147" s="9"/>
      <c r="AI1147" s="9"/>
      <c r="AJ1147" s="7"/>
      <c r="AK1147" s="7"/>
      <c r="AL1147" s="7"/>
      <c r="AM1147" s="7"/>
      <c r="AN1147" s="7"/>
    </row>
    <row r="1148" spans="1:40" customFormat="1" ht="14.25" customHeight="1">
      <c r="A1148" s="116" t="s">
        <v>2893</v>
      </c>
      <c r="B1148" s="9">
        <v>31.8</v>
      </c>
      <c r="C1148" s="211" t="s">
        <v>1155</v>
      </c>
      <c r="D1148" s="183"/>
      <c r="E1148" s="183"/>
      <c r="F1148" s="188"/>
      <c r="G1148" s="188"/>
      <c r="H1148" s="183"/>
      <c r="I1148" s="183"/>
      <c r="J1148" s="188"/>
      <c r="K1148" s="188"/>
      <c r="L1148" s="9"/>
      <c r="M1148" s="9"/>
      <c r="N1148" s="183">
        <v>3</v>
      </c>
      <c r="O1148" s="7">
        <v>1.25</v>
      </c>
      <c r="P1148" s="183">
        <f t="shared" si="67"/>
        <v>3.75</v>
      </c>
      <c r="Q1148" s="9"/>
      <c r="R1148" s="7"/>
      <c r="S1148" s="126"/>
      <c r="T1148" s="126"/>
      <c r="U1148" s="236"/>
      <c r="V1148" s="103"/>
      <c r="W1148" s="9"/>
      <c r="X1148" s="9"/>
      <c r="Y1148" s="9"/>
      <c r="Z1148" s="9"/>
      <c r="AA1148" s="126"/>
      <c r="AB1148" s="9"/>
      <c r="AC1148" s="9"/>
      <c r="AD1148" s="9"/>
      <c r="AE1148" s="9"/>
      <c r="AF1148" s="9"/>
      <c r="AG1148" s="9"/>
      <c r="AH1148" s="9"/>
      <c r="AI1148" s="9"/>
      <c r="AJ1148" s="7"/>
      <c r="AK1148" s="7"/>
      <c r="AL1148" s="7"/>
      <c r="AM1148" s="7"/>
      <c r="AN1148" s="7"/>
    </row>
    <row r="1149" spans="1:40" customFormat="1" ht="14.25" customHeight="1">
      <c r="A1149" s="116" t="s">
        <v>2894</v>
      </c>
      <c r="B1149" s="9">
        <v>30.2</v>
      </c>
      <c r="C1149" s="7" t="s">
        <v>1156</v>
      </c>
      <c r="D1149" s="183"/>
      <c r="E1149" s="183"/>
      <c r="F1149" s="188"/>
      <c r="G1149" s="188"/>
      <c r="H1149" s="183"/>
      <c r="I1149" s="183"/>
      <c r="J1149" s="188"/>
      <c r="K1149" s="188"/>
      <c r="L1149" s="9"/>
      <c r="M1149" s="9"/>
      <c r="N1149" s="183">
        <v>3</v>
      </c>
      <c r="O1149" s="7">
        <v>1.25</v>
      </c>
      <c r="P1149" s="183">
        <f t="shared" si="67"/>
        <v>3.75</v>
      </c>
      <c r="Q1149" s="9"/>
      <c r="R1149" s="7"/>
      <c r="S1149" s="126"/>
      <c r="T1149" s="126"/>
      <c r="U1149" s="236"/>
      <c r="V1149" s="103"/>
      <c r="W1149" s="9"/>
      <c r="X1149" s="9"/>
      <c r="Y1149" s="9"/>
      <c r="Z1149" s="9"/>
      <c r="AA1149" s="126"/>
      <c r="AB1149" s="9"/>
      <c r="AC1149" s="9"/>
      <c r="AD1149" s="9"/>
      <c r="AE1149" s="9"/>
      <c r="AF1149" s="9"/>
      <c r="AG1149" s="9"/>
      <c r="AH1149" s="9"/>
      <c r="AI1149" s="9"/>
      <c r="AJ1149" s="211" t="s">
        <v>1155</v>
      </c>
      <c r="AK1149" s="7"/>
      <c r="AL1149" s="7"/>
      <c r="AM1149" s="7"/>
      <c r="AN1149" s="7"/>
    </row>
    <row r="1150" spans="1:40" customFormat="1" ht="14.25" customHeight="1">
      <c r="A1150" s="116" t="s">
        <v>2895</v>
      </c>
      <c r="B1150" s="9">
        <v>21.8</v>
      </c>
      <c r="C1150" s="7" t="s">
        <v>1157</v>
      </c>
      <c r="D1150" s="183"/>
      <c r="E1150" s="183"/>
      <c r="F1150" s="188"/>
      <c r="G1150" s="188"/>
      <c r="H1150" s="183"/>
      <c r="I1150" s="183"/>
      <c r="J1150" s="188"/>
      <c r="K1150" s="188"/>
      <c r="L1150" s="9"/>
      <c r="M1150" s="9"/>
      <c r="N1150" s="183">
        <v>3</v>
      </c>
      <c r="O1150" s="7">
        <v>1.25</v>
      </c>
      <c r="P1150" s="183">
        <f t="shared" si="67"/>
        <v>3.75</v>
      </c>
      <c r="Q1150" s="9"/>
      <c r="R1150" s="7"/>
      <c r="S1150" s="126"/>
      <c r="T1150" s="126"/>
      <c r="U1150" s="236"/>
      <c r="V1150" s="103"/>
      <c r="W1150" s="9"/>
      <c r="X1150" s="9"/>
      <c r="Y1150" s="9"/>
      <c r="Z1150" s="9"/>
      <c r="AA1150" s="126"/>
      <c r="AB1150" s="9"/>
      <c r="AC1150" s="9"/>
      <c r="AD1150" s="9"/>
      <c r="AE1150" s="9"/>
      <c r="AF1150" s="9"/>
      <c r="AG1150" s="9"/>
      <c r="AH1150" s="9"/>
      <c r="AI1150" s="9"/>
      <c r="AJ1150" s="7"/>
      <c r="AK1150" s="7"/>
      <c r="AL1150" s="7"/>
      <c r="AM1150" s="7"/>
      <c r="AN1150" s="7"/>
    </row>
    <row r="1151" spans="1:40" customFormat="1" ht="14.25" customHeight="1">
      <c r="A1151" s="116" t="s">
        <v>2896</v>
      </c>
      <c r="B1151" s="9">
        <v>31.1</v>
      </c>
      <c r="C1151" s="7" t="s">
        <v>1158</v>
      </c>
      <c r="D1151" s="183"/>
      <c r="E1151" s="183"/>
      <c r="F1151" s="188"/>
      <c r="G1151" s="188"/>
      <c r="H1151" s="183"/>
      <c r="I1151" s="183"/>
      <c r="J1151" s="188"/>
      <c r="K1151" s="188"/>
      <c r="L1151" s="9"/>
      <c r="M1151" s="9"/>
      <c r="N1151" s="183">
        <v>3</v>
      </c>
      <c r="O1151" s="7">
        <v>1.25</v>
      </c>
      <c r="P1151" s="183">
        <f t="shared" si="67"/>
        <v>3.75</v>
      </c>
      <c r="Q1151" s="9"/>
      <c r="R1151" s="7"/>
      <c r="S1151" s="126"/>
      <c r="T1151" s="126"/>
      <c r="U1151" s="236"/>
      <c r="V1151" s="103"/>
      <c r="W1151" s="9"/>
      <c r="X1151" s="9"/>
      <c r="Y1151" s="9"/>
      <c r="Z1151" s="9"/>
      <c r="AA1151" s="126"/>
      <c r="AB1151" s="9"/>
      <c r="AC1151" s="9"/>
      <c r="AD1151" s="9"/>
      <c r="AE1151" s="9"/>
      <c r="AF1151" s="9"/>
      <c r="AG1151" s="9"/>
      <c r="AH1151" s="9"/>
      <c r="AI1151" s="9"/>
      <c r="AJ1151" s="7"/>
      <c r="AK1151" s="7"/>
      <c r="AL1151" s="7"/>
      <c r="AM1151" s="7"/>
      <c r="AN1151" s="7"/>
    </row>
    <row r="1152" spans="1:40" customFormat="1" ht="14.25" customHeight="1">
      <c r="A1152" s="116" t="s">
        <v>2897</v>
      </c>
      <c r="B1152" s="9">
        <v>22.6</v>
      </c>
      <c r="C1152" s="211" t="s">
        <v>1159</v>
      </c>
      <c r="D1152" s="183"/>
      <c r="E1152" s="183"/>
      <c r="F1152" s="188"/>
      <c r="G1152" s="188"/>
      <c r="H1152" s="183"/>
      <c r="I1152" s="183"/>
      <c r="J1152" s="188"/>
      <c r="K1152" s="188"/>
      <c r="L1152" s="9"/>
      <c r="M1152" s="9"/>
      <c r="N1152" s="183">
        <v>3</v>
      </c>
      <c r="O1152" s="7">
        <v>2</v>
      </c>
      <c r="P1152" s="183">
        <f t="shared" si="67"/>
        <v>6</v>
      </c>
      <c r="Q1152" s="9"/>
      <c r="R1152" s="7"/>
      <c r="S1152" s="126"/>
      <c r="T1152" s="126"/>
      <c r="U1152" s="236"/>
      <c r="V1152" s="103"/>
      <c r="W1152" s="9"/>
      <c r="X1152" s="9"/>
      <c r="Y1152" s="9"/>
      <c r="Z1152" s="9"/>
      <c r="AA1152" s="126"/>
      <c r="AB1152" s="9"/>
      <c r="AC1152" s="9"/>
      <c r="AD1152" s="9"/>
      <c r="AE1152" s="9"/>
      <c r="AF1152" s="9"/>
      <c r="AG1152" s="9"/>
      <c r="AH1152" s="9"/>
      <c r="AI1152" s="9"/>
      <c r="AJ1152" s="7"/>
      <c r="AK1152" s="7"/>
      <c r="AL1152" s="7"/>
      <c r="AM1152" s="7"/>
      <c r="AN1152" s="7"/>
    </row>
    <row r="1153" spans="1:40" customFormat="1" ht="14.25" customHeight="1">
      <c r="A1153" s="116" t="s">
        <v>2898</v>
      </c>
      <c r="B1153" s="9">
        <v>23.1</v>
      </c>
      <c r="C1153" s="7" t="s">
        <v>1160</v>
      </c>
      <c r="D1153" s="183"/>
      <c r="E1153" s="183"/>
      <c r="F1153" s="188"/>
      <c r="G1153" s="188"/>
      <c r="H1153" s="183"/>
      <c r="I1153" s="183"/>
      <c r="J1153" s="188"/>
      <c r="K1153" s="188"/>
      <c r="L1153" s="9"/>
      <c r="M1153" s="9"/>
      <c r="N1153" s="183">
        <v>3</v>
      </c>
      <c r="O1153" s="7">
        <v>2</v>
      </c>
      <c r="P1153" s="183">
        <f t="shared" si="67"/>
        <v>6</v>
      </c>
      <c r="Q1153" s="9"/>
      <c r="R1153" s="7"/>
      <c r="S1153" s="126"/>
      <c r="T1153" s="126"/>
      <c r="U1153" s="236"/>
      <c r="V1153" s="103"/>
      <c r="W1153" s="9"/>
      <c r="X1153" s="9"/>
      <c r="Y1153" s="9"/>
      <c r="Z1153" s="9"/>
      <c r="AA1153" s="126"/>
      <c r="AB1153" s="9"/>
      <c r="AC1153" s="9"/>
      <c r="AD1153" s="9"/>
      <c r="AE1153" s="9"/>
      <c r="AF1153" s="9"/>
      <c r="AG1153" s="9"/>
      <c r="AH1153" s="9"/>
      <c r="AI1153" s="9"/>
      <c r="AJ1153" s="211" t="s">
        <v>1159</v>
      </c>
      <c r="AK1153" s="7"/>
      <c r="AL1153" s="7"/>
      <c r="AM1153" s="7"/>
      <c r="AN1153" s="7"/>
    </row>
    <row r="1154" spans="1:40" customFormat="1" ht="14.25" customHeight="1">
      <c r="A1154" s="116" t="s">
        <v>2899</v>
      </c>
      <c r="B1154" s="9">
        <v>22.6</v>
      </c>
      <c r="C1154" s="7" t="s">
        <v>1161</v>
      </c>
      <c r="D1154" s="183"/>
      <c r="E1154" s="183"/>
      <c r="F1154" s="188"/>
      <c r="G1154" s="188"/>
      <c r="H1154" s="183"/>
      <c r="I1154" s="183"/>
      <c r="J1154" s="188"/>
      <c r="K1154" s="188"/>
      <c r="L1154" s="9"/>
      <c r="M1154" s="9"/>
      <c r="N1154" s="183">
        <v>3</v>
      </c>
      <c r="O1154" s="7">
        <v>1.9</v>
      </c>
      <c r="P1154" s="183">
        <f t="shared" si="67"/>
        <v>5.6999999999999993</v>
      </c>
      <c r="Q1154" s="9"/>
      <c r="R1154" s="7"/>
      <c r="S1154" s="126"/>
      <c r="T1154" s="126"/>
      <c r="U1154" s="236"/>
      <c r="V1154" s="103"/>
      <c r="W1154" s="9"/>
      <c r="X1154" s="9"/>
      <c r="Y1154" s="9"/>
      <c r="Z1154" s="9"/>
      <c r="AA1154" s="126"/>
      <c r="AB1154" s="9"/>
      <c r="AC1154" s="9"/>
      <c r="AD1154" s="9"/>
      <c r="AE1154" s="9"/>
      <c r="AF1154" s="9"/>
      <c r="AG1154" s="9"/>
      <c r="AH1154" s="9"/>
      <c r="AI1154" s="9"/>
      <c r="AJ1154" s="7"/>
      <c r="AK1154" s="7"/>
      <c r="AL1154" s="7"/>
      <c r="AM1154" s="7"/>
      <c r="AN1154" s="7"/>
    </row>
    <row r="1155" spans="1:40" customFormat="1" ht="14.25" customHeight="1">
      <c r="A1155" s="116" t="s">
        <v>2861</v>
      </c>
      <c r="B1155" s="9">
        <v>22.5</v>
      </c>
      <c r="C1155" s="211" t="s">
        <v>1232</v>
      </c>
      <c r="D1155" s="183"/>
      <c r="E1155" s="183"/>
      <c r="F1155" s="188"/>
      <c r="G1155" s="188"/>
      <c r="H1155" s="183"/>
      <c r="I1155" s="183"/>
      <c r="J1155" s="188"/>
      <c r="K1155" s="188"/>
      <c r="L1155" s="9"/>
      <c r="M1155" s="9"/>
      <c r="N1155" s="183">
        <v>3</v>
      </c>
      <c r="O1155" s="7">
        <v>1.3</v>
      </c>
      <c r="P1155" s="183">
        <f t="shared" si="67"/>
        <v>3.9000000000000004</v>
      </c>
      <c r="Q1155" s="9"/>
      <c r="R1155" s="7"/>
      <c r="S1155" s="126"/>
      <c r="T1155" s="126"/>
      <c r="U1155" s="236"/>
      <c r="V1155" s="103"/>
      <c r="W1155" s="9"/>
      <c r="X1155" s="9"/>
      <c r="Y1155" s="9"/>
      <c r="Z1155" s="9"/>
      <c r="AA1155" s="126"/>
      <c r="AB1155" s="9"/>
      <c r="AC1155" s="9"/>
      <c r="AD1155" s="9"/>
      <c r="AE1155" s="9"/>
      <c r="AF1155" s="9"/>
      <c r="AG1155" s="9"/>
      <c r="AH1155" s="9"/>
      <c r="AI1155" s="9"/>
      <c r="AJ1155" s="7"/>
      <c r="AK1155" s="7"/>
      <c r="AL1155" s="7"/>
      <c r="AM1155" s="7"/>
      <c r="AN1155" s="7"/>
    </row>
    <row r="1156" spans="1:40" customFormat="1" ht="14.25" customHeight="1">
      <c r="A1156" s="116" t="s">
        <v>2862</v>
      </c>
      <c r="B1156" s="9">
        <v>19.8</v>
      </c>
      <c r="C1156" s="7" t="s">
        <v>1164</v>
      </c>
      <c r="D1156" s="183"/>
      <c r="E1156" s="183"/>
      <c r="F1156" s="188"/>
      <c r="G1156" s="188"/>
      <c r="H1156" s="183"/>
      <c r="I1156" s="183"/>
      <c r="J1156" s="188"/>
      <c r="K1156" s="188"/>
      <c r="L1156" s="9"/>
      <c r="M1156" s="9"/>
      <c r="N1156" s="183">
        <v>3</v>
      </c>
      <c r="O1156" s="7">
        <v>1.3</v>
      </c>
      <c r="P1156" s="183">
        <f t="shared" si="67"/>
        <v>3.9000000000000004</v>
      </c>
      <c r="Q1156" s="9"/>
      <c r="R1156" s="7"/>
      <c r="S1156" s="126"/>
      <c r="T1156" s="126"/>
      <c r="U1156" s="236"/>
      <c r="V1156" s="103"/>
      <c r="W1156" s="9"/>
      <c r="X1156" s="9"/>
      <c r="Y1156" s="9"/>
      <c r="Z1156" s="9"/>
      <c r="AA1156" s="126"/>
      <c r="AB1156" s="9"/>
      <c r="AC1156" s="9"/>
      <c r="AD1156" s="9"/>
      <c r="AE1156" s="9"/>
      <c r="AF1156" s="9"/>
      <c r="AG1156" s="9"/>
      <c r="AH1156" s="9"/>
      <c r="AI1156" s="9"/>
      <c r="AJ1156" s="211" t="s">
        <v>1232</v>
      </c>
      <c r="AK1156" s="7"/>
      <c r="AL1156" s="7"/>
      <c r="AM1156" s="7"/>
      <c r="AN1156" s="7"/>
    </row>
    <row r="1157" spans="1:40" customFormat="1" ht="14.25" customHeight="1">
      <c r="A1157" s="116" t="s">
        <v>2863</v>
      </c>
      <c r="B1157" s="9">
        <v>19.8</v>
      </c>
      <c r="C1157" s="7" t="s">
        <v>1362</v>
      </c>
      <c r="D1157" s="183"/>
      <c r="E1157" s="183"/>
      <c r="F1157" s="188"/>
      <c r="G1157" s="188"/>
      <c r="H1157" s="183"/>
      <c r="I1157" s="183"/>
      <c r="J1157" s="188"/>
      <c r="K1157" s="188"/>
      <c r="L1157" s="9"/>
      <c r="M1157" s="9"/>
      <c r="N1157" s="183">
        <v>3</v>
      </c>
      <c r="O1157" s="7">
        <v>1.3</v>
      </c>
      <c r="P1157" s="183">
        <f t="shared" si="67"/>
        <v>3.9000000000000004</v>
      </c>
      <c r="Q1157" s="9"/>
      <c r="R1157" s="7"/>
      <c r="S1157" s="126"/>
      <c r="T1157" s="126"/>
      <c r="U1157" s="236"/>
      <c r="V1157" s="103"/>
      <c r="W1157" s="9"/>
      <c r="X1157" s="9"/>
      <c r="Y1157" s="9"/>
      <c r="Z1157" s="9"/>
      <c r="AA1157" s="126"/>
      <c r="AB1157" s="9"/>
      <c r="AC1157" s="9"/>
      <c r="AD1157" s="9"/>
      <c r="AE1157" s="9"/>
      <c r="AF1157" s="9"/>
      <c r="AG1157" s="9"/>
      <c r="AH1157" s="9"/>
      <c r="AI1157" s="9"/>
      <c r="AJ1157" s="7"/>
      <c r="AK1157" s="7"/>
      <c r="AL1157" s="7"/>
      <c r="AM1157" s="7"/>
      <c r="AN1157" s="7"/>
    </row>
    <row r="1158" spans="1:40" customFormat="1" ht="14.25" customHeight="1">
      <c r="A1158" s="116" t="s">
        <v>2864</v>
      </c>
      <c r="B1158" s="9">
        <v>22.6</v>
      </c>
      <c r="C1158" s="211" t="s">
        <v>1175</v>
      </c>
      <c r="D1158" s="183"/>
      <c r="E1158" s="183"/>
      <c r="F1158" s="188"/>
      <c r="G1158" s="188"/>
      <c r="H1158" s="183"/>
      <c r="I1158" s="183"/>
      <c r="J1158" s="188"/>
      <c r="K1158" s="188"/>
      <c r="L1158" s="9"/>
      <c r="M1158" s="9"/>
      <c r="N1158" s="183">
        <v>3</v>
      </c>
      <c r="O1158" s="7">
        <v>1.8</v>
      </c>
      <c r="P1158" s="183">
        <f t="shared" si="67"/>
        <v>5.4</v>
      </c>
      <c r="Q1158" s="9"/>
      <c r="R1158" s="7"/>
      <c r="S1158" s="126"/>
      <c r="T1158" s="126"/>
      <c r="U1158" s="236"/>
      <c r="V1158" s="103"/>
      <c r="W1158" s="9"/>
      <c r="X1158" s="9"/>
      <c r="Y1158" s="9"/>
      <c r="Z1158" s="9"/>
      <c r="AA1158" s="126"/>
      <c r="AB1158" s="9"/>
      <c r="AC1158" s="9"/>
      <c r="AD1158" s="9"/>
      <c r="AE1158" s="9"/>
      <c r="AF1158" s="9"/>
      <c r="AG1158" s="9"/>
      <c r="AH1158" s="9"/>
      <c r="AI1158" s="9"/>
      <c r="AJ1158" s="7"/>
      <c r="AK1158" s="7"/>
      <c r="AL1158" s="7"/>
      <c r="AM1158" s="7"/>
      <c r="AN1158" s="7"/>
    </row>
    <row r="1159" spans="1:40" customFormat="1" ht="14.25" customHeight="1">
      <c r="A1159" s="116" t="s">
        <v>2865</v>
      </c>
      <c r="B1159" s="9">
        <v>22.9</v>
      </c>
      <c r="C1159" s="7" t="s">
        <v>1176</v>
      </c>
      <c r="D1159" s="183"/>
      <c r="E1159" s="183"/>
      <c r="F1159" s="188"/>
      <c r="G1159" s="188"/>
      <c r="H1159" s="183"/>
      <c r="I1159" s="183"/>
      <c r="J1159" s="188"/>
      <c r="K1159" s="188"/>
      <c r="L1159" s="9"/>
      <c r="M1159" s="9"/>
      <c r="N1159" s="183">
        <v>3</v>
      </c>
      <c r="O1159" s="7">
        <v>1.8</v>
      </c>
      <c r="P1159" s="183">
        <f t="shared" si="67"/>
        <v>5.4</v>
      </c>
      <c r="Q1159" s="9"/>
      <c r="R1159" s="7"/>
      <c r="S1159" s="126"/>
      <c r="T1159" s="126"/>
      <c r="U1159" s="236"/>
      <c r="V1159" s="103"/>
      <c r="W1159" s="9"/>
      <c r="X1159" s="9"/>
      <c r="Y1159" s="9"/>
      <c r="Z1159" s="9"/>
      <c r="AA1159" s="126"/>
      <c r="AB1159" s="9"/>
      <c r="AC1159" s="9"/>
      <c r="AD1159" s="9"/>
      <c r="AE1159" s="9"/>
      <c r="AF1159" s="9"/>
      <c r="AG1159" s="9"/>
      <c r="AH1159" s="9"/>
      <c r="AI1159" s="9"/>
      <c r="AJ1159" s="211" t="s">
        <v>1175</v>
      </c>
      <c r="AK1159" s="7"/>
      <c r="AL1159" s="7"/>
      <c r="AM1159" s="7"/>
      <c r="AN1159" s="7"/>
    </row>
    <row r="1160" spans="1:40" customFormat="1" ht="14.25" customHeight="1">
      <c r="A1160" s="116" t="s">
        <v>2866</v>
      </c>
      <c r="B1160" s="9">
        <v>21.7</v>
      </c>
      <c r="C1160" s="7" t="s">
        <v>1177</v>
      </c>
      <c r="D1160" s="183"/>
      <c r="E1160" s="183"/>
      <c r="F1160" s="188"/>
      <c r="G1160" s="188"/>
      <c r="H1160" s="183"/>
      <c r="I1160" s="183"/>
      <c r="J1160" s="188"/>
      <c r="K1160" s="188"/>
      <c r="L1160" s="9"/>
      <c r="M1160" s="9"/>
      <c r="N1160" s="183">
        <v>3</v>
      </c>
      <c r="O1160" s="7">
        <v>1.8</v>
      </c>
      <c r="P1160" s="183">
        <f t="shared" si="67"/>
        <v>5.4</v>
      </c>
      <c r="Q1160" s="9"/>
      <c r="R1160" s="7"/>
      <c r="S1160" s="126"/>
      <c r="T1160" s="126"/>
      <c r="U1160" s="236"/>
      <c r="V1160" s="103"/>
      <c r="W1160" s="9"/>
      <c r="X1160" s="9"/>
      <c r="Y1160" s="9"/>
      <c r="Z1160" s="9"/>
      <c r="AA1160" s="126"/>
      <c r="AB1160" s="9"/>
      <c r="AC1160" s="9"/>
      <c r="AD1160" s="9"/>
      <c r="AE1160" s="9"/>
      <c r="AF1160" s="9"/>
      <c r="AG1160" s="9"/>
      <c r="AH1160" s="9"/>
      <c r="AI1160" s="9"/>
      <c r="AJ1160" s="7"/>
      <c r="AK1160" s="7"/>
      <c r="AL1160" s="7"/>
      <c r="AM1160" s="7"/>
      <c r="AN1160" s="7"/>
    </row>
    <row r="1161" spans="1:40" customFormat="1" ht="14.25" customHeight="1">
      <c r="A1161" s="116" t="s">
        <v>2867</v>
      </c>
      <c r="B1161" s="9">
        <v>17.2</v>
      </c>
      <c r="C1161" s="211" t="s">
        <v>1170</v>
      </c>
      <c r="D1161" s="183"/>
      <c r="E1161" s="183"/>
      <c r="F1161" s="188"/>
      <c r="G1161" s="188"/>
      <c r="H1161" s="183"/>
      <c r="I1161" s="183"/>
      <c r="J1161" s="188"/>
      <c r="K1161" s="188"/>
      <c r="L1161" s="9"/>
      <c r="M1161" s="9"/>
      <c r="N1161" s="183">
        <v>3</v>
      </c>
      <c r="O1161" s="7">
        <v>2</v>
      </c>
      <c r="P1161" s="183">
        <f t="shared" si="67"/>
        <v>6</v>
      </c>
      <c r="Q1161" s="9"/>
      <c r="R1161" s="7"/>
      <c r="S1161" s="126"/>
      <c r="T1161" s="126"/>
      <c r="U1161" s="236"/>
      <c r="V1161" s="103"/>
      <c r="W1161" s="9"/>
      <c r="X1161" s="9"/>
      <c r="Y1161" s="9"/>
      <c r="Z1161" s="9"/>
      <c r="AA1161" s="126"/>
      <c r="AB1161" s="9"/>
      <c r="AC1161" s="9"/>
      <c r="AD1161" s="9"/>
      <c r="AE1161" s="9"/>
      <c r="AF1161" s="9"/>
      <c r="AG1161" s="9"/>
      <c r="AH1161" s="9"/>
      <c r="AI1161" s="9"/>
      <c r="AJ1161" s="7"/>
      <c r="AK1161" s="7"/>
      <c r="AL1161" s="7"/>
      <c r="AM1161" s="7"/>
      <c r="AN1161" s="7"/>
    </row>
    <row r="1162" spans="1:40" customFormat="1" ht="14.25" customHeight="1">
      <c r="A1162" s="116" t="s">
        <v>2868</v>
      </c>
      <c r="B1162" s="9">
        <v>16.600000000000001</v>
      </c>
      <c r="C1162" s="7" t="s">
        <v>1169</v>
      </c>
      <c r="D1162" s="183"/>
      <c r="E1162" s="183"/>
      <c r="F1162" s="188"/>
      <c r="G1162" s="188"/>
      <c r="H1162" s="183"/>
      <c r="I1162" s="183"/>
      <c r="J1162" s="188"/>
      <c r="K1162" s="188"/>
      <c r="L1162" s="9"/>
      <c r="M1162" s="9"/>
      <c r="N1162" s="183">
        <v>3</v>
      </c>
      <c r="O1162" s="7">
        <v>2</v>
      </c>
      <c r="P1162" s="183">
        <f t="shared" si="67"/>
        <v>6</v>
      </c>
      <c r="Q1162" s="9"/>
      <c r="R1162" s="7"/>
      <c r="S1162" s="126"/>
      <c r="T1162" s="126"/>
      <c r="U1162" s="236"/>
      <c r="V1162" s="103"/>
      <c r="W1162" s="9"/>
      <c r="X1162" s="9"/>
      <c r="Y1162" s="9"/>
      <c r="Z1162" s="9"/>
      <c r="AA1162" s="126"/>
      <c r="AB1162" s="9"/>
      <c r="AC1162" s="9"/>
      <c r="AD1162" s="9"/>
      <c r="AE1162" s="9"/>
      <c r="AF1162" s="9"/>
      <c r="AG1162" s="9"/>
      <c r="AH1162" s="9"/>
      <c r="AI1162" s="9"/>
      <c r="AJ1162" s="211" t="s">
        <v>1170</v>
      </c>
      <c r="AK1162" s="7"/>
      <c r="AL1162" s="7"/>
      <c r="AM1162" s="7"/>
      <c r="AN1162" s="7"/>
    </row>
    <row r="1163" spans="1:40" customFormat="1" ht="14.25" customHeight="1">
      <c r="A1163" s="116" t="s">
        <v>2869</v>
      </c>
      <c r="B1163" s="9">
        <v>17.399999999999999</v>
      </c>
      <c r="C1163" s="7" t="s">
        <v>1171</v>
      </c>
      <c r="D1163" s="183"/>
      <c r="E1163" s="183"/>
      <c r="F1163" s="188"/>
      <c r="G1163" s="188"/>
      <c r="H1163" s="183"/>
      <c r="I1163" s="183"/>
      <c r="J1163" s="188"/>
      <c r="K1163" s="188"/>
      <c r="L1163" s="9"/>
      <c r="M1163" s="9"/>
      <c r="N1163" s="183">
        <v>3</v>
      </c>
      <c r="O1163" s="7">
        <v>2</v>
      </c>
      <c r="P1163" s="183">
        <f t="shared" si="67"/>
        <v>6</v>
      </c>
      <c r="Q1163" s="9"/>
      <c r="R1163" s="7"/>
      <c r="S1163" s="126"/>
      <c r="T1163" s="126"/>
      <c r="U1163" s="236"/>
      <c r="V1163" s="103"/>
      <c r="W1163" s="9"/>
      <c r="X1163" s="9"/>
      <c r="Y1163" s="9"/>
      <c r="Z1163" s="9"/>
      <c r="AA1163" s="126"/>
      <c r="AB1163" s="9"/>
      <c r="AC1163" s="9"/>
      <c r="AD1163" s="9"/>
      <c r="AE1163" s="9"/>
      <c r="AF1163" s="9"/>
      <c r="AG1163" s="9"/>
      <c r="AH1163" s="9"/>
      <c r="AI1163" s="9"/>
      <c r="AJ1163" s="7"/>
      <c r="AK1163" s="7"/>
      <c r="AL1163" s="7"/>
      <c r="AM1163" s="7"/>
      <c r="AN1163" s="7"/>
    </row>
    <row r="1164" spans="1:40" customFormat="1" ht="14.25" customHeight="1">
      <c r="A1164" s="116" t="s">
        <v>3128</v>
      </c>
      <c r="B1164" s="9">
        <v>17.3</v>
      </c>
      <c r="C1164" s="211" t="s">
        <v>1173</v>
      </c>
      <c r="D1164" s="183"/>
      <c r="E1164" s="183"/>
      <c r="F1164" s="188"/>
      <c r="G1164" s="188"/>
      <c r="H1164" s="183"/>
      <c r="I1164" s="183"/>
      <c r="J1164" s="188"/>
      <c r="K1164" s="188"/>
      <c r="L1164" s="9"/>
      <c r="M1164" s="9"/>
      <c r="N1164" s="183">
        <v>3</v>
      </c>
      <c r="O1164" s="7">
        <v>2.1</v>
      </c>
      <c r="P1164" s="183">
        <f t="shared" si="67"/>
        <v>6.3000000000000007</v>
      </c>
      <c r="Q1164" s="9"/>
      <c r="R1164" s="7"/>
      <c r="S1164" s="126"/>
      <c r="T1164" s="126"/>
      <c r="U1164" s="236"/>
      <c r="V1164" s="103"/>
      <c r="W1164" s="9"/>
      <c r="X1164" s="9"/>
      <c r="Y1164" s="9"/>
      <c r="Z1164" s="9"/>
      <c r="AA1164" s="126"/>
      <c r="AB1164" s="9"/>
      <c r="AC1164" s="9"/>
      <c r="AD1164" s="9"/>
      <c r="AE1164" s="9"/>
      <c r="AF1164" s="9"/>
      <c r="AG1164" s="9"/>
      <c r="AH1164" s="9"/>
      <c r="AI1164" s="9"/>
      <c r="AJ1164" s="7"/>
      <c r="AK1164" s="7"/>
      <c r="AL1164" s="7"/>
      <c r="AM1164" s="7"/>
      <c r="AN1164" s="7"/>
    </row>
    <row r="1165" spans="1:40" customFormat="1" ht="14.25" customHeight="1">
      <c r="A1165" s="116" t="s">
        <v>2870</v>
      </c>
      <c r="B1165" s="9">
        <v>19.600000000000001</v>
      </c>
      <c r="C1165" s="7" t="s">
        <v>1142</v>
      </c>
      <c r="D1165" s="183"/>
      <c r="E1165" s="183"/>
      <c r="F1165" s="188"/>
      <c r="G1165" s="188"/>
      <c r="H1165" s="183"/>
      <c r="I1165" s="183"/>
      <c r="J1165" s="188"/>
      <c r="K1165" s="188"/>
      <c r="L1165" s="9"/>
      <c r="M1165" s="9"/>
      <c r="N1165" s="183">
        <v>3</v>
      </c>
      <c r="O1165" s="7">
        <v>2.1</v>
      </c>
      <c r="P1165" s="183">
        <f t="shared" si="67"/>
        <v>6.3000000000000007</v>
      </c>
      <c r="Q1165" s="9"/>
      <c r="R1165" s="7"/>
      <c r="S1165" s="126"/>
      <c r="T1165" s="126"/>
      <c r="U1165" s="236"/>
      <c r="V1165" s="103"/>
      <c r="W1165" s="9"/>
      <c r="X1165" s="9"/>
      <c r="Y1165" s="9"/>
      <c r="Z1165" s="9"/>
      <c r="AA1165" s="126"/>
      <c r="AB1165" s="9"/>
      <c r="AC1165" s="9"/>
      <c r="AD1165" s="9"/>
      <c r="AE1165" s="9"/>
      <c r="AF1165" s="9"/>
      <c r="AG1165" s="9"/>
      <c r="AH1165" s="9"/>
      <c r="AI1165" s="9"/>
      <c r="AJ1165" s="211" t="s">
        <v>1173</v>
      </c>
      <c r="AK1165" s="7"/>
      <c r="AL1165" s="7"/>
      <c r="AM1165" s="7"/>
      <c r="AN1165" s="7"/>
    </row>
    <row r="1166" spans="1:40" customFormat="1" ht="14.25" customHeight="1">
      <c r="A1166" s="116" t="s">
        <v>2871</v>
      </c>
      <c r="B1166" s="9">
        <v>19</v>
      </c>
      <c r="C1166" s="7" t="s">
        <v>1144</v>
      </c>
      <c r="D1166" s="183"/>
      <c r="E1166" s="183"/>
      <c r="F1166" s="188"/>
      <c r="G1166" s="188"/>
      <c r="H1166" s="183"/>
      <c r="I1166" s="183"/>
      <c r="J1166" s="188"/>
      <c r="K1166" s="188"/>
      <c r="L1166" s="9"/>
      <c r="M1166" s="9"/>
      <c r="N1166" s="183">
        <v>3</v>
      </c>
      <c r="O1166" s="7">
        <v>2.1</v>
      </c>
      <c r="P1166" s="183">
        <f t="shared" ref="P1166:P1185" si="68">N1166*O1166</f>
        <v>6.3000000000000007</v>
      </c>
      <c r="Q1166" s="9"/>
      <c r="R1166" s="7"/>
      <c r="S1166" s="126"/>
      <c r="T1166" s="126"/>
      <c r="U1166" s="236"/>
      <c r="V1166" s="103"/>
      <c r="W1166" s="9"/>
      <c r="X1166" s="9"/>
      <c r="Y1166" s="9"/>
      <c r="Z1166" s="9"/>
      <c r="AA1166" s="126"/>
      <c r="AB1166" s="9"/>
      <c r="AC1166" s="9"/>
      <c r="AD1166" s="9"/>
      <c r="AE1166" s="9"/>
      <c r="AF1166" s="9"/>
      <c r="AG1166" s="9"/>
      <c r="AH1166" s="9"/>
      <c r="AI1166" s="9"/>
      <c r="AJ1166" s="7"/>
      <c r="AK1166" s="7"/>
      <c r="AL1166" s="7"/>
      <c r="AM1166" s="7"/>
      <c r="AN1166" s="4"/>
    </row>
    <row r="1167" spans="1:40" customFormat="1" ht="14.25" customHeight="1">
      <c r="A1167" s="116" t="s">
        <v>2872</v>
      </c>
      <c r="B1167" s="9">
        <v>19</v>
      </c>
      <c r="C1167" s="7" t="s">
        <v>1143</v>
      </c>
      <c r="D1167" s="183"/>
      <c r="E1167" s="183"/>
      <c r="F1167" s="188"/>
      <c r="G1167" s="188"/>
      <c r="H1167" s="183"/>
      <c r="I1167" s="183"/>
      <c r="J1167" s="188"/>
      <c r="K1167" s="188"/>
      <c r="L1167" s="9"/>
      <c r="M1167" s="9"/>
      <c r="N1167" s="183">
        <v>3</v>
      </c>
      <c r="O1167" s="7">
        <v>2.1</v>
      </c>
      <c r="P1167" s="183">
        <f t="shared" si="68"/>
        <v>6.3000000000000007</v>
      </c>
      <c r="Q1167" s="9"/>
      <c r="R1167" s="7"/>
      <c r="S1167" s="126"/>
      <c r="T1167" s="126"/>
      <c r="U1167" s="236"/>
      <c r="V1167" s="103"/>
      <c r="W1167" s="9"/>
      <c r="X1167" s="9"/>
      <c r="Y1167" s="9"/>
      <c r="Z1167" s="9"/>
      <c r="AA1167" s="126"/>
      <c r="AB1167" s="9"/>
      <c r="AC1167" s="9"/>
      <c r="AD1167" s="9"/>
      <c r="AE1167" s="9"/>
      <c r="AF1167" s="9"/>
      <c r="AG1167" s="9"/>
      <c r="AH1167" s="9"/>
      <c r="AI1167" s="9"/>
      <c r="AJ1167" s="7"/>
      <c r="AK1167" s="7"/>
      <c r="AL1167" s="7"/>
      <c r="AM1167" s="7"/>
      <c r="AN1167" s="7"/>
    </row>
    <row r="1168" spans="1:40" customFormat="1" ht="14.25" customHeight="1">
      <c r="A1168" s="116" t="s">
        <v>2873</v>
      </c>
      <c r="B1168" s="9">
        <v>17.5</v>
      </c>
      <c r="C1168" s="7" t="s">
        <v>1140</v>
      </c>
      <c r="D1168" s="183"/>
      <c r="E1168" s="183"/>
      <c r="F1168" s="188"/>
      <c r="G1168" s="188"/>
      <c r="H1168" s="183"/>
      <c r="I1168" s="183"/>
      <c r="J1168" s="188"/>
      <c r="K1168" s="188"/>
      <c r="L1168" s="9"/>
      <c r="M1168" s="9"/>
      <c r="N1168" s="183">
        <v>3</v>
      </c>
      <c r="O1168" s="7">
        <v>2.1</v>
      </c>
      <c r="P1168" s="183">
        <f t="shared" si="68"/>
        <v>6.3000000000000007</v>
      </c>
      <c r="Q1168" s="9"/>
      <c r="R1168" s="7"/>
      <c r="S1168" s="126"/>
      <c r="T1168" s="126"/>
      <c r="U1168" s="236"/>
      <c r="V1168" s="103"/>
      <c r="W1168" s="9"/>
      <c r="X1168" s="9"/>
      <c r="Y1168" s="9"/>
      <c r="Z1168" s="9"/>
      <c r="AA1168" s="126"/>
      <c r="AB1168" s="9"/>
      <c r="AC1168" s="9"/>
      <c r="AD1168" s="9"/>
      <c r="AE1168" s="9"/>
      <c r="AF1168" s="9"/>
      <c r="AG1168" s="9"/>
      <c r="AH1168" s="9"/>
      <c r="AI1168" s="9"/>
      <c r="AJ1168" s="7"/>
      <c r="AK1168" s="7"/>
      <c r="AL1168" s="7"/>
      <c r="AM1168" s="7"/>
      <c r="AN1168" s="4"/>
    </row>
    <row r="1169" spans="1:40" customFormat="1" ht="14.25" customHeight="1">
      <c r="A1169" s="116" t="s">
        <v>2874</v>
      </c>
      <c r="B1169" s="9">
        <v>20</v>
      </c>
      <c r="C1169" s="7" t="s">
        <v>1141</v>
      </c>
      <c r="D1169" s="183"/>
      <c r="E1169" s="183"/>
      <c r="F1169" s="188"/>
      <c r="G1169" s="188"/>
      <c r="H1169" s="183"/>
      <c r="I1169" s="183"/>
      <c r="J1169" s="188"/>
      <c r="K1169" s="188"/>
      <c r="L1169" s="9"/>
      <c r="M1169" s="9"/>
      <c r="N1169" s="183">
        <v>3</v>
      </c>
      <c r="O1169" s="7">
        <v>2.1</v>
      </c>
      <c r="P1169" s="183">
        <f t="shared" si="68"/>
        <v>6.3000000000000007</v>
      </c>
      <c r="Q1169" s="9"/>
      <c r="R1169" s="7"/>
      <c r="S1169" s="126"/>
      <c r="T1169" s="126"/>
      <c r="U1169" s="236"/>
      <c r="V1169" s="103"/>
      <c r="W1169" s="9"/>
      <c r="X1169" s="9"/>
      <c r="Y1169" s="9"/>
      <c r="Z1169" s="9"/>
      <c r="AA1169" s="126"/>
      <c r="AB1169" s="9"/>
      <c r="AC1169" s="9"/>
      <c r="AD1169" s="9"/>
      <c r="AE1169" s="9"/>
      <c r="AF1169" s="9"/>
      <c r="AG1169" s="9"/>
      <c r="AH1169" s="9"/>
      <c r="AI1169" s="9"/>
      <c r="AJ1169" s="7"/>
      <c r="AK1169" s="7"/>
      <c r="AL1169" s="7"/>
      <c r="AM1169" s="7"/>
      <c r="AN1169" s="7"/>
    </row>
    <row r="1170" spans="1:40" customFormat="1" ht="14.25" customHeight="1">
      <c r="A1170" s="116" t="s">
        <v>3057</v>
      </c>
      <c r="B1170" s="9">
        <v>36</v>
      </c>
      <c r="C1170" s="211" t="s">
        <v>1213</v>
      </c>
      <c r="D1170" s="183"/>
      <c r="E1170" s="183"/>
      <c r="F1170" s="188"/>
      <c r="G1170" s="188"/>
      <c r="H1170" s="183"/>
      <c r="I1170" s="183"/>
      <c r="J1170" s="188"/>
      <c r="K1170" s="188"/>
      <c r="L1170" s="9"/>
      <c r="M1170" s="9"/>
      <c r="N1170" s="183">
        <v>3</v>
      </c>
      <c r="O1170" s="7">
        <v>1.5</v>
      </c>
      <c r="P1170" s="183">
        <f t="shared" si="68"/>
        <v>4.5</v>
      </c>
      <c r="Q1170" s="9"/>
      <c r="R1170" s="7"/>
      <c r="S1170" s="126"/>
      <c r="T1170" s="126"/>
      <c r="U1170" s="236"/>
      <c r="V1170" s="103"/>
      <c r="W1170" s="9"/>
      <c r="X1170" s="9"/>
      <c r="Y1170" s="9"/>
      <c r="Z1170" s="9"/>
      <c r="AA1170" s="126"/>
      <c r="AB1170" s="9"/>
      <c r="AC1170" s="9"/>
      <c r="AD1170" s="9"/>
      <c r="AE1170" s="9"/>
      <c r="AF1170" s="9"/>
      <c r="AG1170" s="9"/>
      <c r="AH1170" s="9"/>
      <c r="AI1170" s="9"/>
      <c r="AJ1170" s="7"/>
      <c r="AK1170" s="7"/>
      <c r="AL1170" s="7"/>
      <c r="AM1170" s="7"/>
      <c r="AN1170" s="7"/>
    </row>
    <row r="1171" spans="1:40" customFormat="1" ht="14.25" customHeight="1">
      <c r="A1171" s="116" t="s">
        <v>3058</v>
      </c>
      <c r="B1171" s="9">
        <v>36</v>
      </c>
      <c r="C1171" s="7" t="s">
        <v>1214</v>
      </c>
      <c r="D1171" s="183"/>
      <c r="E1171" s="183"/>
      <c r="F1171" s="188"/>
      <c r="G1171" s="188"/>
      <c r="H1171" s="183"/>
      <c r="I1171" s="183"/>
      <c r="J1171" s="188"/>
      <c r="K1171" s="188"/>
      <c r="L1171" s="9"/>
      <c r="M1171" s="9"/>
      <c r="N1171" s="183">
        <v>3</v>
      </c>
      <c r="O1171" s="7">
        <v>1.5</v>
      </c>
      <c r="P1171" s="183">
        <f t="shared" si="68"/>
        <v>4.5</v>
      </c>
      <c r="Q1171" s="9"/>
      <c r="R1171" s="7"/>
      <c r="S1171" s="126"/>
      <c r="T1171" s="126"/>
      <c r="U1171" s="236"/>
      <c r="V1171" s="103"/>
      <c r="W1171" s="9"/>
      <c r="X1171" s="9"/>
      <c r="Y1171" s="9"/>
      <c r="Z1171" s="9"/>
      <c r="AA1171" s="126"/>
      <c r="AB1171" s="9"/>
      <c r="AC1171" s="9"/>
      <c r="AD1171" s="9"/>
      <c r="AE1171" s="9"/>
      <c r="AF1171" s="9"/>
      <c r="AG1171" s="9"/>
      <c r="AH1171" s="9"/>
      <c r="AI1171" s="9"/>
      <c r="AJ1171" s="211" t="s">
        <v>1213</v>
      </c>
      <c r="AK1171" s="7"/>
      <c r="AL1171" s="7"/>
      <c r="AM1171" s="7"/>
      <c r="AN1171" s="7"/>
    </row>
    <row r="1172" spans="1:40" customFormat="1" ht="14.25" customHeight="1">
      <c r="A1172" s="116" t="s">
        <v>3059</v>
      </c>
      <c r="B1172" s="9">
        <v>36</v>
      </c>
      <c r="C1172" s="7" t="s">
        <v>1215</v>
      </c>
      <c r="D1172" s="183"/>
      <c r="E1172" s="183"/>
      <c r="F1172" s="188"/>
      <c r="G1172" s="188"/>
      <c r="H1172" s="183"/>
      <c r="I1172" s="183"/>
      <c r="J1172" s="188"/>
      <c r="K1172" s="188"/>
      <c r="L1172" s="9"/>
      <c r="M1172" s="9"/>
      <c r="N1172" s="183">
        <v>6</v>
      </c>
      <c r="O1172" s="7">
        <v>1.5</v>
      </c>
      <c r="P1172" s="183">
        <f t="shared" si="68"/>
        <v>9</v>
      </c>
      <c r="Q1172" s="9"/>
      <c r="R1172" s="7"/>
      <c r="S1172" s="126"/>
      <c r="T1172" s="126"/>
      <c r="U1172" s="236"/>
      <c r="V1172" s="103"/>
      <c r="W1172" s="9"/>
      <c r="X1172" s="9"/>
      <c r="Y1172" s="9"/>
      <c r="Z1172" s="9"/>
      <c r="AA1172" s="126"/>
      <c r="AB1172" s="9"/>
      <c r="AC1172" s="9"/>
      <c r="AD1172" s="9"/>
      <c r="AE1172" s="9"/>
      <c r="AF1172" s="9"/>
      <c r="AG1172" s="9"/>
      <c r="AH1172" s="9"/>
      <c r="AI1172" s="9"/>
      <c r="AJ1172" s="7"/>
      <c r="AK1172" s="7"/>
      <c r="AL1172" s="7"/>
      <c r="AM1172" s="7"/>
      <c r="AN1172" s="7"/>
    </row>
    <row r="1173" spans="1:40" customFormat="1" ht="14.25" customHeight="1">
      <c r="A1173" s="116" t="s">
        <v>3060</v>
      </c>
      <c r="B1173" s="9">
        <v>36</v>
      </c>
      <c r="C1173" s="7" t="s">
        <v>3153</v>
      </c>
      <c r="D1173" s="183"/>
      <c r="E1173" s="183"/>
      <c r="F1173" s="188"/>
      <c r="G1173" s="188"/>
      <c r="H1173" s="183"/>
      <c r="I1173" s="183"/>
      <c r="J1173" s="188"/>
      <c r="K1173" s="188"/>
      <c r="L1173" s="9"/>
      <c r="M1173" s="9"/>
      <c r="N1173" s="183">
        <v>3</v>
      </c>
      <c r="O1173" s="7">
        <v>1.5</v>
      </c>
      <c r="P1173" s="183">
        <f t="shared" si="68"/>
        <v>4.5</v>
      </c>
      <c r="Q1173" s="9"/>
      <c r="R1173" s="7"/>
      <c r="S1173" s="126"/>
      <c r="T1173" s="126"/>
      <c r="U1173" s="236"/>
      <c r="V1173" s="103"/>
      <c r="W1173" s="9"/>
      <c r="X1173" s="9"/>
      <c r="Y1173" s="9"/>
      <c r="Z1173" s="9"/>
      <c r="AA1173" s="126"/>
      <c r="AB1173" s="9"/>
      <c r="AC1173" s="9"/>
      <c r="AD1173" s="9"/>
      <c r="AE1173" s="9"/>
      <c r="AF1173" s="9"/>
      <c r="AG1173" s="9"/>
      <c r="AH1173" s="9"/>
      <c r="AI1173" s="9"/>
      <c r="AJ1173" s="7"/>
      <c r="AK1173" s="7"/>
      <c r="AL1173" s="7"/>
      <c r="AM1173" s="7"/>
      <c r="AN1173" s="7"/>
    </row>
    <row r="1174" spans="1:40" customFormat="1" ht="14.25" customHeight="1">
      <c r="A1174" s="116" t="s">
        <v>3061</v>
      </c>
      <c r="B1174" s="9">
        <v>36</v>
      </c>
      <c r="C1174" s="7" t="s">
        <v>1217</v>
      </c>
      <c r="D1174" s="183"/>
      <c r="E1174" s="183"/>
      <c r="F1174" s="188"/>
      <c r="G1174" s="188"/>
      <c r="H1174" s="183"/>
      <c r="I1174" s="183"/>
      <c r="J1174" s="188"/>
      <c r="K1174" s="188"/>
      <c r="L1174" s="9"/>
      <c r="M1174" s="9"/>
      <c r="N1174" s="183">
        <v>3</v>
      </c>
      <c r="O1174" s="7">
        <v>1.5</v>
      </c>
      <c r="P1174" s="183">
        <f t="shared" si="68"/>
        <v>4.5</v>
      </c>
      <c r="Q1174" s="9"/>
      <c r="R1174" s="7"/>
      <c r="S1174" s="126"/>
      <c r="T1174" s="126"/>
      <c r="U1174" s="236"/>
      <c r="V1174" s="103"/>
      <c r="W1174" s="9"/>
      <c r="X1174" s="9"/>
      <c r="Y1174" s="9"/>
      <c r="Z1174" s="9"/>
      <c r="AA1174" s="126"/>
      <c r="AB1174" s="9"/>
      <c r="AC1174" s="9"/>
      <c r="AD1174" s="9"/>
      <c r="AE1174" s="9"/>
      <c r="AF1174" s="9"/>
      <c r="AG1174" s="9"/>
      <c r="AH1174" s="9"/>
      <c r="AI1174" s="9"/>
      <c r="AJ1174" s="7"/>
      <c r="AK1174" s="7"/>
      <c r="AL1174" s="7"/>
      <c r="AM1174" s="7"/>
      <c r="AN1174" s="7"/>
    </row>
    <row r="1175" spans="1:40" customFormat="1" ht="14.25" customHeight="1">
      <c r="A1175" s="125" t="s">
        <v>3062</v>
      </c>
      <c r="B1175" s="9">
        <v>17</v>
      </c>
      <c r="C1175" s="211" t="s">
        <v>1364</v>
      </c>
      <c r="D1175" s="183"/>
      <c r="E1175" s="183"/>
      <c r="F1175" s="188"/>
      <c r="G1175" s="188"/>
      <c r="H1175" s="183"/>
      <c r="I1175" s="183"/>
      <c r="J1175" s="188"/>
      <c r="K1175" s="188"/>
      <c r="L1175" s="9"/>
      <c r="M1175" s="9"/>
      <c r="N1175" s="183">
        <v>3</v>
      </c>
      <c r="O1175" s="7">
        <v>1.6</v>
      </c>
      <c r="P1175" s="183">
        <f t="shared" si="68"/>
        <v>4.8000000000000007</v>
      </c>
      <c r="Q1175" s="9"/>
      <c r="R1175" s="7"/>
      <c r="S1175" s="126"/>
      <c r="T1175" s="126"/>
      <c r="U1175" s="236"/>
      <c r="V1175" s="103"/>
      <c r="W1175" s="9"/>
      <c r="X1175" s="9"/>
      <c r="Y1175" s="9"/>
      <c r="Z1175" s="9"/>
      <c r="AA1175" s="126"/>
      <c r="AB1175" s="9"/>
      <c r="AC1175" s="9"/>
      <c r="AD1175" s="9"/>
      <c r="AE1175" s="9"/>
      <c r="AF1175" s="9"/>
      <c r="AG1175" s="9"/>
      <c r="AH1175" s="9"/>
      <c r="AI1175" s="9"/>
      <c r="AJ1175" s="7"/>
      <c r="AK1175" s="7"/>
      <c r="AL1175" s="7"/>
      <c r="AM1175" s="7"/>
      <c r="AN1175" s="7"/>
    </row>
    <row r="1176" spans="1:40" customFormat="1" ht="14.25" customHeight="1">
      <c r="A1176" s="125" t="s">
        <v>3063</v>
      </c>
      <c r="B1176" s="9">
        <v>17</v>
      </c>
      <c r="C1176" s="7" t="s">
        <v>1226</v>
      </c>
      <c r="D1176" s="183"/>
      <c r="E1176" s="183"/>
      <c r="F1176" s="188"/>
      <c r="G1176" s="188"/>
      <c r="H1176" s="183"/>
      <c r="I1176" s="183"/>
      <c r="J1176" s="188"/>
      <c r="K1176" s="188"/>
      <c r="L1176" s="9"/>
      <c r="M1176" s="9"/>
      <c r="N1176" s="183">
        <v>3</v>
      </c>
      <c r="O1176" s="7">
        <v>1.6</v>
      </c>
      <c r="P1176" s="183">
        <f t="shared" si="68"/>
        <v>4.8000000000000007</v>
      </c>
      <c r="Q1176" s="9"/>
      <c r="R1176" s="7"/>
      <c r="S1176" s="126"/>
      <c r="T1176" s="126"/>
      <c r="U1176" s="236"/>
      <c r="V1176" s="103"/>
      <c r="W1176" s="9"/>
      <c r="X1176" s="9"/>
      <c r="Y1176" s="9"/>
      <c r="Z1176" s="9"/>
      <c r="AA1176" s="126"/>
      <c r="AB1176" s="9"/>
      <c r="AC1176" s="9"/>
      <c r="AD1176" s="9"/>
      <c r="AE1176" s="9"/>
      <c r="AF1176" s="9"/>
      <c r="AG1176" s="9"/>
      <c r="AH1176" s="9"/>
      <c r="AI1176" s="9"/>
      <c r="AJ1176" s="211" t="s">
        <v>1364</v>
      </c>
      <c r="AK1176" s="7"/>
      <c r="AL1176" s="7"/>
      <c r="AM1176" s="7"/>
      <c r="AN1176" s="7"/>
    </row>
    <row r="1177" spans="1:40" customFormat="1" ht="14.25" customHeight="1">
      <c r="A1177" s="125" t="s">
        <v>3064</v>
      </c>
      <c r="B1177" s="9">
        <v>17</v>
      </c>
      <c r="C1177" s="7" t="s">
        <v>1227</v>
      </c>
      <c r="D1177" s="183"/>
      <c r="E1177" s="183"/>
      <c r="F1177" s="188"/>
      <c r="G1177" s="188"/>
      <c r="H1177" s="183"/>
      <c r="I1177" s="183"/>
      <c r="J1177" s="188"/>
      <c r="K1177" s="188"/>
      <c r="L1177" s="9"/>
      <c r="M1177" s="9"/>
      <c r="N1177" s="183">
        <v>3</v>
      </c>
      <c r="O1177" s="7">
        <v>1.6</v>
      </c>
      <c r="P1177" s="183">
        <f t="shared" si="68"/>
        <v>4.8000000000000007</v>
      </c>
      <c r="Q1177" s="9"/>
      <c r="R1177" s="7"/>
      <c r="S1177" s="126"/>
      <c r="T1177" s="126"/>
      <c r="U1177" s="236"/>
      <c r="V1177" s="103"/>
      <c r="W1177" s="9"/>
      <c r="X1177" s="9"/>
      <c r="Y1177" s="9"/>
      <c r="Z1177" s="9"/>
      <c r="AA1177" s="126"/>
      <c r="AB1177" s="9"/>
      <c r="AC1177" s="9"/>
      <c r="AD1177" s="9"/>
      <c r="AE1177" s="9"/>
      <c r="AF1177" s="9"/>
      <c r="AG1177" s="9"/>
      <c r="AH1177" s="9"/>
      <c r="AI1177" s="9"/>
      <c r="AJ1177" s="7"/>
      <c r="AK1177" s="7"/>
      <c r="AL1177" s="7"/>
      <c r="AM1177" s="7"/>
      <c r="AN1177" s="7"/>
    </row>
    <row r="1178" spans="1:40" customFormat="1" ht="14.25" customHeight="1">
      <c r="A1178" s="125" t="s">
        <v>3065</v>
      </c>
      <c r="B1178" s="9">
        <v>17</v>
      </c>
      <c r="C1178" s="7" t="s">
        <v>1228</v>
      </c>
      <c r="D1178" s="183"/>
      <c r="E1178" s="183"/>
      <c r="F1178" s="188"/>
      <c r="G1178" s="188"/>
      <c r="H1178" s="183"/>
      <c r="I1178" s="183"/>
      <c r="J1178" s="188"/>
      <c r="K1178" s="188"/>
      <c r="L1178" s="9"/>
      <c r="M1178" s="9"/>
      <c r="N1178" s="183">
        <v>3</v>
      </c>
      <c r="O1178" s="7">
        <v>1.6</v>
      </c>
      <c r="P1178" s="183">
        <f t="shared" si="68"/>
        <v>4.8000000000000007</v>
      </c>
      <c r="Q1178" s="9"/>
      <c r="R1178" s="7"/>
      <c r="S1178" s="126"/>
      <c r="T1178" s="126"/>
      <c r="U1178" s="236"/>
      <c r="V1178" s="103"/>
      <c r="W1178" s="9"/>
      <c r="X1178" s="9"/>
      <c r="Y1178" s="9"/>
      <c r="Z1178" s="9"/>
      <c r="AA1178" s="126"/>
      <c r="AB1178" s="9"/>
      <c r="AC1178" s="9"/>
      <c r="AD1178" s="9"/>
      <c r="AE1178" s="9"/>
      <c r="AF1178" s="9"/>
      <c r="AG1178" s="9"/>
      <c r="AH1178" s="9"/>
      <c r="AI1178" s="9"/>
      <c r="AJ1178" s="7"/>
      <c r="AK1178" s="7"/>
      <c r="AL1178" s="7"/>
      <c r="AM1178" s="7"/>
      <c r="AN1178" s="7"/>
    </row>
    <row r="1179" spans="1:40" customFormat="1" ht="14.25" customHeight="1">
      <c r="A1179" s="125" t="s">
        <v>3066</v>
      </c>
      <c r="B1179" s="9">
        <v>17</v>
      </c>
      <c r="C1179" s="7" t="s">
        <v>1229</v>
      </c>
      <c r="D1179" s="183"/>
      <c r="E1179" s="183"/>
      <c r="F1179" s="188"/>
      <c r="G1179" s="188"/>
      <c r="H1179" s="183"/>
      <c r="I1179" s="183"/>
      <c r="J1179" s="188"/>
      <c r="K1179" s="188"/>
      <c r="L1179" s="9"/>
      <c r="M1179" s="9"/>
      <c r="N1179" s="183">
        <v>3</v>
      </c>
      <c r="O1179" s="7">
        <v>1.6</v>
      </c>
      <c r="P1179" s="183">
        <f t="shared" si="68"/>
        <v>4.8000000000000007</v>
      </c>
      <c r="Q1179" s="9"/>
      <c r="R1179" s="7"/>
      <c r="S1179" s="126"/>
      <c r="T1179" s="126"/>
      <c r="U1179" s="236"/>
      <c r="V1179" s="103"/>
      <c r="W1179" s="9"/>
      <c r="X1179" s="9"/>
      <c r="Y1179" s="9"/>
      <c r="Z1179" s="9"/>
      <c r="AA1179" s="126"/>
      <c r="AB1179" s="9"/>
      <c r="AC1179" s="9"/>
      <c r="AD1179" s="9"/>
      <c r="AE1179" s="9"/>
      <c r="AF1179" s="9"/>
      <c r="AG1179" s="9"/>
      <c r="AH1179" s="9"/>
      <c r="AI1179" s="9"/>
      <c r="AJ1179" s="7"/>
      <c r="AK1179" s="7"/>
      <c r="AL1179" s="7"/>
      <c r="AM1179" s="7"/>
      <c r="AN1179" s="7"/>
    </row>
    <row r="1180" spans="1:40" customFormat="1" ht="14.25" customHeight="1">
      <c r="A1180" s="116" t="s">
        <v>3067</v>
      </c>
      <c r="B1180" s="9">
        <v>19.7</v>
      </c>
      <c r="C1180" s="211" t="s">
        <v>1669</v>
      </c>
      <c r="D1180" s="183"/>
      <c r="E1180" s="183"/>
      <c r="F1180" s="188"/>
      <c r="G1180" s="188"/>
      <c r="H1180" s="183"/>
      <c r="I1180" s="183"/>
      <c r="J1180" s="188"/>
      <c r="K1180" s="188"/>
      <c r="L1180" s="9"/>
      <c r="M1180" s="9"/>
      <c r="N1180" s="183">
        <v>3</v>
      </c>
      <c r="O1180" s="7">
        <v>1.5</v>
      </c>
      <c r="P1180" s="183">
        <f t="shared" si="68"/>
        <v>4.5</v>
      </c>
      <c r="Q1180" s="9"/>
      <c r="R1180" s="7"/>
      <c r="S1180" s="126"/>
      <c r="T1180" s="126"/>
      <c r="U1180" s="236"/>
      <c r="V1180" s="103"/>
      <c r="W1180" s="9"/>
      <c r="X1180" s="9"/>
      <c r="Y1180" s="9"/>
      <c r="Z1180" s="9"/>
      <c r="AA1180" s="126"/>
      <c r="AB1180" s="9"/>
      <c r="AC1180" s="9"/>
      <c r="AD1180" s="9"/>
      <c r="AE1180" s="9"/>
      <c r="AF1180" s="9"/>
      <c r="AG1180" s="9"/>
      <c r="AH1180" s="9"/>
      <c r="AI1180" s="9"/>
      <c r="AJ1180" s="7"/>
      <c r="AK1180" s="7"/>
      <c r="AL1180" s="7"/>
      <c r="AM1180" s="7"/>
      <c r="AN1180" s="7"/>
    </row>
    <row r="1181" spans="1:40" customFormat="1" ht="14.25" customHeight="1">
      <c r="A1181" s="116" t="s">
        <v>3068</v>
      </c>
      <c r="B1181" s="9">
        <v>19.5</v>
      </c>
      <c r="C1181" s="7" t="s">
        <v>1670</v>
      </c>
      <c r="D1181" s="183"/>
      <c r="E1181" s="183"/>
      <c r="F1181" s="188"/>
      <c r="G1181" s="188"/>
      <c r="H1181" s="183"/>
      <c r="I1181" s="183"/>
      <c r="J1181" s="188"/>
      <c r="K1181" s="188"/>
      <c r="L1181" s="9"/>
      <c r="M1181" s="9"/>
      <c r="N1181" s="183">
        <v>3</v>
      </c>
      <c r="O1181" s="7">
        <v>1.5</v>
      </c>
      <c r="P1181" s="183">
        <f t="shared" si="68"/>
        <v>4.5</v>
      </c>
      <c r="Q1181" s="9"/>
      <c r="R1181" s="7"/>
      <c r="S1181" s="126"/>
      <c r="T1181" s="126"/>
      <c r="U1181" s="236"/>
      <c r="V1181" s="103"/>
      <c r="W1181" s="9"/>
      <c r="X1181" s="9"/>
      <c r="Y1181" s="9"/>
      <c r="Z1181" s="9"/>
      <c r="AA1181" s="126"/>
      <c r="AB1181" s="9"/>
      <c r="AC1181" s="9"/>
      <c r="AD1181" s="9"/>
      <c r="AE1181" s="9"/>
      <c r="AF1181" s="9"/>
      <c r="AG1181" s="9"/>
      <c r="AH1181" s="9"/>
      <c r="AI1181" s="9"/>
      <c r="AJ1181" s="211" t="s">
        <v>1669</v>
      </c>
      <c r="AK1181" s="7"/>
      <c r="AL1181" s="7"/>
      <c r="AM1181" s="7"/>
      <c r="AN1181" s="7"/>
    </row>
    <row r="1182" spans="1:40" customFormat="1" ht="14.25" customHeight="1">
      <c r="A1182" s="116" t="s">
        <v>3069</v>
      </c>
      <c r="B1182" s="9">
        <v>19.2</v>
      </c>
      <c r="C1182" s="7" t="s">
        <v>1672</v>
      </c>
      <c r="D1182" s="183"/>
      <c r="E1182" s="183"/>
      <c r="F1182" s="188"/>
      <c r="G1182" s="188"/>
      <c r="H1182" s="183"/>
      <c r="I1182" s="183"/>
      <c r="J1182" s="188"/>
      <c r="K1182" s="188"/>
      <c r="L1182" s="9"/>
      <c r="M1182" s="9"/>
      <c r="N1182" s="183">
        <v>3</v>
      </c>
      <c r="O1182" s="7">
        <v>1.5</v>
      </c>
      <c r="P1182" s="183">
        <f t="shared" si="68"/>
        <v>4.5</v>
      </c>
      <c r="Q1182" s="9"/>
      <c r="R1182" s="7"/>
      <c r="S1182" s="126"/>
      <c r="T1182" s="126"/>
      <c r="U1182" s="236"/>
      <c r="V1182" s="103"/>
      <c r="W1182" s="9"/>
      <c r="X1182" s="9"/>
      <c r="Y1182" s="9"/>
      <c r="Z1182" s="9"/>
      <c r="AA1182" s="126"/>
      <c r="AB1182" s="9"/>
      <c r="AC1182" s="9"/>
      <c r="AD1182" s="9"/>
      <c r="AE1182" s="9"/>
      <c r="AF1182" s="9"/>
      <c r="AG1182" s="9"/>
      <c r="AH1182" s="9"/>
      <c r="AI1182" s="9"/>
      <c r="AJ1182" s="7"/>
      <c r="AK1182" s="7"/>
      <c r="AL1182" s="7"/>
      <c r="AM1182" s="7"/>
      <c r="AN1182" s="7"/>
    </row>
    <row r="1183" spans="1:40" customFormat="1" ht="14.25" customHeight="1">
      <c r="A1183" s="116" t="s">
        <v>3070</v>
      </c>
      <c r="B1183" s="9">
        <v>19.399999999999999</v>
      </c>
      <c r="C1183" s="7" t="s">
        <v>1671</v>
      </c>
      <c r="D1183" s="183"/>
      <c r="E1183" s="183"/>
      <c r="F1183" s="188"/>
      <c r="G1183" s="188"/>
      <c r="H1183" s="183"/>
      <c r="I1183" s="183"/>
      <c r="J1183" s="188"/>
      <c r="K1183" s="188"/>
      <c r="L1183" s="9"/>
      <c r="M1183" s="9"/>
      <c r="N1183" s="183">
        <v>3</v>
      </c>
      <c r="O1183" s="7">
        <v>1.5</v>
      </c>
      <c r="P1183" s="183">
        <f t="shared" si="68"/>
        <v>4.5</v>
      </c>
      <c r="Q1183" s="9"/>
      <c r="R1183" s="7"/>
      <c r="S1183" s="126"/>
      <c r="T1183" s="126"/>
      <c r="U1183" s="236"/>
      <c r="V1183" s="103"/>
      <c r="W1183" s="9"/>
      <c r="X1183" s="9"/>
      <c r="Y1183" s="9"/>
      <c r="Z1183" s="9"/>
      <c r="AA1183" s="126"/>
      <c r="AB1183" s="9"/>
      <c r="AC1183" s="9"/>
      <c r="AD1183" s="9"/>
      <c r="AE1183" s="9"/>
      <c r="AF1183" s="9"/>
      <c r="AG1183" s="9"/>
      <c r="AH1183" s="9"/>
      <c r="AI1183" s="9"/>
      <c r="AJ1183" s="7"/>
      <c r="AK1183" s="7"/>
      <c r="AL1183" s="7"/>
      <c r="AM1183" s="7"/>
      <c r="AN1183" s="7"/>
    </row>
    <row r="1184" spans="1:40" customFormat="1" ht="14.25" customHeight="1">
      <c r="A1184" s="116" t="s">
        <v>3071</v>
      </c>
      <c r="B1184" s="9">
        <v>19.399999999999999</v>
      </c>
      <c r="C1184" s="7" t="s">
        <v>1673</v>
      </c>
      <c r="D1184" s="183"/>
      <c r="E1184" s="183"/>
      <c r="F1184" s="188"/>
      <c r="G1184" s="188"/>
      <c r="H1184" s="183"/>
      <c r="I1184" s="183"/>
      <c r="J1184" s="188"/>
      <c r="K1184" s="188"/>
      <c r="L1184" s="9"/>
      <c r="M1184" s="9"/>
      <c r="N1184" s="183">
        <v>3</v>
      </c>
      <c r="O1184" s="7">
        <v>1.5</v>
      </c>
      <c r="P1184" s="183">
        <f t="shared" si="68"/>
        <v>4.5</v>
      </c>
      <c r="Q1184" s="9"/>
      <c r="R1184" s="7"/>
      <c r="S1184" s="126"/>
      <c r="T1184" s="126"/>
      <c r="U1184" s="236"/>
      <c r="V1184" s="103"/>
      <c r="W1184" s="9"/>
      <c r="X1184" s="9"/>
      <c r="Y1184" s="9"/>
      <c r="Z1184" s="9"/>
      <c r="AA1184" s="126"/>
      <c r="AB1184" s="9"/>
      <c r="AC1184" s="9"/>
      <c r="AD1184" s="9"/>
      <c r="AE1184" s="9"/>
      <c r="AF1184" s="9"/>
      <c r="AG1184" s="9"/>
      <c r="AH1184" s="9"/>
      <c r="AI1184" s="9"/>
      <c r="AJ1184" s="7"/>
      <c r="AK1184" s="7"/>
      <c r="AL1184" s="7"/>
      <c r="AM1184" s="7"/>
      <c r="AN1184" s="7"/>
    </row>
    <row r="1185" spans="1:40" customFormat="1" ht="14.25" customHeight="1">
      <c r="A1185" s="116" t="s">
        <v>3072</v>
      </c>
      <c r="B1185" s="9">
        <v>19.600000000000001</v>
      </c>
      <c r="C1185" s="7" t="s">
        <v>1674</v>
      </c>
      <c r="D1185" s="183"/>
      <c r="E1185" s="183"/>
      <c r="F1185" s="188"/>
      <c r="G1185" s="188"/>
      <c r="H1185" s="183"/>
      <c r="I1185" s="183"/>
      <c r="J1185" s="188"/>
      <c r="K1185" s="188"/>
      <c r="L1185" s="9"/>
      <c r="M1185" s="9"/>
      <c r="N1185" s="183">
        <v>3</v>
      </c>
      <c r="O1185" s="7">
        <v>1.5</v>
      </c>
      <c r="P1185" s="183">
        <f t="shared" si="68"/>
        <v>4.5</v>
      </c>
      <c r="Q1185" s="9"/>
      <c r="R1185" s="7"/>
      <c r="S1185" s="126"/>
      <c r="T1185" s="126"/>
      <c r="U1185" s="236"/>
      <c r="V1185" s="103"/>
      <c r="W1185" s="9"/>
      <c r="X1185" s="9"/>
      <c r="Y1185" s="9"/>
      <c r="Z1185" s="9"/>
      <c r="AA1185" s="126"/>
      <c r="AB1185" s="9"/>
      <c r="AC1185" s="9"/>
      <c r="AD1185" s="9"/>
      <c r="AE1185" s="9"/>
      <c r="AF1185" s="9"/>
      <c r="AG1185" s="9"/>
      <c r="AH1185" s="9"/>
      <c r="AI1185" s="9"/>
      <c r="AJ1185" s="7"/>
      <c r="AK1185" s="7"/>
      <c r="AL1185" s="7"/>
      <c r="AM1185" s="7"/>
      <c r="AN1185" s="7"/>
    </row>
    <row r="1186" spans="1:40" customFormat="1" ht="14.25" customHeight="1">
      <c r="A1186" s="116" t="s">
        <v>2851</v>
      </c>
      <c r="B1186" s="9">
        <v>31.5</v>
      </c>
      <c r="C1186" s="211" t="s">
        <v>1162</v>
      </c>
      <c r="D1186" s="183"/>
      <c r="E1186" s="183"/>
      <c r="F1186" s="188"/>
      <c r="G1186" s="188"/>
      <c r="H1186" s="183"/>
      <c r="I1186" s="183"/>
      <c r="J1186" s="188"/>
      <c r="K1186" s="188"/>
      <c r="L1186" s="9"/>
      <c r="M1186" s="9"/>
      <c r="N1186" s="183">
        <v>3</v>
      </c>
      <c r="O1186" s="7">
        <v>2</v>
      </c>
      <c r="P1186" s="183">
        <f t="shared" ref="P1186:P1199" si="69">N1186*O1186</f>
        <v>6</v>
      </c>
      <c r="Q1186" s="9"/>
      <c r="R1186" s="7"/>
      <c r="S1186" s="126"/>
      <c r="T1186" s="126"/>
      <c r="U1186" s="236"/>
      <c r="V1186" s="103"/>
      <c r="W1186" s="9"/>
      <c r="X1186" s="9"/>
      <c r="Y1186" s="9"/>
      <c r="Z1186" s="9"/>
      <c r="AA1186" s="126"/>
      <c r="AB1186" s="9"/>
      <c r="AC1186" s="9"/>
      <c r="AD1186" s="9"/>
      <c r="AE1186" s="9"/>
      <c r="AF1186" s="9"/>
      <c r="AG1186" s="9"/>
      <c r="AH1186" s="9"/>
      <c r="AI1186" s="9"/>
      <c r="AJ1186" s="7"/>
      <c r="AK1186" s="7"/>
      <c r="AL1186" s="7"/>
      <c r="AM1186" s="7"/>
      <c r="AN1186" s="7"/>
    </row>
    <row r="1187" spans="1:40" customFormat="1" ht="14.25" customHeight="1">
      <c r="A1187" s="116" t="s">
        <v>2852</v>
      </c>
      <c r="B1187" s="9">
        <v>32.200000000000003</v>
      </c>
      <c r="C1187" s="7" t="s">
        <v>1163</v>
      </c>
      <c r="D1187" s="183"/>
      <c r="E1187" s="183"/>
      <c r="F1187" s="188"/>
      <c r="G1187" s="188"/>
      <c r="H1187" s="183"/>
      <c r="I1187" s="183"/>
      <c r="J1187" s="188"/>
      <c r="K1187" s="188"/>
      <c r="L1187" s="9"/>
      <c r="M1187" s="9"/>
      <c r="N1187" s="183">
        <v>3</v>
      </c>
      <c r="O1187" s="7">
        <v>2</v>
      </c>
      <c r="P1187" s="183">
        <f t="shared" si="69"/>
        <v>6</v>
      </c>
      <c r="Q1187" s="9"/>
      <c r="R1187" s="7"/>
      <c r="S1187" s="126"/>
      <c r="T1187" s="126"/>
      <c r="U1187" s="236"/>
      <c r="V1187" s="103"/>
      <c r="W1187" s="9"/>
      <c r="X1187" s="9"/>
      <c r="Y1187" s="9"/>
      <c r="Z1187" s="9"/>
      <c r="AA1187" s="126"/>
      <c r="AB1187" s="9"/>
      <c r="AC1187" s="9"/>
      <c r="AD1187" s="9"/>
      <c r="AE1187" s="9"/>
      <c r="AF1187" s="9"/>
      <c r="AG1187" s="9"/>
      <c r="AH1187" s="9"/>
      <c r="AI1187" s="9"/>
      <c r="AJ1187" s="211" t="s">
        <v>1162</v>
      </c>
      <c r="AK1187" s="7"/>
      <c r="AL1187" s="7"/>
      <c r="AM1187" s="7"/>
      <c r="AN1187" s="7"/>
    </row>
    <row r="1188" spans="1:40" customFormat="1" ht="14.25" customHeight="1">
      <c r="A1188" s="116" t="s">
        <v>2853</v>
      </c>
      <c r="B1188" s="9">
        <v>23.8</v>
      </c>
      <c r="C1188" s="211" t="s">
        <v>1165</v>
      </c>
      <c r="D1188" s="183"/>
      <c r="E1188" s="183"/>
      <c r="F1188" s="188"/>
      <c r="G1188" s="188"/>
      <c r="H1188" s="183"/>
      <c r="I1188" s="183"/>
      <c r="J1188" s="188"/>
      <c r="K1188" s="188"/>
      <c r="L1188" s="9"/>
      <c r="M1188" s="9"/>
      <c r="N1188" s="183">
        <v>3</v>
      </c>
      <c r="O1188" s="7">
        <v>1.1000000000000001</v>
      </c>
      <c r="P1188" s="183">
        <f t="shared" si="69"/>
        <v>3.3000000000000003</v>
      </c>
      <c r="Q1188" s="9"/>
      <c r="R1188" s="7"/>
      <c r="S1188" s="126"/>
      <c r="T1188" s="126"/>
      <c r="U1188" s="236"/>
      <c r="V1188" s="103"/>
      <c r="W1188" s="9"/>
      <c r="X1188" s="9"/>
      <c r="Y1188" s="9"/>
      <c r="Z1188" s="9"/>
      <c r="AA1188" s="126"/>
      <c r="AB1188" s="9"/>
      <c r="AC1188" s="9"/>
      <c r="AD1188" s="9"/>
      <c r="AE1188" s="9"/>
      <c r="AF1188" s="9"/>
      <c r="AG1188" s="9"/>
      <c r="AH1188" s="9"/>
      <c r="AI1188" s="9"/>
      <c r="AJ1188" s="7"/>
      <c r="AK1188" s="7"/>
      <c r="AL1188" s="7"/>
      <c r="AM1188" s="7"/>
      <c r="AN1188" s="7"/>
    </row>
    <row r="1189" spans="1:40" customFormat="1" ht="14.25" customHeight="1">
      <c r="A1189" s="116" t="s">
        <v>2854</v>
      </c>
      <c r="B1189" s="9">
        <v>24.8</v>
      </c>
      <c r="C1189" s="1" t="s">
        <v>1166</v>
      </c>
      <c r="D1189" s="184"/>
      <c r="E1189" s="184"/>
      <c r="F1189" s="188"/>
      <c r="G1189" s="188"/>
      <c r="H1189" s="184"/>
      <c r="I1189" s="184"/>
      <c r="J1189" s="188"/>
      <c r="K1189" s="188"/>
      <c r="L1189" s="3"/>
      <c r="M1189" s="3"/>
      <c r="N1189" s="184">
        <v>3</v>
      </c>
      <c r="O1189" s="7">
        <v>1.1000000000000001</v>
      </c>
      <c r="P1189" s="183">
        <f t="shared" si="69"/>
        <v>3.3000000000000003</v>
      </c>
      <c r="Q1189" s="9"/>
      <c r="R1189" s="7"/>
      <c r="S1189" s="126"/>
      <c r="T1189" s="126"/>
      <c r="U1189" s="236"/>
      <c r="V1189" s="103"/>
      <c r="W1189" s="9"/>
      <c r="X1189" s="9"/>
      <c r="Y1189" s="9"/>
      <c r="Z1189" s="9"/>
      <c r="AA1189" s="126"/>
      <c r="AB1189" s="9"/>
      <c r="AC1189" s="9"/>
      <c r="AD1189" s="9"/>
      <c r="AE1189" s="9"/>
      <c r="AF1189" s="9"/>
      <c r="AG1189" s="9"/>
      <c r="AH1189" s="9"/>
      <c r="AI1189" s="9"/>
      <c r="AJ1189" s="211" t="s">
        <v>1165</v>
      </c>
      <c r="AK1189" s="7"/>
      <c r="AL1189" s="7"/>
      <c r="AM1189" s="7"/>
      <c r="AN1189" s="7"/>
    </row>
    <row r="1190" spans="1:40" customFormat="1" ht="14.25" customHeight="1">
      <c r="A1190" s="116" t="s">
        <v>2855</v>
      </c>
      <c r="B1190" s="9">
        <v>21.8</v>
      </c>
      <c r="C1190" s="7" t="s">
        <v>1167</v>
      </c>
      <c r="D1190" s="183"/>
      <c r="E1190" s="183"/>
      <c r="F1190" s="188"/>
      <c r="G1190" s="188"/>
      <c r="H1190" s="183"/>
      <c r="I1190" s="183"/>
      <c r="J1190" s="188"/>
      <c r="K1190" s="188"/>
      <c r="L1190" s="9"/>
      <c r="M1190" s="9"/>
      <c r="N1190" s="183">
        <v>3</v>
      </c>
      <c r="O1190" s="7">
        <v>0.95</v>
      </c>
      <c r="P1190" s="183">
        <f t="shared" si="69"/>
        <v>2.8499999999999996</v>
      </c>
      <c r="Q1190" s="9"/>
      <c r="R1190" s="7"/>
      <c r="S1190" s="126"/>
      <c r="T1190" s="126"/>
      <c r="U1190" s="236"/>
      <c r="V1190" s="103"/>
      <c r="W1190" s="9"/>
      <c r="X1190" s="9"/>
      <c r="Y1190" s="9"/>
      <c r="Z1190" s="9"/>
      <c r="AA1190" s="126"/>
      <c r="AB1190" s="9"/>
      <c r="AC1190" s="9"/>
      <c r="AD1190" s="9"/>
      <c r="AE1190" s="9"/>
      <c r="AF1190" s="9"/>
      <c r="AG1190" s="9"/>
      <c r="AH1190" s="9"/>
      <c r="AI1190" s="9"/>
      <c r="AJ1190" s="7"/>
      <c r="AK1190" s="7"/>
      <c r="AL1190" s="7"/>
      <c r="AM1190" s="7"/>
      <c r="AN1190" s="7"/>
    </row>
    <row r="1191" spans="1:40" customFormat="1" ht="14.25" customHeight="1">
      <c r="A1191" s="116" t="s">
        <v>2856</v>
      </c>
      <c r="B1191" s="9">
        <v>23.7</v>
      </c>
      <c r="C1191" s="7" t="s">
        <v>1168</v>
      </c>
      <c r="D1191" s="183"/>
      <c r="E1191" s="183"/>
      <c r="F1191" s="188"/>
      <c r="G1191" s="188"/>
      <c r="H1191" s="183"/>
      <c r="I1191" s="183"/>
      <c r="J1191" s="188"/>
      <c r="K1191" s="188"/>
      <c r="L1191" s="9"/>
      <c r="M1191" s="9"/>
      <c r="N1191" s="183">
        <v>3</v>
      </c>
      <c r="O1191" s="7">
        <v>0.95</v>
      </c>
      <c r="P1191" s="183">
        <f t="shared" si="69"/>
        <v>2.8499999999999996</v>
      </c>
      <c r="Q1191" s="9"/>
      <c r="R1191" s="7"/>
      <c r="S1191" s="126"/>
      <c r="T1191" s="126"/>
      <c r="U1191" s="236"/>
      <c r="V1191" s="103"/>
      <c r="W1191" s="9"/>
      <c r="X1191" s="9"/>
      <c r="Y1191" s="9"/>
      <c r="Z1191" s="9"/>
      <c r="AA1191" s="126"/>
      <c r="AB1191" s="9"/>
      <c r="AC1191" s="9"/>
      <c r="AD1191" s="9"/>
      <c r="AE1191" s="9"/>
      <c r="AF1191" s="9"/>
      <c r="AG1191" s="9"/>
      <c r="AH1191" s="9"/>
      <c r="AI1191" s="9"/>
      <c r="AJ1191" s="7"/>
      <c r="AK1191" s="7"/>
      <c r="AL1191" s="7"/>
      <c r="AM1191" s="7"/>
      <c r="AN1191" s="7"/>
    </row>
    <row r="1192" spans="1:40" customFormat="1" ht="14.25" customHeight="1">
      <c r="A1192" s="116" t="s">
        <v>2857</v>
      </c>
      <c r="B1192" s="9">
        <v>19.3</v>
      </c>
      <c r="C1192" s="211" t="s">
        <v>1234</v>
      </c>
      <c r="D1192" s="183"/>
      <c r="E1192" s="183"/>
      <c r="F1192" s="188"/>
      <c r="G1192" s="188"/>
      <c r="H1192" s="183"/>
      <c r="I1192" s="183"/>
      <c r="J1192" s="188"/>
      <c r="K1192" s="188"/>
      <c r="L1192" s="9"/>
      <c r="M1192" s="9"/>
      <c r="N1192" s="183">
        <v>3</v>
      </c>
      <c r="O1192" s="7">
        <v>1.39</v>
      </c>
      <c r="P1192" s="183">
        <f t="shared" si="69"/>
        <v>4.17</v>
      </c>
      <c r="Q1192" s="9"/>
      <c r="R1192" s="7"/>
      <c r="S1192" s="126"/>
      <c r="T1192" s="126"/>
      <c r="U1192" s="236"/>
      <c r="V1192" s="103"/>
      <c r="W1192" s="9"/>
      <c r="X1192" s="9"/>
      <c r="Y1192" s="9"/>
      <c r="Z1192" s="9"/>
      <c r="AA1192" s="126"/>
      <c r="AB1192" s="9"/>
      <c r="AC1192" s="9"/>
      <c r="AD1192" s="9"/>
      <c r="AE1192" s="9"/>
      <c r="AF1192" s="9"/>
      <c r="AG1192" s="9"/>
      <c r="AH1192" s="9"/>
      <c r="AI1192" s="9"/>
      <c r="AJ1192" s="7"/>
      <c r="AK1192" s="7"/>
      <c r="AL1192" s="7"/>
      <c r="AM1192" s="7"/>
      <c r="AN1192" s="7"/>
    </row>
    <row r="1193" spans="1:40" customFormat="1" ht="14.25" customHeight="1">
      <c r="A1193" s="116" t="s">
        <v>2858</v>
      </c>
      <c r="B1193" s="9">
        <v>18.8</v>
      </c>
      <c r="C1193" s="7" t="s">
        <v>1235</v>
      </c>
      <c r="D1193" s="183"/>
      <c r="E1193" s="183"/>
      <c r="F1193" s="188"/>
      <c r="G1193" s="188"/>
      <c r="H1193" s="183"/>
      <c r="I1193" s="183"/>
      <c r="J1193" s="188"/>
      <c r="K1193" s="188"/>
      <c r="L1193" s="9"/>
      <c r="M1193" s="9"/>
      <c r="N1193" s="183">
        <v>3</v>
      </c>
      <c r="O1193" s="7">
        <v>1.3</v>
      </c>
      <c r="P1193" s="183">
        <f t="shared" si="69"/>
        <v>3.9000000000000004</v>
      </c>
      <c r="Q1193" s="9"/>
      <c r="R1193" s="7"/>
      <c r="S1193" s="126"/>
      <c r="T1193" s="126"/>
      <c r="U1193" s="236"/>
      <c r="V1193" s="103"/>
      <c r="W1193" s="9"/>
      <c r="X1193" s="9"/>
      <c r="Y1193" s="9"/>
      <c r="Z1193" s="9"/>
      <c r="AA1193" s="126"/>
      <c r="AB1193" s="9"/>
      <c r="AC1193" s="9"/>
      <c r="AD1193" s="9"/>
      <c r="AE1193" s="9"/>
      <c r="AF1193" s="9"/>
      <c r="AG1193" s="9"/>
      <c r="AH1193" s="9"/>
      <c r="AI1193" s="9"/>
      <c r="AJ1193" s="211" t="s">
        <v>1234</v>
      </c>
      <c r="AK1193" s="7"/>
      <c r="AL1193" s="7"/>
      <c r="AM1193" s="7"/>
      <c r="AN1193" s="7"/>
    </row>
    <row r="1194" spans="1:40" customFormat="1" ht="14.25" customHeight="1">
      <c r="A1194" s="116" t="s">
        <v>2859</v>
      </c>
      <c r="B1194" s="9">
        <v>17.8</v>
      </c>
      <c r="C1194" s="7" t="s">
        <v>1361</v>
      </c>
      <c r="D1194" s="183"/>
      <c r="E1194" s="183"/>
      <c r="F1194" s="188"/>
      <c r="G1194" s="188"/>
      <c r="H1194" s="183"/>
      <c r="I1194" s="183"/>
      <c r="J1194" s="188"/>
      <c r="K1194" s="188"/>
      <c r="L1194" s="9"/>
      <c r="M1194" s="9"/>
      <c r="N1194" s="183">
        <v>3</v>
      </c>
      <c r="O1194" s="7">
        <v>1.3</v>
      </c>
      <c r="P1194" s="183">
        <f t="shared" si="69"/>
        <v>3.9000000000000004</v>
      </c>
      <c r="Q1194" s="9"/>
      <c r="R1194" s="7"/>
      <c r="S1194" s="126"/>
      <c r="T1194" s="126"/>
      <c r="U1194" s="236"/>
      <c r="V1194" s="103"/>
      <c r="W1194" s="9"/>
      <c r="X1194" s="9"/>
      <c r="Y1194" s="9"/>
      <c r="Z1194" s="9"/>
      <c r="AA1194" s="126"/>
      <c r="AB1194" s="9"/>
      <c r="AC1194" s="9"/>
      <c r="AD1194" s="9"/>
      <c r="AE1194" s="9"/>
      <c r="AF1194" s="9"/>
      <c r="AG1194" s="9"/>
      <c r="AH1194" s="9"/>
      <c r="AI1194" s="9"/>
      <c r="AJ1194" s="7"/>
      <c r="AK1194" s="7"/>
      <c r="AL1194" s="7"/>
      <c r="AM1194" s="7"/>
      <c r="AN1194" s="7"/>
    </row>
    <row r="1195" spans="1:40" customFormat="1" ht="14.25" customHeight="1">
      <c r="A1195" s="116" t="s">
        <v>2860</v>
      </c>
      <c r="B1195" s="9">
        <v>24.8</v>
      </c>
      <c r="C1195" s="7" t="s">
        <v>1233</v>
      </c>
      <c r="D1195" s="183"/>
      <c r="E1195" s="183"/>
      <c r="F1195" s="188"/>
      <c r="G1195" s="188"/>
      <c r="H1195" s="183"/>
      <c r="I1195" s="183"/>
      <c r="J1195" s="188"/>
      <c r="K1195" s="188"/>
      <c r="L1195" s="9"/>
      <c r="M1195" s="9"/>
      <c r="N1195" s="183">
        <v>3</v>
      </c>
      <c r="O1195" s="7">
        <v>1.3</v>
      </c>
      <c r="P1195" s="183">
        <f t="shared" si="69"/>
        <v>3.9000000000000004</v>
      </c>
      <c r="Q1195" s="9"/>
      <c r="R1195" s="7"/>
      <c r="S1195" s="126"/>
      <c r="T1195" s="126"/>
      <c r="U1195" s="236"/>
      <c r="V1195" s="103"/>
      <c r="W1195" s="9"/>
      <c r="X1195" s="9"/>
      <c r="Y1195" s="9"/>
      <c r="Z1195" s="9"/>
      <c r="AA1195" s="126"/>
      <c r="AB1195" s="9"/>
      <c r="AC1195" s="9"/>
      <c r="AD1195" s="9"/>
      <c r="AE1195" s="9"/>
      <c r="AF1195" s="9"/>
      <c r="AG1195" s="9"/>
      <c r="AH1195" s="9"/>
      <c r="AI1195" s="9"/>
      <c r="AJ1195" s="7"/>
      <c r="AK1195" s="7"/>
      <c r="AL1195" s="7"/>
      <c r="AM1195" s="7"/>
      <c r="AN1195" s="7"/>
    </row>
    <row r="1196" spans="1:40" customFormat="1" ht="14.25" customHeight="1">
      <c r="A1196" s="125" t="s">
        <v>3052</v>
      </c>
      <c r="B1196" s="9">
        <v>33</v>
      </c>
      <c r="C1196" s="211" t="s">
        <v>1471</v>
      </c>
      <c r="D1196" s="183"/>
      <c r="E1196" s="183"/>
      <c r="F1196" s="188"/>
      <c r="G1196" s="188"/>
      <c r="H1196" s="183"/>
      <c r="I1196" s="183"/>
      <c r="J1196" s="188"/>
      <c r="K1196" s="188"/>
      <c r="L1196" s="9"/>
      <c r="M1196" s="9"/>
      <c r="N1196" s="183">
        <v>3</v>
      </c>
      <c r="O1196" s="7">
        <v>2.15</v>
      </c>
      <c r="P1196" s="183">
        <f t="shared" si="69"/>
        <v>6.4499999999999993</v>
      </c>
      <c r="Q1196" s="9"/>
      <c r="R1196" s="7"/>
      <c r="S1196" s="126"/>
      <c r="T1196" s="126"/>
      <c r="U1196" s="236"/>
      <c r="V1196" s="103"/>
      <c r="W1196" s="9"/>
      <c r="X1196" s="9"/>
      <c r="Y1196" s="9"/>
      <c r="Z1196" s="9"/>
      <c r="AA1196" s="126"/>
      <c r="AB1196" s="9"/>
      <c r="AC1196" s="9"/>
      <c r="AD1196" s="9"/>
      <c r="AE1196" s="9"/>
      <c r="AF1196" s="9"/>
      <c r="AG1196" s="9"/>
      <c r="AH1196" s="9"/>
      <c r="AI1196" s="9"/>
      <c r="AJ1196" s="7"/>
      <c r="AK1196" s="7"/>
      <c r="AL1196" s="7"/>
      <c r="AM1196" s="7"/>
      <c r="AN1196" s="7"/>
    </row>
    <row r="1197" spans="1:40" customFormat="1" ht="14.25" customHeight="1">
      <c r="A1197" s="125" t="s">
        <v>3053</v>
      </c>
      <c r="B1197" s="9">
        <v>33</v>
      </c>
      <c r="C1197" s="131" t="s">
        <v>3295</v>
      </c>
      <c r="D1197" s="183"/>
      <c r="E1197" s="183"/>
      <c r="F1197" s="188"/>
      <c r="G1197" s="188"/>
      <c r="H1197" s="183"/>
      <c r="I1197" s="183"/>
      <c r="J1197" s="188"/>
      <c r="K1197" s="188"/>
      <c r="L1197" s="9"/>
      <c r="M1197" s="9"/>
      <c r="N1197" s="183">
        <v>3</v>
      </c>
      <c r="O1197" s="7">
        <v>2.15</v>
      </c>
      <c r="P1197" s="183">
        <f t="shared" si="69"/>
        <v>6.4499999999999993</v>
      </c>
      <c r="Q1197" s="9"/>
      <c r="R1197" s="7"/>
      <c r="S1197" s="126"/>
      <c r="T1197" s="126"/>
      <c r="U1197" s="236"/>
      <c r="V1197" s="103"/>
      <c r="W1197" s="9"/>
      <c r="X1197" s="9"/>
      <c r="Y1197" s="9"/>
      <c r="Z1197" s="9"/>
      <c r="AA1197" s="126"/>
      <c r="AB1197" s="9"/>
      <c r="AC1197" s="9"/>
      <c r="AD1197" s="9"/>
      <c r="AE1197" s="9"/>
      <c r="AF1197" s="9"/>
      <c r="AG1197" s="9"/>
      <c r="AH1197" s="9"/>
      <c r="AI1197" s="9"/>
      <c r="AJ1197" s="211" t="s">
        <v>1471</v>
      </c>
      <c r="AK1197" s="7"/>
      <c r="AL1197" s="7"/>
      <c r="AM1197" s="7"/>
      <c r="AN1197" s="7"/>
    </row>
    <row r="1198" spans="1:40" customFormat="1" ht="14.25" customHeight="1">
      <c r="A1198" s="125" t="s">
        <v>3054</v>
      </c>
      <c r="B1198" s="9">
        <v>33</v>
      </c>
      <c r="C1198" s="7" t="s">
        <v>1472</v>
      </c>
      <c r="D1198" s="183"/>
      <c r="E1198" s="183"/>
      <c r="F1198" s="188"/>
      <c r="G1198" s="188"/>
      <c r="H1198" s="183"/>
      <c r="I1198" s="183"/>
      <c r="J1198" s="188"/>
      <c r="K1198" s="188"/>
      <c r="L1198" s="9"/>
      <c r="M1198" s="9"/>
      <c r="N1198" s="183">
        <v>3</v>
      </c>
      <c r="O1198" s="7">
        <v>2.15</v>
      </c>
      <c r="P1198" s="183">
        <f t="shared" si="69"/>
        <v>6.4499999999999993</v>
      </c>
      <c r="Q1198" s="9"/>
      <c r="R1198" s="7"/>
      <c r="S1198" s="126"/>
      <c r="T1198" s="126"/>
      <c r="U1198" s="236"/>
      <c r="V1198" s="103"/>
      <c r="W1198" s="9"/>
      <c r="X1198" s="9"/>
      <c r="Y1198" s="9"/>
      <c r="Z1198" s="9"/>
      <c r="AA1198" s="126"/>
      <c r="AB1198" s="9"/>
      <c r="AC1198" s="9"/>
      <c r="AD1198" s="9"/>
      <c r="AE1198" s="9"/>
      <c r="AF1198" s="9"/>
      <c r="AG1198" s="9"/>
      <c r="AH1198" s="9"/>
      <c r="AI1198" s="9"/>
      <c r="AJ1198" s="7"/>
      <c r="AK1198" s="7"/>
      <c r="AL1198" s="7"/>
      <c r="AM1198" s="7"/>
      <c r="AN1198" s="7"/>
    </row>
    <row r="1199" spans="1:40" customFormat="1" ht="14.25" customHeight="1">
      <c r="A1199" s="125" t="s">
        <v>3055</v>
      </c>
      <c r="B1199" s="9">
        <v>33</v>
      </c>
      <c r="C1199" s="7" t="s">
        <v>1473</v>
      </c>
      <c r="D1199" s="183"/>
      <c r="E1199" s="183"/>
      <c r="F1199" s="188"/>
      <c r="G1199" s="188"/>
      <c r="H1199" s="183"/>
      <c r="I1199" s="183"/>
      <c r="J1199" s="188"/>
      <c r="K1199" s="188"/>
      <c r="L1199" s="9"/>
      <c r="M1199" s="9"/>
      <c r="N1199" s="183">
        <v>3</v>
      </c>
      <c r="O1199" s="7">
        <v>2.15</v>
      </c>
      <c r="P1199" s="183">
        <f t="shared" si="69"/>
        <v>6.4499999999999993</v>
      </c>
      <c r="Q1199" s="9"/>
      <c r="R1199" s="7"/>
      <c r="S1199" s="126"/>
      <c r="T1199" s="126"/>
      <c r="U1199" s="236"/>
      <c r="V1199" s="103"/>
      <c r="W1199" s="9"/>
      <c r="X1199" s="9"/>
      <c r="Y1199" s="9"/>
      <c r="Z1199" s="9"/>
      <c r="AA1199" s="126"/>
      <c r="AB1199" s="9"/>
      <c r="AC1199" s="9"/>
      <c r="AD1199" s="9"/>
      <c r="AE1199" s="9"/>
      <c r="AF1199" s="9"/>
      <c r="AG1199" s="9"/>
      <c r="AH1199" s="9"/>
      <c r="AI1199" s="9"/>
      <c r="AJ1199" s="7"/>
      <c r="AK1199" s="7"/>
      <c r="AL1199" s="7"/>
      <c r="AM1199" s="7"/>
      <c r="AN1199" s="7"/>
    </row>
    <row r="1200" spans="1:40" customFormat="1" ht="14.25" customHeight="1">
      <c r="A1200" s="125" t="s">
        <v>3056</v>
      </c>
      <c r="B1200" s="9">
        <v>33</v>
      </c>
      <c r="C1200" s="7" t="s">
        <v>1363</v>
      </c>
      <c r="D1200" s="183"/>
      <c r="E1200" s="183"/>
      <c r="F1200" s="188"/>
      <c r="G1200" s="188"/>
      <c r="H1200" s="183"/>
      <c r="I1200" s="183"/>
      <c r="J1200" s="188"/>
      <c r="K1200" s="188"/>
      <c r="L1200" s="9"/>
      <c r="M1200" s="9"/>
      <c r="N1200" s="183">
        <v>3</v>
      </c>
      <c r="O1200" s="7">
        <v>2.15</v>
      </c>
      <c r="P1200" s="183">
        <f>N1200*O1200</f>
        <v>6.4499999999999993</v>
      </c>
      <c r="Q1200" s="9"/>
      <c r="R1200" s="7"/>
      <c r="S1200" s="126"/>
      <c r="T1200" s="126"/>
      <c r="U1200" s="236"/>
      <c r="V1200" s="103"/>
      <c r="W1200" s="9"/>
      <c r="X1200" s="9"/>
      <c r="Y1200" s="9"/>
      <c r="Z1200" s="9"/>
      <c r="AA1200" s="126"/>
      <c r="AB1200" s="9"/>
      <c r="AC1200" s="9"/>
      <c r="AD1200" s="9"/>
      <c r="AE1200" s="9"/>
      <c r="AF1200" s="9"/>
      <c r="AG1200" s="9"/>
      <c r="AH1200" s="9"/>
      <c r="AI1200" s="9"/>
      <c r="AJ1200" s="7"/>
      <c r="AK1200" s="7"/>
      <c r="AL1200" s="7"/>
      <c r="AM1200" s="7"/>
      <c r="AN1200" s="7"/>
    </row>
    <row r="1201" spans="1:40" customFormat="1" ht="14.25" customHeight="1">
      <c r="A1201" s="148" t="s">
        <v>3368</v>
      </c>
      <c r="B1201" s="9">
        <v>18.899999999999999</v>
      </c>
      <c r="C1201" s="198" t="s">
        <v>5950</v>
      </c>
      <c r="D1201" s="183"/>
      <c r="E1201" s="183"/>
      <c r="F1201" s="188"/>
      <c r="G1201" s="188"/>
      <c r="H1201" s="183"/>
      <c r="I1201" s="183"/>
      <c r="J1201" s="188"/>
      <c r="K1201" s="188"/>
      <c r="L1201" s="9"/>
      <c r="M1201" s="9"/>
      <c r="N1201" s="183">
        <v>5</v>
      </c>
      <c r="O1201" s="7">
        <v>1.1000000000000001</v>
      </c>
      <c r="P1201" s="9"/>
      <c r="Q1201" s="9"/>
      <c r="R1201" s="7"/>
      <c r="S1201" s="126"/>
      <c r="T1201" s="126"/>
      <c r="U1201" s="236"/>
      <c r="V1201" s="103"/>
      <c r="W1201" s="9"/>
      <c r="X1201" s="9"/>
      <c r="Y1201" s="9"/>
      <c r="Z1201" s="9"/>
      <c r="AA1201" s="126"/>
      <c r="AB1201" s="9"/>
      <c r="AC1201" s="9"/>
      <c r="AD1201" s="9"/>
      <c r="AE1201" s="9"/>
      <c r="AF1201" s="9"/>
      <c r="AG1201" s="9"/>
      <c r="AH1201" s="9"/>
      <c r="AI1201" s="9"/>
      <c r="AJ1201" s="7"/>
      <c r="AK1201" s="7"/>
      <c r="AL1201" s="7"/>
      <c r="AM1201" s="7"/>
      <c r="AN1201" s="7"/>
    </row>
    <row r="1202" spans="1:40" customFormat="1" ht="14.25" customHeight="1">
      <c r="A1202" s="148" t="s">
        <v>3628</v>
      </c>
      <c r="B1202" s="9">
        <v>13.9</v>
      </c>
      <c r="C1202" s="198" t="s">
        <v>5948</v>
      </c>
      <c r="D1202" s="186"/>
      <c r="E1202" s="186"/>
      <c r="F1202" s="188"/>
      <c r="G1202" s="188"/>
      <c r="H1202" s="186"/>
      <c r="I1202" s="186"/>
      <c r="J1202" s="188"/>
      <c r="K1202" s="188"/>
      <c r="L1202" s="168"/>
      <c r="M1202" s="168"/>
      <c r="N1202" s="186">
        <v>10</v>
      </c>
      <c r="O1202" s="7">
        <v>0.39</v>
      </c>
      <c r="P1202" s="9"/>
      <c r="Q1202" s="9"/>
      <c r="R1202" s="7"/>
      <c r="S1202" s="126"/>
      <c r="T1202" s="126"/>
      <c r="U1202" s="236"/>
      <c r="V1202" s="103"/>
      <c r="W1202" s="9"/>
      <c r="X1202" s="9"/>
      <c r="Y1202" s="9"/>
      <c r="Z1202" s="9"/>
      <c r="AA1202" s="126"/>
      <c r="AB1202" s="9"/>
      <c r="AC1202" s="9"/>
      <c r="AD1202" s="9"/>
      <c r="AE1202" s="9"/>
      <c r="AF1202" s="9"/>
      <c r="AG1202" s="9"/>
      <c r="AH1202" s="9"/>
      <c r="AI1202" s="9"/>
      <c r="AJ1202" s="7"/>
      <c r="AK1202" s="7"/>
      <c r="AL1202" s="7"/>
      <c r="AM1202" s="7"/>
      <c r="AN1202" s="7"/>
    </row>
    <row r="1203" spans="1:40" customFormat="1" ht="14.25" customHeight="1">
      <c r="A1203" s="147" t="s">
        <v>3630</v>
      </c>
      <c r="B1203" s="9">
        <v>10</v>
      </c>
      <c r="C1203" s="198" t="s">
        <v>5928</v>
      </c>
      <c r="D1203" s="186"/>
      <c r="E1203" s="186"/>
      <c r="F1203" s="188"/>
      <c r="G1203" s="188"/>
      <c r="H1203" s="186"/>
      <c r="I1203" s="186"/>
      <c r="J1203" s="188"/>
      <c r="K1203" s="188"/>
      <c r="L1203" s="168"/>
      <c r="M1203" s="168"/>
      <c r="N1203" s="186">
        <v>6</v>
      </c>
      <c r="O1203" s="7">
        <v>0.3</v>
      </c>
      <c r="P1203" s="9"/>
      <c r="Q1203" s="9"/>
      <c r="R1203" s="7"/>
      <c r="S1203" s="126"/>
      <c r="T1203" s="126"/>
      <c r="U1203" s="236"/>
      <c r="V1203" s="103"/>
      <c r="W1203" s="9"/>
      <c r="X1203" s="9"/>
      <c r="Y1203" s="9"/>
      <c r="Z1203" s="9"/>
      <c r="AA1203" s="126"/>
      <c r="AB1203" s="9"/>
      <c r="AC1203" s="9"/>
      <c r="AD1203" s="9"/>
      <c r="AE1203" s="9"/>
      <c r="AF1203" s="9"/>
      <c r="AG1203" s="9"/>
      <c r="AH1203" s="9"/>
      <c r="AI1203" s="9"/>
      <c r="AJ1203" s="7"/>
      <c r="AK1203" s="7"/>
      <c r="AL1203" s="7"/>
      <c r="AM1203" s="7"/>
      <c r="AN1203" s="7"/>
    </row>
    <row r="1204" spans="1:40" customFormat="1" ht="14.25" customHeight="1">
      <c r="A1204" s="147" t="s">
        <v>3639</v>
      </c>
      <c r="B1204" s="121">
        <f>9.5/6</f>
        <v>1.5833333333333333</v>
      </c>
      <c r="C1204" s="198" t="s">
        <v>5929</v>
      </c>
      <c r="D1204" s="183"/>
      <c r="E1204" s="183"/>
      <c r="F1204" s="188"/>
      <c r="G1204" s="188"/>
      <c r="H1204" s="183"/>
      <c r="I1204" s="183"/>
      <c r="J1204" s="188"/>
      <c r="K1204" s="188"/>
      <c r="L1204" s="9"/>
      <c r="M1204" s="9"/>
      <c r="N1204" s="183">
        <v>100</v>
      </c>
      <c r="O1204" s="7">
        <v>0.04</v>
      </c>
      <c r="P1204" s="9"/>
      <c r="Q1204" s="9"/>
      <c r="R1204" s="7"/>
      <c r="S1204" s="126"/>
      <c r="T1204" s="126"/>
      <c r="U1204" s="236"/>
      <c r="V1204" s="103"/>
      <c r="W1204" s="9"/>
      <c r="X1204" s="9"/>
      <c r="Y1204" s="9"/>
      <c r="Z1204" s="9"/>
      <c r="AA1204" s="126"/>
      <c r="AB1204" s="9"/>
      <c r="AC1204" s="9"/>
      <c r="AD1204" s="9"/>
      <c r="AE1204" s="9"/>
      <c r="AF1204" s="9"/>
      <c r="AG1204" s="9"/>
      <c r="AH1204" s="9"/>
      <c r="AI1204" s="9"/>
      <c r="AJ1204" s="7"/>
      <c r="AK1204" s="7"/>
      <c r="AL1204" s="7"/>
      <c r="AM1204" s="7"/>
      <c r="AN1204" s="7"/>
    </row>
    <row r="1205" spans="1:40" customFormat="1" ht="14.25" customHeight="1">
      <c r="A1205" s="103"/>
      <c r="B1205" s="9"/>
      <c r="C1205" s="7"/>
      <c r="D1205" s="183"/>
      <c r="E1205" s="183"/>
      <c r="F1205" s="188"/>
      <c r="G1205" s="188"/>
      <c r="H1205" s="183"/>
      <c r="I1205" s="183"/>
      <c r="J1205" s="188"/>
      <c r="K1205" s="188"/>
      <c r="L1205" s="9"/>
      <c r="M1205" s="9"/>
      <c r="N1205" s="183"/>
      <c r="O1205" s="7"/>
      <c r="P1205" s="9"/>
      <c r="Q1205" s="9"/>
      <c r="R1205" s="7"/>
      <c r="S1205" s="126"/>
      <c r="T1205" s="126"/>
      <c r="U1205" s="236"/>
      <c r="V1205" s="103"/>
      <c r="W1205" s="9"/>
      <c r="X1205" s="9"/>
      <c r="Y1205" s="9"/>
      <c r="Z1205" s="9"/>
      <c r="AA1205" s="126"/>
      <c r="AB1205" s="9"/>
      <c r="AC1205" s="9"/>
      <c r="AD1205" s="9"/>
      <c r="AE1205" s="9"/>
      <c r="AF1205" s="9"/>
      <c r="AG1205" s="9"/>
      <c r="AH1205" s="9"/>
      <c r="AI1205" s="9"/>
      <c r="AJ1205" s="7"/>
      <c r="AK1205" s="7"/>
      <c r="AL1205" s="7"/>
      <c r="AM1205" s="7"/>
      <c r="AN1205" s="7"/>
    </row>
  </sheetData>
  <phoneticPr fontId="59"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Normal="100" workbookViewId="0">
      <pane ySplit="2" topLeftCell="A3" activePane="bottomLeft" state="frozen"/>
      <selection pane="bottomLeft" activeCell="D26" sqref="D2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642" zoomScaleNormal="100" workbookViewId="0">
      <selection activeCell="F660" sqref="F660"/>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6358</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topLeftCell="A31" zoomScaleNormal="100" workbookViewId="0">
      <selection activeCell="G48" sqref="G48"/>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6186</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ro-cat</vt:lpstr>
      <vt:lpstr>ro-cat-list</vt:lpstr>
      <vt:lpstr>ro-pic</vt:lpstr>
      <vt:lpstr>bsku</vt:lpstr>
      <vt:lpstr>F-In</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2020-04-25T11:47:41Z</dcterms:modified>
</cp:coreProperties>
</file>