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9395" windowHeight="7170" firstSheet="7" activeTab="12"/>
  </bookViews>
  <sheets>
    <sheet name="toDo" sheetId="9" r:id="rId1"/>
    <sheet name="裝機" sheetId="8" r:id="rId2"/>
    <sheet name="售水" sheetId="7" r:id="rId3"/>
    <sheet name="街電" sheetId="5" r:id="rId4"/>
    <sheet name="售水4" sheetId="1" r:id="rId5"/>
    <sheet name="售水3" sheetId="6" r:id="rId6"/>
    <sheet name="售水2" sheetId="2" r:id="rId7"/>
    <sheet name="售水1" sheetId="3" r:id="rId8"/>
    <sheet name="售水0" sheetId="4" r:id="rId9"/>
    <sheet name="p1" sheetId="10" r:id="rId10"/>
    <sheet name="p2" sheetId="11" r:id="rId11"/>
    <sheet name="p3" sheetId="12" r:id="rId12"/>
    <sheet name="p4" sheetId="13" r:id="rId13"/>
  </sheets>
  <externalReferences>
    <externalReference r:id="rId14"/>
  </externalReferences>
  <definedNames>
    <definedName name="a">#REF!</definedName>
    <definedName name="aaaa">#REF!</definedName>
    <definedName name="aaaa4">#REF!</definedName>
    <definedName name="aaaa5">#REF!</definedName>
    <definedName name="aaaa6">#REF!</definedName>
    <definedName name="aaaa7">#REF!</definedName>
    <definedName name="aaaa8">#REF!</definedName>
    <definedName name="aaaa9">#REF!</definedName>
    <definedName name="sale_amount_by_date" localSheetId="2">#REF!</definedName>
    <definedName name="sale_amount_by_date" localSheetId="8">#REF!</definedName>
    <definedName name="sale_amount_by_date" localSheetId="7">#REF!</definedName>
    <definedName name="sale_amount_by_date" localSheetId="6">#REF!</definedName>
    <definedName name="sale_amount_by_date" localSheetId="5">#REF!</definedName>
    <definedName name="sale_amount_by_date">#REF!</definedName>
    <definedName name="sale_amount_by_date_10" localSheetId="2">#REF!</definedName>
    <definedName name="sale_amount_by_date_10" localSheetId="8">#REF!</definedName>
    <definedName name="sale_amount_by_date_10" localSheetId="7">#REF!</definedName>
    <definedName name="sale_amount_by_date_10" localSheetId="6">#REF!</definedName>
    <definedName name="sale_amount_by_date_10" localSheetId="5">#REF!</definedName>
    <definedName name="sale_amount_by_date_10">#REF!</definedName>
    <definedName name="sale_amount_by_date_3" localSheetId="2">#REF!</definedName>
    <definedName name="sale_amount_by_date_3" localSheetId="8">#REF!</definedName>
    <definedName name="sale_amount_by_date_3" localSheetId="7">#REF!</definedName>
    <definedName name="sale_amount_by_date_3" localSheetId="6">#REF!</definedName>
    <definedName name="sale_amount_by_date_3" localSheetId="5">#REF!</definedName>
    <definedName name="sale_amount_by_date_3">#REF!</definedName>
    <definedName name="sale_amount_by_date_4" localSheetId="2">#REF!</definedName>
    <definedName name="sale_amount_by_date_4" localSheetId="8">#REF!</definedName>
    <definedName name="sale_amount_by_date_4" localSheetId="7">#REF!</definedName>
    <definedName name="sale_amount_by_date_4" localSheetId="6">#REF!</definedName>
    <definedName name="sale_amount_by_date_4" localSheetId="5">#REF!</definedName>
    <definedName name="sale_amount_by_date_4">#REF!</definedName>
    <definedName name="sale_amount_by_month" localSheetId="2">#REF!</definedName>
    <definedName name="sale_amount_by_month" localSheetId="8">#REF!</definedName>
    <definedName name="sale_amount_by_month" localSheetId="7">#REF!</definedName>
    <definedName name="sale_amount_by_month" localSheetId="6">#REF!</definedName>
    <definedName name="sale_amount_by_month" localSheetId="5">#REF!</definedName>
    <definedName name="sale_amount_by_month">#REF!</definedName>
    <definedName name="sale_amount_by_month_10" localSheetId="2">#REF!</definedName>
    <definedName name="sale_amount_by_month_10" localSheetId="8">#REF!</definedName>
    <definedName name="sale_amount_by_month_10" localSheetId="7">#REF!</definedName>
    <definedName name="sale_amount_by_month_10" localSheetId="6">#REF!</definedName>
    <definedName name="sale_amount_by_month_10" localSheetId="5">#REF!</definedName>
    <definedName name="sale_amount_by_month_10">#REF!</definedName>
    <definedName name="sale_amount_by_month_3" localSheetId="2">#REF!</definedName>
    <definedName name="sale_amount_by_month_3" localSheetId="8">#REF!</definedName>
    <definedName name="sale_amount_by_month_3" localSheetId="7">#REF!</definedName>
    <definedName name="sale_amount_by_month_3" localSheetId="6">#REF!</definedName>
    <definedName name="sale_amount_by_month_3" localSheetId="5">#REF!</definedName>
    <definedName name="sale_amount_by_month_3">#REF!</definedName>
    <definedName name="sale_amount_by_month_4" localSheetId="2">#REF!</definedName>
    <definedName name="sale_amount_by_month_4" localSheetId="8">#REF!</definedName>
    <definedName name="sale_amount_by_month_4" localSheetId="7">#REF!</definedName>
    <definedName name="sale_amount_by_month_4" localSheetId="6">#REF!</definedName>
    <definedName name="sale_amount_by_month_4" localSheetId="5">#REF!</definedName>
    <definedName name="sale_amount_by_month_4">#REF!</definedName>
    <definedName name="住宿厚街汀山凱旋公寓506" comment="上午 Tokyo-&gt;HK">[1]个帐!#REF!</definedName>
  </definedNames>
  <calcPr calcId="145621"/>
</workbook>
</file>

<file path=xl/calcChain.xml><?xml version="1.0" encoding="utf-8"?>
<calcChain xmlns="http://schemas.openxmlformats.org/spreadsheetml/2006/main">
  <c r="D59" i="13" l="1"/>
  <c r="D58" i="13"/>
  <c r="D57" i="13"/>
  <c r="D56" i="13"/>
  <c r="D55" i="13"/>
  <c r="D54" i="13"/>
  <c r="D51" i="13"/>
  <c r="D50" i="13"/>
  <c r="D49" i="13"/>
  <c r="D46" i="13"/>
  <c r="D45" i="13"/>
  <c r="D44" i="13"/>
  <c r="D43" i="13"/>
  <c r="D42" i="13"/>
  <c r="D41" i="13"/>
  <c r="D40" i="13"/>
  <c r="D37" i="13"/>
  <c r="D36" i="13"/>
  <c r="D35" i="13"/>
  <c r="D34" i="13"/>
  <c r="D28" i="13"/>
  <c r="D27" i="13"/>
  <c r="D26" i="13"/>
  <c r="D25" i="13"/>
  <c r="D22" i="13"/>
  <c r="D21" i="13"/>
  <c r="D20" i="13"/>
  <c r="D19" i="13"/>
  <c r="D16" i="13"/>
  <c r="D15" i="13"/>
  <c r="D9" i="13"/>
  <c r="D10" i="13"/>
  <c r="D11" i="13"/>
  <c r="D12" i="13"/>
  <c r="D8" i="13"/>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9" i="11"/>
  <c r="D40" i="11"/>
  <c r="D41" i="11"/>
  <c r="D42" i="11"/>
  <c r="D43" i="11"/>
  <c r="D44" i="11"/>
  <c r="D45" i="11"/>
  <c r="D46" i="11"/>
  <c r="D47" i="11"/>
  <c r="D48" i="11"/>
  <c r="D49" i="11"/>
  <c r="D50" i="11"/>
  <c r="D51" i="11"/>
  <c r="D52" i="11"/>
  <c r="D53" i="11"/>
  <c r="D54" i="11"/>
  <c r="D55" i="11"/>
  <c r="D56" i="11"/>
  <c r="D57" i="11"/>
  <c r="D8" i="11"/>
  <c r="F28" i="8"/>
  <c r="H20" i="8" l="1"/>
  <c r="H19" i="8"/>
  <c r="G28" i="8" l="1"/>
  <c r="E28" i="8" l="1"/>
  <c r="K5" i="7" l="1"/>
  <c r="K6" i="7"/>
  <c r="K7" i="7"/>
  <c r="K8" i="7"/>
  <c r="K9" i="7"/>
  <c r="K10" i="7"/>
  <c r="K11" i="7"/>
  <c r="K12" i="7"/>
  <c r="K13" i="7"/>
  <c r="K4" i="7"/>
  <c r="I12" i="7"/>
  <c r="I13" i="7"/>
  <c r="I10" i="7"/>
  <c r="I8" i="7"/>
  <c r="I6" i="7"/>
  <c r="I4" i="7"/>
  <c r="I7" i="7"/>
  <c r="L2" i="8" l="1"/>
  <c r="J16" i="8" l="1"/>
  <c r="J15" i="8"/>
  <c r="J14" i="8"/>
  <c r="J13" i="8"/>
  <c r="J12" i="8"/>
  <c r="J11" i="8"/>
  <c r="O7" i="8" l="1"/>
  <c r="P7" i="8" s="1"/>
  <c r="L7" i="8"/>
  <c r="O6" i="8"/>
  <c r="P6" i="8" s="1"/>
  <c r="L6" i="8"/>
  <c r="O5" i="8"/>
  <c r="P5" i="8" s="1"/>
  <c r="L5" i="8"/>
  <c r="O4" i="8"/>
  <c r="L4" i="8"/>
  <c r="O3" i="8"/>
  <c r="L3" i="8"/>
  <c r="O2" i="8"/>
  <c r="D28" i="8" l="1"/>
  <c r="B28" i="8" l="1"/>
  <c r="C28" i="8"/>
  <c r="D29" i="8" l="1"/>
  <c r="C74" i="7"/>
  <c r="D74" i="7" s="1"/>
  <c r="C73" i="7"/>
  <c r="D73" i="7" s="1"/>
  <c r="C72" i="7"/>
  <c r="D72" i="7" s="1"/>
  <c r="D75" i="7" s="1"/>
  <c r="I69" i="7"/>
  <c r="I71" i="7" s="1"/>
  <c r="K64" i="7"/>
  <c r="L50" i="7"/>
  <c r="L49" i="7"/>
  <c r="D30" i="7"/>
  <c r="D29" i="7"/>
  <c r="K44" i="7"/>
  <c r="L44" i="7" s="1"/>
  <c r="J44" i="7"/>
  <c r="D28" i="7"/>
  <c r="K43" i="7"/>
  <c r="L43" i="7" s="1"/>
  <c r="J43" i="7"/>
  <c r="M43" i="7" s="1"/>
  <c r="D27" i="7"/>
  <c r="D26" i="7"/>
  <c r="K41" i="7"/>
  <c r="L41" i="7" s="1"/>
  <c r="J41" i="7"/>
  <c r="M41" i="7" s="1"/>
  <c r="D25" i="7"/>
  <c r="K40" i="7"/>
  <c r="L40" i="7" s="1"/>
  <c r="J40" i="7"/>
  <c r="D24" i="7"/>
  <c r="K39" i="7"/>
  <c r="L39" i="7" s="1"/>
  <c r="J39" i="7"/>
  <c r="M39" i="7" s="1"/>
  <c r="D23" i="7"/>
  <c r="K38" i="7"/>
  <c r="L38" i="7" s="1"/>
  <c r="J38" i="7"/>
  <c r="D22" i="7"/>
  <c r="K37" i="7"/>
  <c r="L37" i="7" s="1"/>
  <c r="J37" i="7"/>
  <c r="M37" i="7" s="1"/>
  <c r="D21" i="7"/>
  <c r="K36" i="7"/>
  <c r="L36" i="7" s="1"/>
  <c r="J36" i="7"/>
  <c r="D20" i="7"/>
  <c r="K35" i="7"/>
  <c r="L35" i="7" s="1"/>
  <c r="J35" i="7"/>
  <c r="M35" i="7" s="1"/>
  <c r="K34" i="7"/>
  <c r="L34" i="7" s="1"/>
  <c r="J34" i="7"/>
  <c r="D18" i="7"/>
  <c r="K33" i="7"/>
  <c r="L33" i="7" s="1"/>
  <c r="J33" i="7"/>
  <c r="D17" i="7"/>
  <c r="K32" i="7"/>
  <c r="L32" i="7" s="1"/>
  <c r="J32" i="7"/>
  <c r="D16" i="7"/>
  <c r="K31" i="7"/>
  <c r="L31" i="7" s="1"/>
  <c r="J31" i="7"/>
  <c r="D15" i="7"/>
  <c r="K30" i="7"/>
  <c r="L30" i="7" s="1"/>
  <c r="J30" i="7"/>
  <c r="D14" i="7"/>
  <c r="K29" i="7"/>
  <c r="L29" i="7" s="1"/>
  <c r="J29" i="7"/>
  <c r="D13" i="7"/>
  <c r="K28" i="7"/>
  <c r="L28" i="7" s="1"/>
  <c r="J28" i="7"/>
  <c r="M28" i="7" s="1"/>
  <c r="D12" i="7"/>
  <c r="D11" i="7"/>
  <c r="D10" i="7"/>
  <c r="D9" i="7"/>
  <c r="D8" i="7"/>
  <c r="M23" i="7"/>
  <c r="L23" i="7"/>
  <c r="D7" i="7"/>
  <c r="O22" i="7"/>
  <c r="M22" i="7"/>
  <c r="L22" i="7"/>
  <c r="D6" i="7"/>
  <c r="L21" i="7"/>
  <c r="M21" i="7" s="1"/>
  <c r="D5" i="7"/>
  <c r="D4" i="7"/>
  <c r="D3" i="7"/>
  <c r="M32" i="7" l="1"/>
  <c r="M30" i="7"/>
  <c r="M34" i="7"/>
  <c r="M36" i="7"/>
  <c r="M38" i="7"/>
  <c r="M40" i="7"/>
  <c r="M44" i="7"/>
  <c r="J69" i="7"/>
  <c r="J71" i="7" s="1"/>
  <c r="D31" i="7"/>
  <c r="D19" i="7"/>
  <c r="D76" i="7"/>
  <c r="K69" i="7" s="1"/>
  <c r="M29" i="7"/>
  <c r="M31" i="7"/>
  <c r="M33" i="7"/>
  <c r="I70" i="7"/>
  <c r="J70" i="7"/>
  <c r="D26" i="1"/>
  <c r="D2" i="7" l="1"/>
  <c r="K71" i="7"/>
  <c r="K70" i="7"/>
  <c r="L69" i="7"/>
  <c r="C78" i="6"/>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L71" i="7" l="1"/>
  <c r="L70" i="7"/>
  <c r="J55" i="6"/>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B3" authorId="0">
      <text>
        <r>
          <rPr>
            <b/>
            <sz val="9"/>
            <color indexed="81"/>
            <rFont val="Tahoma"/>
            <charset val="1"/>
          </rPr>
          <t>11/11 朱小姐
11/11 1號先生
11/11 房東老鄉
11/12 1號太太
11/15 微商未領已回老家</t>
        </r>
      </text>
    </comment>
    <comment ref="I4" authorId="0">
      <text>
        <r>
          <rPr>
            <b/>
            <sz val="9"/>
            <color indexed="81"/>
            <rFont val="Tahoma"/>
            <charset val="1"/>
          </rPr>
          <t>20171213
廣2-&gt;廣4</t>
        </r>
      </text>
    </comment>
    <comment ref="D17" authorId="0">
      <text>
        <r>
          <rPr>
            <b/>
            <sz val="9"/>
            <color indexed="81"/>
            <rFont val="Tahoma"/>
            <charset val="1"/>
          </rPr>
          <t>樹田1-16</t>
        </r>
      </text>
    </comment>
    <comment ref="D18" authorId="0">
      <text>
        <r>
          <rPr>
            <b/>
            <sz val="9"/>
            <color indexed="81"/>
            <rFont val="Tahoma"/>
            <family val="2"/>
          </rPr>
          <t>樹田17-53</t>
        </r>
      </text>
    </comment>
    <comment ref="D19" authorId="0">
      <text>
        <r>
          <rPr>
            <b/>
            <sz val="9"/>
            <color indexed="81"/>
            <rFont val="Tahoma"/>
            <family val="2"/>
          </rPr>
          <t>樹田54-60</t>
        </r>
      </text>
    </comment>
    <comment ref="D20" authorId="0">
      <text>
        <r>
          <rPr>
            <b/>
            <sz val="9"/>
            <color indexed="81"/>
            <rFont val="Tahoma"/>
            <family val="2"/>
          </rPr>
          <t>樹田61-63</t>
        </r>
      </text>
    </comment>
    <comment ref="E20" authorId="0">
      <text>
        <r>
          <rPr>
            <b/>
            <sz val="9"/>
            <color indexed="81"/>
            <rFont val="Tahoma"/>
            <charset val="1"/>
          </rPr>
          <t>樹田4-1
樹田35-1</t>
        </r>
      </text>
    </comment>
    <comment ref="E21" authorId="0">
      <text>
        <r>
          <rPr>
            <b/>
            <sz val="9"/>
            <color indexed="81"/>
            <rFont val="Tahoma"/>
            <charset val="1"/>
          </rPr>
          <t>樹田38-1
樹田4-2</t>
        </r>
      </text>
    </comment>
    <comment ref="E22" authorId="0">
      <text>
        <r>
          <rPr>
            <b/>
            <sz val="9"/>
            <color indexed="81"/>
            <rFont val="Tahoma"/>
            <charset val="1"/>
          </rPr>
          <t>樹田5-1
樹田54-1
樹田30-1
樹田34-1
樹田46-1</t>
        </r>
      </text>
    </comment>
    <comment ref="E23" authorId="0">
      <text>
        <r>
          <rPr>
            <b/>
            <sz val="9"/>
            <color indexed="81"/>
            <rFont val="Tahoma"/>
            <charset val="1"/>
          </rPr>
          <t>樹田62-1
樹田26-1</t>
        </r>
      </text>
    </comment>
    <comment ref="G23" authorId="0">
      <text>
        <r>
          <rPr>
            <b/>
            <sz val="9"/>
            <color indexed="81"/>
            <rFont val="Tahoma"/>
            <charset val="1"/>
          </rPr>
          <t>樹田4(2次)
樹田34(1次)
樹田5(1次)</t>
        </r>
      </text>
    </comment>
    <comment ref="E24" authorId="0">
      <text>
        <r>
          <rPr>
            <b/>
            <sz val="9"/>
            <color indexed="81"/>
            <rFont val="Tahoma"/>
            <charset val="1"/>
          </rPr>
          <t>樹田34-2(5元包)</t>
        </r>
        <r>
          <rPr>
            <sz val="9"/>
            <color indexed="81"/>
            <rFont val="Tahoma"/>
            <charset val="1"/>
          </rPr>
          <t xml:space="preserve">
</t>
        </r>
      </text>
    </comment>
    <comment ref="E25" authorId="0">
      <text>
        <r>
          <rPr>
            <b/>
            <sz val="9"/>
            <color indexed="81"/>
            <rFont val="Tahoma"/>
            <charset val="1"/>
          </rPr>
          <t>樹田4-3(5元包)
樹田35-2(5元包)
樹田30-2(5元包)
樹田22-1(5元包)
樹田19-1(5元包)</t>
        </r>
      </text>
    </comment>
    <comment ref="G25" authorId="0">
      <text>
        <r>
          <rPr>
            <b/>
            <sz val="9"/>
            <color indexed="81"/>
            <rFont val="Tahoma"/>
            <charset val="1"/>
          </rPr>
          <t>樹田35(2次)
樹田30(2次)
樹田22(1次)
樹田19(1次)</t>
        </r>
      </text>
    </comment>
    <comment ref="E26" authorId="0">
      <text>
        <r>
          <rPr>
            <b/>
            <sz val="9"/>
            <color indexed="81"/>
            <rFont val="Tahoma"/>
            <charset val="1"/>
          </rPr>
          <t>樹田62-2(5元包)
樹田54-2
樹田5-2(5元包)</t>
        </r>
      </text>
    </comment>
    <comment ref="G26" authorId="0">
      <text>
        <r>
          <rPr>
            <b/>
            <sz val="9"/>
            <color indexed="81"/>
            <rFont val="Tahoma"/>
            <charset val="1"/>
          </rPr>
          <t xml:space="preserve">樹田62(2次)
</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<sst xmlns="http://schemas.openxmlformats.org/spreadsheetml/2006/main" count="1046" uniqueCount="565">
  <si>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</si>
  <si>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</si>
  <si>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</si>
  <si>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</si>
  <si>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</si>
  <si>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</si>
  <si>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</si>
  <si>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</si>
  <si>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</si>
  <si>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</si>
  <si>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</si>
  <si>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</si>
  <si>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</si>
  <si>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</si>
  <si>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</si>
  <si>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</si>
  <si>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</si>
  <si>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</si>
  <si>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</si>
  <si>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</si>
  <si>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</si>
  <si>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</si>
  <si>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</si>
  <si>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</si>
  <si>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</si>
  <si>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</si>
  <si>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</si>
  <si>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</si>
  <si>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</si>
  <si>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</si>
  <si>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</si>
  <si>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</si>
  <si>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</si>
  <si>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</si>
  <si>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</si>
  <si>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</si>
  <si>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</si>
  <si>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</si>
  <si>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</si>
  <si>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</si>
  <si>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</si>
  <si>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</si>
  <si>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</si>
  <si>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</si>
  <si>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</si>
  <si>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</si>
  <si>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</si>
  <si>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</si>
  <si>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</si>
  <si>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</si>
  <si>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</si>
  <si>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</si>
  <si>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</si>
  <si>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</si>
  <si>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</si>
  <si>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</si>
  <si>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</si>
  <si>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</si>
  <si>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</si>
  <si>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</si>
  <si>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</si>
  <si>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</si>
  <si>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</si>
  <si>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</si>
  <si>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</si>
  <si>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</si>
  <si>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</si>
  <si>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</si>
  <si>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</si>
  <si>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</si>
  <si>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</si>
  <si>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</si>
  <si>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</si>
  <si>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</si>
  <si>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</si>
  <si>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</si>
  <si>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</si>
  <si>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</si>
  <si>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</si>
  <si>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</si>
  <si>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</si>
  <si>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</si>
  <si>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</si>
  <si>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</si>
  <si>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</si>
  <si>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</si>
  <si>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</si>
  <si>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</si>
  <si>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</si>
  <si>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</si>
  <si>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</si>
  <si>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</si>
  <si>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</si>
  <si>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</si>
  <si>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</si>
  <si>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</si>
  <si>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</si>
  <si>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</si>
  <si>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</si>
  <si>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</si>
  <si>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</si>
  <si>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</si>
  <si>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</si>
  <si>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</si>
  <si>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</si>
  <si>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</si>
  <si>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</si>
  <si>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</si>
  <si>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</si>
  <si>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</si>
  <si>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</si>
  <si>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</si>
  <si>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</si>
  <si>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</si>
  <si>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</si>
  <si>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</si>
  <si>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</si>
  <si>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</si>
  <si>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</si>
  <si>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</si>
  <si>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</si>
  <si>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</si>
  <si>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</si>
  <si>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</si>
  <si>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</si>
  <si>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</si>
  <si>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</si>
  <si>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</si>
  <si>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</si>
  <si>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</si>
  <si>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</si>
  <si>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</si>
  <si>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</si>
  <si>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</si>
  <si>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</si>
  <si>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</si>
  <si>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</si>
  <si>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</si>
  <si>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</si>
  <si>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</si>
  <si>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</si>
  <si>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</si>
  <si>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</si>
  <si>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</si>
  <si>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</si>
  <si>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</si>
  <si>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</si>
  <si>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</si>
  <si>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</si>
  <si>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</si>
  <si>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</si>
  <si>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</si>
  <si>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</si>
  <si>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</si>
  <si>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</si>
  <si>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</si>
  <si>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</si>
  <si>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</si>
  <si>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</si>
  <si>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</si>
  <si>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</si>
  <si>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</si>
  <si>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</si>
  <si>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</si>
  <si>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</si>
  <si>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</si>
  <si>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</si>
  <si>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</si>
  <si>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</si>
  <si>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</si>
  <si>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</si>
  <si>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</si>
  <si>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</si>
  <si>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</si>
  <si>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</si>
  <si>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</si>
  <si>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</si>
  <si>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</si>
  <si>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</si>
  <si>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</si>
  <si>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</si>
  <si>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</si>
  <si>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</si>
  <si>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</si>
  <si>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</si>
  <si>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</si>
  <si>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</si>
  <si>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</si>
  <si>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</si>
  <si>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</si>
  <si>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</si>
  <si>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</si>
  <si>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</si>
  <si>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</si>
  <si>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</si>
  <si>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</si>
  <si>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</si>
  <si>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</si>
  <si>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</si>
  <si>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</si>
  <si>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</si>
  <si>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</si>
  <si>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</si>
  <si>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</si>
  <si>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</si>
  <si>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</si>
  <si>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</si>
  <si>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</si>
  <si>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</si>
  <si>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</si>
  <si>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</si>
  <si>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</si>
  <si>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</si>
  <si>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</si>
  <si>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</si>
  <si>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</si>
  <si>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</si>
  <si>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</si>
  <si>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</si>
  <si>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</si>
  <si>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</si>
  <si>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</si>
  <si>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</si>
  <si>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</si>
  <si>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</si>
  <si>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</si>
  <si>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</si>
  <si>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</si>
  <si>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</si>
  <si>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</si>
  <si>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</si>
  <si>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</si>
  <si>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</si>
  <si>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</si>
  <si>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</si>
  <si>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</si>
  <si>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</si>
  <si>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</si>
  <si>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</si>
  <si>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</si>
  <si>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</si>
  <si>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</si>
  <si>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</si>
  <si>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</si>
  <si>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</si>
  <si>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</si>
  <si>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</si>
  <si>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</si>
  <si>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</si>
  <si>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</si>
  <si>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</si>
  <si>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</si>
  <si>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</si>
  <si>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</si>
  <si>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</si>
  <si>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</si>
  <si>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</si>
  <si>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</si>
  <si>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</si>
  <si>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</si>
  <si>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</si>
  <si>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</si>
  <si>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</si>
  <si>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</si>
  <si>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</si>
  <si>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</si>
  <si>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</si>
  <si>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</si>
  <si>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</si>
  <si>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</si>
  <si>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</si>
  <si>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</si>
  <si>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</si>
  <si>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</si>
  <si>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</si>
  <si>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</si>
  <si>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</si>
  <si>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</si>
  <si>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</si>
  <si>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</si>
  <si>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</si>
  <si>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</si>
  <si>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</si>
  <si>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</si>
  <si>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</si>
  <si>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</si>
  <si>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</si>
  <si>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</si>
  <si>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</si>
  <si>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</si>
  <si>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</si>
  <si>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</si>
  <si>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</si>
  <si>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</si>
  <si>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</si>
  <si>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</si>
  <si>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</si>
  <si>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</si>
  <si>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</si>
  <si>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</si>
  <si>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</si>
  <si>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</si>
  <si>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</si>
  <si>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</si>
  <si>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</si>
  <si>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</si>
  <si>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</si>
  <si>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</si>
  <si>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</si>
  <si>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</si>
  <si>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</si>
  <si>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</si>
  <si>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</si>
  <si>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</si>
  <si>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</si>
  <si>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</si>
  <si>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</si>
  <si>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</si>
  <si>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</si>
  <si>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</si>
  <si>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</si>
  <si>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</si>
  <si>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</si>
  <si>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</si>
  <si>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</si>
  <si>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</si>
  <si>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</si>
  <si>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</si>
  <si>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</si>
  <si>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</si>
  <si>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</si>
  <si>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</si>
  <si>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</si>
  <si>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</si>
  <si>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</si>
  <si>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</si>
  <si>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</si>
  <si>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</si>
  <si>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</si>
  <si>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</si>
  <si>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</si>
  <si>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</si>
  <si>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</si>
  <si>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</si>
  <si>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</si>
  <si>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</si>
  <si>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</si>
  <si>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</si>
  <si>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</si>
  <si>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</si>
  <si>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</si>
  <si>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</si>
  <si>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</si>
  <si>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</si>
  <si>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</si>
  <si>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</si>
  <si>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</si>
  <si>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</si>
  <si>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</si>
  <si>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</si>
  <si>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</si>
  <si>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</si>
  <si>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</si>
  <si>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</si>
  <si>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</si>
  <si>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烏沙1號</t>
  </si>
  <si>
    <t>廈崗2號</t>
  </si>
  <si>
    <t>二維碼</t>
  </si>
  <si>
    <t>廣告編號</t>
  </si>
  <si>
    <t>機器編號</t>
  </si>
  <si>
    <t>樹田3號</t>
  </si>
  <si>
    <t>高60*厚16*寬39.5CM</t>
  </si>
  <si>
    <t>9971131759413</t>
  </si>
  <si>
    <t>9971131760004</t>
  </si>
  <si>
    <t>9971131760005</t>
  </si>
  <si>
    <t>升</t>
  </si>
  <si>
    <t>折扣</t>
  </si>
  <si>
    <t>每大桶</t>
  </si>
  <si>
    <t>進水流量計不動+沒TDS針+90G太小</t>
  </si>
  <si>
    <t>待裝機</t>
  </si>
  <si>
    <t>機3待改</t>
  </si>
  <si>
    <t>D1待改</t>
  </si>
  <si>
    <t>待進貨</t>
  </si>
  <si>
    <t>已下單</t>
  </si>
  <si>
    <t>外水箱</t>
  </si>
  <si>
    <t>盒中袋+浮球盒+4分閥</t>
  </si>
  <si>
    <t>蘇州KO</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</si>
  <si>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</si>
  <si>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</si>
  <si>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</si>
  <si>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</si>
  <si>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</si>
  <si>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寶塔接头(4分內牙轉20mm)</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</si>
  <si>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</si>
  <si>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</si>
  <si>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</si>
  <si>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</si>
  <si>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</si>
  <si>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</si>
  <si>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</si>
  <si>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</si>
  <si>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</si>
  <si>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</si>
  <si>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</si>
  <si>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</si>
  <si>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</si>
  <si>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</si>
  <si>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</si>
  <si>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</si>
  <si>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</si>
  <si>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</si>
  <si>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烏沙2市場.石排,鳳崗,犬眠嶺,惠州,商品城,蔡住家特產店,常平叔餐廳,藥房介紹</t>
  </si>
  <si>
    <t>開機帶TDS</t>
  </si>
  <si>
    <t>杯,桶,閥,流量計,TDS針,寶塔,水管,墊圈,接頭,RO膜,D1</t>
  </si>
  <si>
    <t>杯,桶,閥,流量計,TDS針,寶塔,水管,墊圈,接頭</t>
  </si>
  <si>
    <t>待解決</t>
  </si>
  <si>
    <t>bb中斷,新流量卡,外水箱機種</t>
  </si>
  <si>
    <t>5元包</t>
  </si>
  <si>
    <t>机器尺寸： 高60*厚16*寬39.5CM</t>
  </si>
  <si>
    <t>5L:58*52*50（200个装箱）  10L:58*52*50（150个装箱）</t>
  </si>
  <si>
    <t>3號回頭</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</si>
  <si>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</si>
  <si>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</si>
  <si>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</si>
  <si>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</si>
  <si>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</si>
  <si>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</si>
  <si>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</si>
  <si>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</si>
  <si>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</si>
  <si>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</si>
  <si>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</si>
  <si>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</si>
  <si>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</si>
  <si>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</si>
  <si>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</si>
  <si>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</si>
  <si>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</si>
  <si>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去重</t>
  </si>
  <si>
    <t>PW TEC CORP</t>
  </si>
  <si>
    <t>Profit &amp; loss</t>
  </si>
  <si>
    <t>January through august 2016</t>
  </si>
  <si>
    <t>jan-aug 16</t>
  </si>
  <si>
    <t>Ordinary income/expense</t>
  </si>
  <si>
    <t>Income</t>
  </si>
  <si>
    <t>Merchandise sales</t>
  </si>
  <si>
    <t>Merchanise sales- merchant</t>
  </si>
  <si>
    <t>Total merchandise sales</t>
  </si>
  <si>
    <t>Total income</t>
  </si>
  <si>
    <t>Cost of goods sold</t>
  </si>
  <si>
    <t>Beginning inventory</t>
  </si>
  <si>
    <t>Freight in</t>
  </si>
  <si>
    <t>Purchase</t>
  </si>
  <si>
    <t>Gross profit</t>
  </si>
  <si>
    <t>Expense</t>
  </si>
  <si>
    <t>Accounting fee</t>
  </si>
  <si>
    <t>Automobile expense</t>
  </si>
  <si>
    <t>Bank service charges</t>
  </si>
  <si>
    <t>Business licenses and permits</t>
  </si>
  <si>
    <t>Depreciation expense</t>
  </si>
  <si>
    <t>Freight out</t>
  </si>
  <si>
    <t>Interest expense</t>
  </si>
  <si>
    <t>Merchant account fee</t>
  </si>
  <si>
    <t>Merchant account fee- merchant</t>
  </si>
  <si>
    <t>Merchant account fees-paypal</t>
  </si>
  <si>
    <t>Total merchant account fee</t>
  </si>
  <si>
    <t>Office supplies</t>
  </si>
  <si>
    <t>Rent for stora</t>
  </si>
  <si>
    <t>Salaries &amp; wages</t>
  </si>
  <si>
    <t>Total expense</t>
  </si>
  <si>
    <t>Net ordinary income</t>
  </si>
  <si>
    <t>Other income/expense</t>
  </si>
  <si>
    <t>Other income</t>
  </si>
  <si>
    <t>Interest income</t>
  </si>
  <si>
    <t>Total other income</t>
  </si>
  <si>
    <t>Net other income</t>
  </si>
  <si>
    <t>Net income</t>
  </si>
  <si>
    <t>January through december 2015</t>
  </si>
  <si>
    <t>Jan.dec 15</t>
  </si>
  <si>
    <t>Meals and entertainment</t>
  </si>
  <si>
    <t>Rent for storage</t>
  </si>
  <si>
    <t>Salaries&amp; wages</t>
  </si>
  <si>
    <t>Tax- state income tax</t>
  </si>
  <si>
    <t>Other income/exponso</t>
  </si>
  <si>
    <t>Balance sheet</t>
  </si>
  <si>
    <t>As of august 31, 2016</t>
  </si>
  <si>
    <t>Aug31,16</t>
  </si>
  <si>
    <t>ASSETS</t>
  </si>
  <si>
    <t>Current assets</t>
  </si>
  <si>
    <t>Checkingsavings</t>
  </si>
  <si>
    <t>Chase checking-1446</t>
  </si>
  <si>
    <t>Paypal</t>
  </si>
  <si>
    <t>Total checkingsavings</t>
  </si>
  <si>
    <t>Accounts receivable</t>
  </si>
  <si>
    <t>Total accounts receivable</t>
  </si>
  <si>
    <t>Other current assets</t>
  </si>
  <si>
    <t>Inventory asset</t>
  </si>
  <si>
    <t>Prepayment</t>
  </si>
  <si>
    <t>Total other current assets</t>
  </si>
  <si>
    <t>Total current assets</t>
  </si>
  <si>
    <t>Fixed assets</t>
  </si>
  <si>
    <t>Accumulated depreciation</t>
  </si>
  <si>
    <t>Computers &amp; peripherals</t>
  </si>
  <si>
    <t>Total fixed assets</t>
  </si>
  <si>
    <t>TOTAL ASSETS</t>
  </si>
  <si>
    <t>liabilities &amp; equity</t>
  </si>
  <si>
    <t>Liabilities</t>
  </si>
  <si>
    <t>Current liabilities</t>
  </si>
  <si>
    <t>Credit cards</t>
  </si>
  <si>
    <t>Wells fargo credit-475</t>
  </si>
  <si>
    <t>Total credit cards</t>
  </si>
  <si>
    <t>Other current liabilities</t>
  </si>
  <si>
    <t>Accrued salareis &amp; wages</t>
  </si>
  <si>
    <t>Federal/ w/ payable</t>
  </si>
  <si>
    <t>Interest expense payable</t>
  </si>
  <si>
    <t>Sales tax payable</t>
  </si>
  <si>
    <t>State/ w/ payable</t>
  </si>
  <si>
    <t>Total other current liabilities</t>
  </si>
  <si>
    <t>Total current liabilities</t>
  </si>
  <si>
    <t>Total liabilit</t>
  </si>
  <si>
    <t>Capital stock</t>
  </si>
  <si>
    <t>Retained earnings</t>
  </si>
  <si>
    <t>Shareholder distributions</t>
  </si>
  <si>
    <t>TOTAL LIABILITIES &amp; EQUITY</t>
  </si>
  <si>
    <t>As of december 31. 2015</t>
  </si>
  <si>
    <t>Wells fargo checking-5555</t>
  </si>
  <si>
    <t>Wells fargo saving-0515</t>
  </si>
  <si>
    <t>Chase credit card-6353. 9736</t>
  </si>
  <si>
    <t>Wells fargo credit-4747</t>
  </si>
  <si>
    <t>Wells fargo credit-4754</t>
  </si>
  <si>
    <t>Long term liabilities</t>
  </si>
  <si>
    <t>Loan from shareholders</t>
  </si>
  <si>
    <t>Total long term liabilities</t>
  </si>
  <si>
    <t>Total liabilities</t>
  </si>
  <si>
    <t>Equity</t>
  </si>
  <si>
    <t>Total equity</t>
  </si>
  <si>
    <t>TOTAL LIABILITIES &amp;EQUITY</t>
  </si>
  <si>
    <t>Merchandise sals - Amazon</t>
  </si>
  <si>
    <t>Merchanise sales - Merchant</t>
  </si>
  <si>
    <t>Mechanise sales - Paypal</t>
  </si>
  <si>
    <t>Sales return &amp; allowance - Amaz</t>
  </si>
  <si>
    <t>Sales return &amp; allowance - Merc</t>
  </si>
  <si>
    <t>Sales return &amp; allowance - Payp</t>
  </si>
  <si>
    <t>Merchandise sales - Other</t>
  </si>
  <si>
    <t>Other income - cash back</t>
  </si>
  <si>
    <t>Ending inventory</t>
  </si>
  <si>
    <t>Total COGS</t>
  </si>
  <si>
    <t>Tax - payroll</t>
  </si>
  <si>
    <t>Tax - sales</t>
  </si>
  <si>
    <t>Tax - state income tax</t>
  </si>
  <si>
    <t>Jan-Dec14</t>
  </si>
  <si>
    <t>$ change</t>
  </si>
  <si>
    <t>Mechanise sales - Google</t>
  </si>
  <si>
    <t>Merchandise sales - other</t>
  </si>
  <si>
    <t>Fulfilled selling fees - Amazon</t>
  </si>
  <si>
    <t>Merchant account fee - Amazon</t>
  </si>
  <si>
    <t>Merchant account fee - Merchant</t>
  </si>
  <si>
    <t>Merchant account fees - Paypal</t>
  </si>
  <si>
    <t>Tax - Sales</t>
  </si>
  <si>
    <t>Total equty</t>
  </si>
  <si>
    <t xml:space="preserve">Dec 31, 15 </t>
  </si>
  <si>
    <t>dec 31, 14</t>
  </si>
  <si>
    <t>Checking/savings</t>
  </si>
  <si>
    <t>Liabilities &amp; equity</t>
  </si>
  <si>
    <t>Federal/FICA w/h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</si>
</sst>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b/>
      <sz val="9"/>
      <color indexed="81"/>
      <name val="Tahoma"/>
      <charset val="1"/>
    </font>
    <font>
      <sz val="10"/>
      <name val="Geneva"/>
      <family val="2"/>
    </font>
    <font>
      <sz val="9"/>
      <color indexed="81"/>
      <name val="Tahoma"/>
      <charset val="1"/>
    </font>
  </fonts>
  <fills count="31">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7" fillId="0" borderId="0"/>
  </cellStyleXfs>
  <cellXfs count="62">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alignment horizontal="left"/>
    </xf>
    <xf numFmtId="0" fontId="0" fillId="0" borderId="0" xfId="0" applyAlignment="1"/>
    <xf numFmtId="4" fontId="0" fillId="0" borderId="0" xfId="0" applyNumberFormat="1"/>
    <xf numFmtId="3" fontId="0" fillId="0" borderId="0" xfId="0" applyNumberFormat="1"/>
    <xf numFmtId="43" fontId="0" fillId="0" borderId="0" xfId="1" applyFont="1" applyAlignment="1"/>
    <xf numFmtId="2" fontId="0" fillId="0" borderId="0" xfId="1" applyNumberFormat="1" applyFont="1" applyAlignment="1"/>
    <xf numFmtId="2" fontId="0" fillId="0" borderId="0" xfId="1" applyNumberFormat="1" applyFont="1"/>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Old-Data\vv\Cash\cash-17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个帐"/>
      <sheetName val="公帐"/>
      <sheetName val="yy"/>
      <sheetName val="宝sd"/>
      <sheetName val="南粵"/>
      <sheetName val="交"/>
      <sheetName val="交sd"/>
      <sheetName val="卡sd"/>
      <sheetName val="PT"/>
      <sheetName val="BP"/>
      <sheetName val="dv"/>
      <sheetName val="sd"/>
      <sheetName val="資產"/>
      <sheetName val="兴"/>
      <sheetName val="招sd"/>
      <sheetName val="招"/>
      <sheetName val="邱"/>
      <sheetName val="意宇"/>
      <sheetName val="个2"/>
      <sheetName val="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I5" sqref="I5"/>
    </sheetView>
  </sheetViews>
  <sheetFormatPr defaultRowHeight="16.5"/>
  <cols>
    <col min="1" max="16384" width="9" style="51"/>
  </cols>
  <sheetData>
    <row r="1" spans="1:2">
      <c r="A1" s="51" t="s">
        <v>380</v>
      </c>
      <c r="B1" s="51" t="s">
        <v>378</v>
      </c>
    </row>
    <row r="2" spans="1:2">
      <c r="A2" s="51" t="s">
        <v>381</v>
      </c>
      <c r="B2" s="51" t="s">
        <v>412</v>
      </c>
    </row>
    <row r="3" spans="1:2">
      <c r="A3" s="51" t="s">
        <v>379</v>
      </c>
      <c r="B3" s="51" t="s">
        <v>411</v>
      </c>
    </row>
    <row r="5" spans="1:2">
      <c r="A5" s="51" t="s">
        <v>415</v>
      </c>
      <c r="B5" s="51" t="s">
        <v>416</v>
      </c>
    </row>
    <row r="6" spans="1:2">
      <c r="A6" s="51" t="s">
        <v>384</v>
      </c>
      <c r="B6" s="51" t="s">
        <v>385</v>
      </c>
    </row>
    <row r="8" spans="1:2">
      <c r="A8" s="51" t="s">
        <v>382</v>
      </c>
      <c r="B8" s="51" t="s">
        <v>413</v>
      </c>
    </row>
    <row r="9" spans="1:2">
      <c r="A9" s="51" t="s">
        <v>383</v>
      </c>
      <c r="B9" s="51" t="s">
        <v>414</v>
      </c>
    </row>
    <row r="11" spans="1:2">
      <c r="A11" s="51" t="s">
        <v>386</v>
      </c>
      <c r="B11" s="51" t="s">
        <v>393</v>
      </c>
    </row>
    <row r="15" spans="1:2">
      <c r="A15" t="s">
        <v>394</v>
      </c>
    </row>
    <row r="16" spans="1:2">
      <c r="A16" t="s">
        <v>395</v>
      </c>
    </row>
    <row r="17" spans="1:1">
      <c r="A17" t="s">
        <v>396</v>
      </c>
    </row>
    <row r="18" spans="1:1">
      <c r="A18" t="s">
        <v>388</v>
      </c>
    </row>
    <row r="19" spans="1:1">
      <c r="A19" t="s">
        <v>389</v>
      </c>
    </row>
    <row r="20" spans="1:1">
      <c r="A20" t="s">
        <v>391</v>
      </c>
    </row>
    <row r="21" spans="1:1">
      <c r="A21" t="s">
        <v>390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workbookViewId="0">
      <selection activeCell="A56" sqref="A56:XFD68"/>
    </sheetView>
  </sheetViews>
  <sheetFormatPr defaultRowHeight="14.25"/>
  <cols>
    <col min="1" max="1" width="34.625" bestFit="1" customWidth="1"/>
    <col min="2" max="2" width="16" style="59" bestFit="1" customWidth="1"/>
    <col min="3" max="3" width="10.875" bestFit="1" customWidth="1"/>
  </cols>
  <sheetData>
    <row r="1" spans="1:2">
      <c r="A1" t="s">
        <v>439</v>
      </c>
    </row>
    <row r="2" spans="1:2">
      <c r="A2" t="s">
        <v>440</v>
      </c>
    </row>
    <row r="3" spans="1:2">
      <c r="A3" t="s">
        <v>441</v>
      </c>
    </row>
    <row r="5" spans="1:2">
      <c r="A5" t="s">
        <v>442</v>
      </c>
    </row>
    <row r="6" spans="1:2">
      <c r="A6" t="s">
        <v>443</v>
      </c>
    </row>
    <row r="7" spans="1:2">
      <c r="A7" t="s">
        <v>444</v>
      </c>
    </row>
    <row r="8" spans="1:2">
      <c r="A8" t="s">
        <v>445</v>
      </c>
    </row>
    <row r="9" spans="1:2">
      <c r="A9" t="s">
        <v>537</v>
      </c>
      <c r="B9" s="59">
        <v>169131.82</v>
      </c>
    </row>
    <row r="10" spans="1:2">
      <c r="A10" t="s">
        <v>538</v>
      </c>
      <c r="B10" s="59">
        <v>138459.03</v>
      </c>
    </row>
    <row r="11" spans="1:2">
      <c r="A11" t="s">
        <v>539</v>
      </c>
      <c r="B11" s="59">
        <v>102154.26</v>
      </c>
    </row>
    <row r="12" spans="1:2">
      <c r="A12" t="s">
        <v>540</v>
      </c>
      <c r="B12" s="59">
        <v>-1258</v>
      </c>
    </row>
    <row r="13" spans="1:2">
      <c r="A13" t="s">
        <v>541</v>
      </c>
      <c r="B13" s="59">
        <v>-106.87</v>
      </c>
    </row>
    <row r="14" spans="1:2">
      <c r="A14" t="s">
        <v>542</v>
      </c>
      <c r="B14" s="59">
        <v>-162.37</v>
      </c>
    </row>
    <row r="15" spans="1:2">
      <c r="A15" t="s">
        <v>543</v>
      </c>
      <c r="B15" s="59">
        <v>918.36</v>
      </c>
    </row>
    <row r="16" spans="1:2">
      <c r="A16" t="s">
        <v>447</v>
      </c>
      <c r="B16" s="59">
        <v>409136.23</v>
      </c>
    </row>
    <row r="17" spans="1:2">
      <c r="A17" t="s">
        <v>544</v>
      </c>
      <c r="B17" s="59">
        <v>0</v>
      </c>
    </row>
    <row r="18" spans="1:2">
      <c r="A18" t="s">
        <v>448</v>
      </c>
      <c r="B18" s="59">
        <v>409136.23</v>
      </c>
    </row>
    <row r="20" spans="1:2">
      <c r="A20" t="s">
        <v>449</v>
      </c>
    </row>
    <row r="21" spans="1:2">
      <c r="A21" t="s">
        <v>450</v>
      </c>
      <c r="B21" s="59">
        <v>38281.82</v>
      </c>
    </row>
    <row r="22" spans="1:2">
      <c r="A22" t="s">
        <v>451</v>
      </c>
      <c r="B22" s="59">
        <v>3382.82</v>
      </c>
    </row>
    <row r="23" spans="1:2">
      <c r="A23" t="s">
        <v>452</v>
      </c>
      <c r="B23" s="59">
        <v>280281.43</v>
      </c>
    </row>
    <row r="24" spans="1:2">
      <c r="A24" t="s">
        <v>545</v>
      </c>
      <c r="B24" s="59">
        <v>-40464.01</v>
      </c>
    </row>
    <row r="25" spans="1:2">
      <c r="A25" t="s">
        <v>546</v>
      </c>
      <c r="B25" s="59">
        <v>281482.06</v>
      </c>
    </row>
    <row r="26" spans="1:2">
      <c r="A26" t="s">
        <v>453</v>
      </c>
      <c r="B26" s="59">
        <v>127654.17</v>
      </c>
    </row>
    <row r="28" spans="1:2">
      <c r="A28" t="s">
        <v>454</v>
      </c>
    </row>
    <row r="29" spans="1:2">
      <c r="A29" t="s">
        <v>455</v>
      </c>
      <c r="B29" s="59">
        <v>2260</v>
      </c>
    </row>
    <row r="30" spans="1:2">
      <c r="A30" t="s">
        <v>456</v>
      </c>
      <c r="B30" s="59">
        <v>1983.6</v>
      </c>
    </row>
    <row r="31" spans="1:2">
      <c r="A31" t="s">
        <v>457</v>
      </c>
      <c r="B31" s="59">
        <v>126</v>
      </c>
    </row>
    <row r="32" spans="1:2">
      <c r="A32" t="s">
        <v>458</v>
      </c>
      <c r="B32" s="59">
        <v>25</v>
      </c>
    </row>
    <row r="33" spans="1:3">
      <c r="A33" t="s">
        <v>459</v>
      </c>
      <c r="B33" s="60">
        <v>0</v>
      </c>
    </row>
    <row r="34" spans="1:3">
      <c r="A34" t="s">
        <v>460</v>
      </c>
      <c r="B34" s="59">
        <v>18291.349999999999</v>
      </c>
    </row>
    <row r="35" spans="1:3">
      <c r="A35" t="s">
        <v>461</v>
      </c>
      <c r="B35" s="59">
        <v>71.290000000000006</v>
      </c>
    </row>
    <row r="36" spans="1:3">
      <c r="A36" t="s">
        <v>462</v>
      </c>
    </row>
    <row r="37" spans="1:3">
      <c r="A37" t="s">
        <v>463</v>
      </c>
      <c r="C37" s="59">
        <v>2103.19</v>
      </c>
    </row>
    <row r="38" spans="1:3">
      <c r="A38" t="s">
        <v>464</v>
      </c>
      <c r="C38" s="60">
        <v>0</v>
      </c>
    </row>
    <row r="39" spans="1:3">
      <c r="A39" t="s">
        <v>465</v>
      </c>
      <c r="B39" s="59">
        <v>2103.19</v>
      </c>
    </row>
    <row r="40" spans="1:3">
      <c r="A40" t="s">
        <v>466</v>
      </c>
      <c r="B40" s="59">
        <v>116.82</v>
      </c>
    </row>
    <row r="41" spans="1:3">
      <c r="A41" t="s">
        <v>467</v>
      </c>
      <c r="B41" s="59">
        <v>1275.67</v>
      </c>
    </row>
    <row r="42" spans="1:3">
      <c r="A42" t="s">
        <v>468</v>
      </c>
      <c r="B42" s="59">
        <v>24000</v>
      </c>
    </row>
    <row r="43" spans="1:3">
      <c r="A43" t="s">
        <v>547</v>
      </c>
      <c r="B43" s="59">
        <v>2208.16</v>
      </c>
    </row>
    <row r="44" spans="1:3">
      <c r="A44" t="s">
        <v>548</v>
      </c>
      <c r="B44" s="59">
        <v>2361.5700000000002</v>
      </c>
    </row>
    <row r="45" spans="1:3">
      <c r="A45" t="s">
        <v>549</v>
      </c>
      <c r="B45" s="59">
        <v>800</v>
      </c>
    </row>
    <row r="46" spans="1:3">
      <c r="A46" t="s">
        <v>469</v>
      </c>
      <c r="B46" s="59">
        <v>55622.65</v>
      </c>
    </row>
    <row r="47" spans="1:3">
      <c r="A47" t="s">
        <v>470</v>
      </c>
      <c r="B47" s="59">
        <v>72031.520000000004</v>
      </c>
    </row>
    <row r="49" spans="1:2">
      <c r="A49" t="s">
        <v>471</v>
      </c>
    </row>
    <row r="50" spans="1:2">
      <c r="A50" t="s">
        <v>472</v>
      </c>
    </row>
    <row r="51" spans="1:2">
      <c r="A51" t="s">
        <v>473</v>
      </c>
    </row>
    <row r="52" spans="1:2">
      <c r="A52" t="s">
        <v>474</v>
      </c>
      <c r="B52" s="59">
        <v>1.52</v>
      </c>
    </row>
    <row r="53" spans="1:2">
      <c r="A53" t="s">
        <v>475</v>
      </c>
      <c r="B53" s="59">
        <v>1.52</v>
      </c>
    </row>
    <row r="54" spans="1:2">
      <c r="A54" t="s">
        <v>476</v>
      </c>
      <c r="B54" s="59">
        <v>72033.039999999994</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workbookViewId="0">
      <selection activeCell="B16" sqref="B16"/>
    </sheetView>
  </sheetViews>
  <sheetFormatPr defaultRowHeight="14.25"/>
  <cols>
    <col min="1" max="1" width="32.5" bestFit="1" customWidth="1"/>
    <col min="2" max="3" width="16" style="50" bestFit="1" customWidth="1"/>
    <col min="4" max="4" width="16" style="50" customWidth="1"/>
  </cols>
  <sheetData>
    <row r="1" spans="1:4">
      <c r="A1" t="s">
        <v>439</v>
      </c>
    </row>
    <row r="2" spans="1:4">
      <c r="A2" t="s">
        <v>440</v>
      </c>
    </row>
    <row r="3" spans="1:4">
      <c r="A3" t="s">
        <v>477</v>
      </c>
      <c r="B3" s="50" t="s">
        <v>478</v>
      </c>
      <c r="C3" s="50" t="s">
        <v>550</v>
      </c>
      <c r="D3" t="s">
        <v>551</v>
      </c>
    </row>
    <row r="5" spans="1:4">
      <c r="A5" t="s">
        <v>443</v>
      </c>
    </row>
    <row r="6" spans="1:4">
      <c r="A6" t="s">
        <v>444</v>
      </c>
    </row>
    <row r="7" spans="1:4">
      <c r="A7" t="s">
        <v>445</v>
      </c>
    </row>
    <row r="8" spans="1:4">
      <c r="A8" t="s">
        <v>537</v>
      </c>
      <c r="B8" s="50">
        <v>197019.51</v>
      </c>
      <c r="C8" s="50">
        <v>178538.26</v>
      </c>
      <c r="D8" s="50">
        <f>B8-C8</f>
        <v>18481.25</v>
      </c>
    </row>
    <row r="9" spans="1:4">
      <c r="A9" t="s">
        <v>552</v>
      </c>
      <c r="B9" s="50">
        <v>0</v>
      </c>
      <c r="C9" s="50">
        <v>1000</v>
      </c>
      <c r="D9" s="50">
        <f t="shared" ref="D9:D57" si="0">B9-C9</f>
        <v>-1000</v>
      </c>
    </row>
    <row r="10" spans="1:4">
      <c r="A10" t="s">
        <v>446</v>
      </c>
      <c r="B10" s="50">
        <v>212357.51</v>
      </c>
      <c r="C10" s="50">
        <v>175327.44</v>
      </c>
      <c r="D10" s="50">
        <f t="shared" si="0"/>
        <v>37030.070000000007</v>
      </c>
    </row>
    <row r="11" spans="1:4">
      <c r="A11" t="s">
        <v>539</v>
      </c>
      <c r="B11" s="50">
        <v>206573.42</v>
      </c>
      <c r="C11" s="50">
        <v>156669.32999999999</v>
      </c>
      <c r="D11" s="50">
        <f t="shared" si="0"/>
        <v>49904.090000000026</v>
      </c>
    </row>
    <row r="12" spans="1:4">
      <c r="A12" t="s">
        <v>540</v>
      </c>
      <c r="B12" s="50">
        <v>-204.64</v>
      </c>
      <c r="C12" s="50">
        <v>-1972.27</v>
      </c>
      <c r="D12" s="50">
        <f t="shared" si="0"/>
        <v>1767.63</v>
      </c>
    </row>
    <row r="13" spans="1:4">
      <c r="A13" t="s">
        <v>541</v>
      </c>
      <c r="B13" s="50">
        <v>-520.22</v>
      </c>
      <c r="C13" s="50">
        <v>-176.95</v>
      </c>
      <c r="D13" s="50">
        <f t="shared" si="0"/>
        <v>-343.27000000000004</v>
      </c>
    </row>
    <row r="14" spans="1:4">
      <c r="A14" t="s">
        <v>542</v>
      </c>
      <c r="B14" s="50">
        <v>-126.1</v>
      </c>
      <c r="C14" s="50">
        <v>-743.1</v>
      </c>
      <c r="D14" s="50">
        <f t="shared" si="0"/>
        <v>617</v>
      </c>
    </row>
    <row r="15" spans="1:4">
      <c r="A15" t="s">
        <v>553</v>
      </c>
      <c r="B15" s="50">
        <v>1059.5</v>
      </c>
      <c r="C15" s="50">
        <v>10</v>
      </c>
      <c r="D15" s="50">
        <f t="shared" si="0"/>
        <v>1049.5</v>
      </c>
    </row>
    <row r="16" spans="1:4">
      <c r="A16" t="s">
        <v>447</v>
      </c>
      <c r="B16" s="50">
        <v>616158.98</v>
      </c>
      <c r="C16" s="50">
        <v>508652.71</v>
      </c>
      <c r="D16" s="50">
        <f t="shared" si="0"/>
        <v>107506.26999999996</v>
      </c>
    </row>
    <row r="17" spans="1:4">
      <c r="A17" t="s">
        <v>544</v>
      </c>
      <c r="B17" s="50">
        <v>82.96</v>
      </c>
      <c r="C17" s="50">
        <v>71.7</v>
      </c>
      <c r="D17" s="50">
        <f t="shared" si="0"/>
        <v>11.259999999999991</v>
      </c>
    </row>
    <row r="18" spans="1:4">
      <c r="A18" t="s">
        <v>448</v>
      </c>
      <c r="B18" s="50">
        <v>616241.93999999994</v>
      </c>
      <c r="C18" s="50">
        <v>508724.41</v>
      </c>
      <c r="D18" s="50">
        <f t="shared" si="0"/>
        <v>107517.52999999997</v>
      </c>
    </row>
    <row r="19" spans="1:4">
      <c r="D19" s="50">
        <f t="shared" si="0"/>
        <v>0</v>
      </c>
    </row>
    <row r="20" spans="1:4">
      <c r="A20" t="s">
        <v>449</v>
      </c>
      <c r="D20" s="50">
        <f t="shared" si="0"/>
        <v>0</v>
      </c>
    </row>
    <row r="21" spans="1:4">
      <c r="A21" t="s">
        <v>450</v>
      </c>
      <c r="B21" s="50">
        <v>22039.87</v>
      </c>
      <c r="C21" s="50">
        <v>38497.4</v>
      </c>
      <c r="D21" s="50">
        <f t="shared" si="0"/>
        <v>-16457.530000000002</v>
      </c>
    </row>
    <row r="22" spans="1:4">
      <c r="A22" t="s">
        <v>451</v>
      </c>
      <c r="B22" s="50">
        <v>4456.9399999999996</v>
      </c>
      <c r="C22" s="50">
        <v>8596.84</v>
      </c>
      <c r="D22" s="50">
        <f t="shared" si="0"/>
        <v>-4139.9000000000005</v>
      </c>
    </row>
    <row r="23" spans="1:4">
      <c r="A23" t="s">
        <v>554</v>
      </c>
      <c r="B23" s="61">
        <v>0</v>
      </c>
      <c r="C23" s="50">
        <v>11561.17</v>
      </c>
      <c r="D23" s="50">
        <f t="shared" si="0"/>
        <v>-11561.17</v>
      </c>
    </row>
    <row r="24" spans="1:4">
      <c r="A24" t="s">
        <v>452</v>
      </c>
      <c r="B24" s="50">
        <v>401420.31</v>
      </c>
      <c r="C24" s="50">
        <v>282068.93</v>
      </c>
      <c r="D24" s="50">
        <f t="shared" si="0"/>
        <v>119351.38</v>
      </c>
    </row>
    <row r="25" spans="1:4">
      <c r="A25" t="s">
        <v>545</v>
      </c>
      <c r="B25" s="50">
        <v>-38281.82</v>
      </c>
      <c r="C25" s="50">
        <v>-22039.87</v>
      </c>
      <c r="D25" s="50">
        <f t="shared" si="0"/>
        <v>-16241.95</v>
      </c>
    </row>
    <row r="26" spans="1:4">
      <c r="A26" t="s">
        <v>546</v>
      </c>
      <c r="B26" s="50">
        <v>389635.3</v>
      </c>
      <c r="C26" s="50">
        <v>318684.46999999997</v>
      </c>
      <c r="D26" s="50">
        <f t="shared" si="0"/>
        <v>70950.830000000016</v>
      </c>
    </row>
    <row r="27" spans="1:4">
      <c r="A27" t="s">
        <v>453</v>
      </c>
      <c r="B27" s="50">
        <v>226606.64</v>
      </c>
      <c r="C27" s="50">
        <v>190039.94</v>
      </c>
      <c r="D27" s="50">
        <f t="shared" si="0"/>
        <v>36566.700000000012</v>
      </c>
    </row>
    <row r="28" spans="1:4">
      <c r="D28" s="50">
        <f t="shared" si="0"/>
        <v>0</v>
      </c>
    </row>
    <row r="29" spans="1:4">
      <c r="A29" t="s">
        <v>454</v>
      </c>
      <c r="D29" s="50">
        <f t="shared" si="0"/>
        <v>0</v>
      </c>
    </row>
    <row r="30" spans="1:4">
      <c r="A30" t="s">
        <v>455</v>
      </c>
      <c r="B30" s="50">
        <v>3420</v>
      </c>
      <c r="C30" s="50">
        <v>2980</v>
      </c>
      <c r="D30" s="50">
        <f t="shared" si="0"/>
        <v>440</v>
      </c>
    </row>
    <row r="31" spans="1:4">
      <c r="A31" t="s">
        <v>456</v>
      </c>
      <c r="B31" s="50">
        <v>2825.62</v>
      </c>
      <c r="C31" s="50">
        <v>2515.73</v>
      </c>
      <c r="D31" s="50">
        <f t="shared" si="0"/>
        <v>309.88999999999987</v>
      </c>
    </row>
    <row r="32" spans="1:4">
      <c r="A32" t="s">
        <v>457</v>
      </c>
      <c r="B32" s="50">
        <v>149.22</v>
      </c>
      <c r="C32" s="50">
        <v>150</v>
      </c>
      <c r="D32" s="50">
        <f t="shared" si="0"/>
        <v>-0.78000000000000114</v>
      </c>
    </row>
    <row r="33" spans="1:4">
      <c r="A33" t="s">
        <v>458</v>
      </c>
      <c r="B33" s="50">
        <v>30</v>
      </c>
      <c r="C33" s="50">
        <v>30</v>
      </c>
      <c r="D33" s="61">
        <f t="shared" si="0"/>
        <v>0</v>
      </c>
    </row>
    <row r="34" spans="1:4">
      <c r="A34" t="s">
        <v>459</v>
      </c>
      <c r="B34" s="50">
        <v>340</v>
      </c>
      <c r="C34" s="50">
        <v>950</v>
      </c>
      <c r="D34" s="50">
        <f t="shared" si="0"/>
        <v>-610</v>
      </c>
    </row>
    <row r="35" spans="1:4">
      <c r="A35" t="s">
        <v>460</v>
      </c>
      <c r="B35" s="50">
        <v>20700.21</v>
      </c>
      <c r="C35" s="50">
        <v>15017.78</v>
      </c>
      <c r="D35" s="50">
        <f t="shared" si="0"/>
        <v>5682.4299999999985</v>
      </c>
    </row>
    <row r="36" spans="1:4">
      <c r="A36" t="s">
        <v>461</v>
      </c>
      <c r="B36" s="50">
        <v>84.04</v>
      </c>
      <c r="C36" s="50">
        <v>943.8</v>
      </c>
      <c r="D36" s="50">
        <f t="shared" si="0"/>
        <v>-859.76</v>
      </c>
    </row>
    <row r="37" spans="1:4">
      <c r="A37" t="s">
        <v>479</v>
      </c>
      <c r="B37" s="61">
        <v>0</v>
      </c>
      <c r="C37" s="50">
        <v>23.58</v>
      </c>
      <c r="D37" s="50">
        <f t="shared" si="0"/>
        <v>-23.58</v>
      </c>
    </row>
    <row r="38" spans="1:4">
      <c r="A38" t="s">
        <v>462</v>
      </c>
    </row>
    <row r="39" spans="1:4">
      <c r="A39" t="s">
        <v>555</v>
      </c>
      <c r="B39" s="61">
        <v>0</v>
      </c>
      <c r="C39" s="50">
        <v>290.18</v>
      </c>
      <c r="D39" s="50">
        <f t="shared" si="0"/>
        <v>-290.18</v>
      </c>
    </row>
    <row r="40" spans="1:4">
      <c r="A40" t="s">
        <v>556</v>
      </c>
      <c r="B40" s="50">
        <v>2920.39</v>
      </c>
      <c r="C40" s="50">
        <v>4103.7299999999996</v>
      </c>
      <c r="D40" s="50">
        <f t="shared" si="0"/>
        <v>-1183.3399999999997</v>
      </c>
    </row>
    <row r="41" spans="1:4">
      <c r="A41" t="s">
        <v>557</v>
      </c>
      <c r="B41" s="50">
        <v>55</v>
      </c>
      <c r="C41" s="50">
        <v>1497.69</v>
      </c>
      <c r="D41" s="50">
        <f t="shared" si="0"/>
        <v>-1442.69</v>
      </c>
    </row>
    <row r="42" spans="1:4">
      <c r="A42" t="s">
        <v>465</v>
      </c>
      <c r="B42" s="50">
        <v>2975.39</v>
      </c>
      <c r="C42" s="50">
        <v>5891.6</v>
      </c>
      <c r="D42" s="50">
        <f t="shared" si="0"/>
        <v>-2916.2100000000005</v>
      </c>
    </row>
    <row r="43" spans="1:4">
      <c r="A43" t="s">
        <v>466</v>
      </c>
      <c r="B43" s="50">
        <v>132.11000000000001</v>
      </c>
      <c r="C43" s="50">
        <v>335.89</v>
      </c>
      <c r="D43" s="50">
        <f t="shared" si="0"/>
        <v>-203.77999999999997</v>
      </c>
    </row>
    <row r="44" spans="1:4">
      <c r="A44" t="s">
        <v>480</v>
      </c>
      <c r="B44" s="50">
        <v>1700.89</v>
      </c>
      <c r="C44" s="50">
        <v>2351.0100000000002</v>
      </c>
      <c r="D44" s="50">
        <f t="shared" si="0"/>
        <v>-650.12000000000012</v>
      </c>
    </row>
    <row r="45" spans="1:4">
      <c r="A45" t="s">
        <v>481</v>
      </c>
      <c r="B45" s="50">
        <v>36000</v>
      </c>
      <c r="C45" s="50">
        <v>36000</v>
      </c>
      <c r="D45" s="61">
        <f t="shared" si="0"/>
        <v>0</v>
      </c>
    </row>
    <row r="46" spans="1:4">
      <c r="A46" t="s">
        <v>547</v>
      </c>
      <c r="B46" s="50">
        <v>3692</v>
      </c>
      <c r="C46" s="50">
        <v>3748</v>
      </c>
      <c r="D46" s="50">
        <f t="shared" si="0"/>
        <v>-56</v>
      </c>
    </row>
    <row r="47" spans="1:4">
      <c r="A47" t="s">
        <v>558</v>
      </c>
      <c r="B47" s="50">
        <v>2600.84</v>
      </c>
      <c r="C47" s="50">
        <v>2050.5500000000002</v>
      </c>
      <c r="D47" s="50">
        <f t="shared" si="0"/>
        <v>550.29</v>
      </c>
    </row>
    <row r="48" spans="1:4">
      <c r="A48" t="s">
        <v>482</v>
      </c>
      <c r="B48" s="50">
        <v>800</v>
      </c>
      <c r="C48" s="50">
        <v>800</v>
      </c>
      <c r="D48" s="61">
        <f t="shared" si="0"/>
        <v>0</v>
      </c>
    </row>
    <row r="49" spans="1:4">
      <c r="A49" t="s">
        <v>469</v>
      </c>
      <c r="B49" s="50">
        <v>75450.320000000007</v>
      </c>
      <c r="C49" s="50">
        <v>73787.94</v>
      </c>
      <c r="D49" s="50">
        <f t="shared" si="0"/>
        <v>1662.3800000000047</v>
      </c>
    </row>
    <row r="50" spans="1:4">
      <c r="A50" t="s">
        <v>470</v>
      </c>
      <c r="B50" s="50">
        <v>151156.32</v>
      </c>
      <c r="C50" s="50">
        <v>116252</v>
      </c>
      <c r="D50" s="50">
        <f t="shared" si="0"/>
        <v>34904.320000000007</v>
      </c>
    </row>
    <row r="51" spans="1:4">
      <c r="D51" s="50">
        <f t="shared" si="0"/>
        <v>0</v>
      </c>
    </row>
    <row r="52" spans="1:4">
      <c r="A52" t="s">
        <v>483</v>
      </c>
      <c r="D52" s="50">
        <f t="shared" si="0"/>
        <v>0</v>
      </c>
    </row>
    <row r="53" spans="1:4">
      <c r="A53" t="s">
        <v>472</v>
      </c>
      <c r="D53" s="50">
        <f t="shared" si="0"/>
        <v>0</v>
      </c>
    </row>
    <row r="54" spans="1:4">
      <c r="A54" t="s">
        <v>473</v>
      </c>
      <c r="B54" s="50">
        <v>2.16</v>
      </c>
      <c r="C54" s="50">
        <v>1.43</v>
      </c>
      <c r="D54" s="50">
        <f t="shared" si="0"/>
        <v>0.7300000000000002</v>
      </c>
    </row>
    <row r="55" spans="1:4">
      <c r="A55" t="s">
        <v>474</v>
      </c>
      <c r="B55" s="50">
        <v>2.16</v>
      </c>
      <c r="C55" s="50">
        <v>1.43</v>
      </c>
      <c r="D55" s="50">
        <f t="shared" si="0"/>
        <v>0.7300000000000002</v>
      </c>
    </row>
    <row r="56" spans="1:4">
      <c r="A56" t="s">
        <v>475</v>
      </c>
      <c r="B56" s="50">
        <v>2.16</v>
      </c>
      <c r="C56" s="50">
        <v>1.43</v>
      </c>
      <c r="D56" s="50">
        <f t="shared" si="0"/>
        <v>0.7300000000000002</v>
      </c>
    </row>
    <row r="57" spans="1:4">
      <c r="A57" t="s">
        <v>476</v>
      </c>
      <c r="B57" s="50">
        <v>151158.48000000001</v>
      </c>
      <c r="C57" s="50">
        <v>116253.43</v>
      </c>
      <c r="D57" s="50">
        <f t="shared" si="0"/>
        <v>34905.050000000017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topLeftCell="A10" workbookViewId="0">
      <selection activeCell="B36" sqref="B36:B40"/>
    </sheetView>
  </sheetViews>
  <sheetFormatPr defaultRowHeight="14.25"/>
  <cols>
    <col min="1" max="1" width="32.5" bestFit="1" customWidth="1"/>
    <col min="2" max="2" width="16" style="50" bestFit="1" customWidth="1"/>
  </cols>
  <sheetData>
    <row r="1" spans="1:2">
      <c r="A1" t="s">
        <v>439</v>
      </c>
    </row>
    <row r="2" spans="1:2">
      <c r="A2" t="s">
        <v>484</v>
      </c>
    </row>
    <row r="3" spans="1:2">
      <c r="A3" t="s">
        <v>485</v>
      </c>
    </row>
    <row r="5" spans="1:2">
      <c r="A5" t="s">
        <v>487</v>
      </c>
      <c r="B5" s="50" t="s">
        <v>486</v>
      </c>
    </row>
    <row r="6" spans="1:2">
      <c r="A6" t="s">
        <v>488</v>
      </c>
    </row>
    <row r="7" spans="1:2">
      <c r="A7" t="s">
        <v>489</v>
      </c>
    </row>
    <row r="8" spans="1:2">
      <c r="A8" t="s">
        <v>490</v>
      </c>
      <c r="B8" s="50">
        <v>8697.32</v>
      </c>
    </row>
    <row r="9" spans="1:2">
      <c r="A9" t="s">
        <v>491</v>
      </c>
      <c r="B9" s="50">
        <v>18209.77</v>
      </c>
    </row>
    <row r="10" spans="1:2">
      <c r="A10" t="s">
        <v>492</v>
      </c>
      <c r="B10" s="50">
        <v>26907.09</v>
      </c>
    </row>
    <row r="12" spans="1:2">
      <c r="A12" t="s">
        <v>493</v>
      </c>
    </row>
    <row r="13" spans="1:2">
      <c r="A13" t="s">
        <v>493</v>
      </c>
      <c r="B13" s="50">
        <v>71440</v>
      </c>
    </row>
    <row r="14" spans="1:2">
      <c r="A14" t="s">
        <v>494</v>
      </c>
      <c r="B14" s="50">
        <v>71440</v>
      </c>
    </row>
    <row r="16" spans="1:2">
      <c r="A16" t="s">
        <v>495</v>
      </c>
    </row>
    <row r="17" spans="1:2">
      <c r="A17" t="s">
        <v>496</v>
      </c>
      <c r="B17" s="50">
        <v>36099.629999999997</v>
      </c>
    </row>
    <row r="18" spans="1:2">
      <c r="A18" t="s">
        <v>497</v>
      </c>
      <c r="B18" s="50">
        <v>2919.8</v>
      </c>
    </row>
    <row r="19" spans="1:2">
      <c r="A19" t="s">
        <v>498</v>
      </c>
      <c r="B19" s="50">
        <v>39019.43</v>
      </c>
    </row>
    <row r="20" spans="1:2">
      <c r="A20" t="s">
        <v>499</v>
      </c>
      <c r="B20" s="50">
        <v>137366.51999999999</v>
      </c>
    </row>
    <row r="22" spans="1:2">
      <c r="A22" t="s">
        <v>500</v>
      </c>
    </row>
    <row r="23" spans="1:2">
      <c r="A23" t="s">
        <v>501</v>
      </c>
      <c r="B23" s="50">
        <v>-2099</v>
      </c>
    </row>
    <row r="24" spans="1:2">
      <c r="A24" t="s">
        <v>502</v>
      </c>
      <c r="B24" s="50">
        <v>2638.62</v>
      </c>
    </row>
    <row r="25" spans="1:2">
      <c r="A25" t="s">
        <v>503</v>
      </c>
      <c r="B25" s="50">
        <v>539.62</v>
      </c>
    </row>
    <row r="26" spans="1:2">
      <c r="A26" t="s">
        <v>504</v>
      </c>
      <c r="B26" s="50">
        <v>137906.14000000001</v>
      </c>
    </row>
    <row r="28" spans="1:2">
      <c r="A28" t="s">
        <v>505</v>
      </c>
    </row>
    <row r="29" spans="1:2">
      <c r="A29" t="s">
        <v>506</v>
      </c>
    </row>
    <row r="30" spans="1:2">
      <c r="A30" t="s">
        <v>507</v>
      </c>
    </row>
    <row r="31" spans="1:2">
      <c r="A31" t="s">
        <v>508</v>
      </c>
    </row>
    <row r="32" spans="1:2">
      <c r="A32" t="s">
        <v>509</v>
      </c>
      <c r="B32" s="50">
        <v>112.38</v>
      </c>
    </row>
    <row r="33" spans="1:2">
      <c r="A33" t="s">
        <v>510</v>
      </c>
      <c r="B33" s="50">
        <v>112.38</v>
      </c>
    </row>
    <row r="35" spans="1:2">
      <c r="A35" t="s">
        <v>511</v>
      </c>
    </row>
    <row r="36" spans="1:2">
      <c r="A36" t="s">
        <v>512</v>
      </c>
      <c r="B36" s="50">
        <v>4359</v>
      </c>
    </row>
    <row r="37" spans="1:2">
      <c r="A37" t="s">
        <v>513</v>
      </c>
      <c r="B37" s="50">
        <v>459</v>
      </c>
    </row>
    <row r="38" spans="1:2">
      <c r="A38" t="s">
        <v>514</v>
      </c>
      <c r="B38" s="50">
        <v>930.56</v>
      </c>
    </row>
    <row r="39" spans="1:2">
      <c r="A39" t="s">
        <v>515</v>
      </c>
      <c r="B39" s="50">
        <v>356.2</v>
      </c>
    </row>
    <row r="40" spans="1:2">
      <c r="A40" t="s">
        <v>516</v>
      </c>
      <c r="B40" s="50">
        <v>25.8</v>
      </c>
    </row>
    <row r="41" spans="1:2">
      <c r="A41" t="s">
        <v>517</v>
      </c>
      <c r="B41" s="50">
        <v>6130.56</v>
      </c>
    </row>
    <row r="42" spans="1:2">
      <c r="A42" t="s">
        <v>518</v>
      </c>
      <c r="B42" s="50">
        <v>6242.94</v>
      </c>
    </row>
    <row r="43" spans="1:2">
      <c r="A43" t="s">
        <v>519</v>
      </c>
      <c r="B43" s="50">
        <v>6242.94</v>
      </c>
    </row>
    <row r="45" spans="1:2">
      <c r="A45" t="s">
        <v>534</v>
      </c>
    </row>
    <row r="46" spans="1:2">
      <c r="A46" t="s">
        <v>520</v>
      </c>
      <c r="B46" s="50">
        <v>5100</v>
      </c>
    </row>
    <row r="47" spans="1:2">
      <c r="A47" t="s">
        <v>521</v>
      </c>
      <c r="B47" s="50">
        <v>156630.16</v>
      </c>
    </row>
    <row r="48" spans="1:2">
      <c r="A48" t="s">
        <v>522</v>
      </c>
      <c r="B48" s="50">
        <v>-102100</v>
      </c>
    </row>
    <row r="49" spans="1:2">
      <c r="A49" t="s">
        <v>476</v>
      </c>
      <c r="B49" s="50">
        <v>72033.039999999994</v>
      </c>
    </row>
    <row r="50" spans="1:2">
      <c r="A50" t="s">
        <v>559</v>
      </c>
      <c r="B50" s="50">
        <v>131663.20000000001</v>
      </c>
    </row>
    <row r="51" spans="1:2">
      <c r="A51" t="s">
        <v>523</v>
      </c>
      <c r="B51" s="50">
        <v>137906.14000000001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tabSelected="1" workbookViewId="0">
      <selection activeCell="A3" sqref="A3"/>
    </sheetView>
  </sheetViews>
  <sheetFormatPr defaultRowHeight="14.25"/>
  <cols>
    <col min="1" max="1" width="29" customWidth="1"/>
    <col min="2" max="2" width="14" style="50" bestFit="1" customWidth="1"/>
    <col min="3" max="4" width="15.625" style="50" customWidth="1"/>
    <col min="5" max="5" width="11.875" bestFit="1" customWidth="1"/>
  </cols>
  <sheetData>
    <row r="1" spans="1:5">
      <c r="A1" t="s">
        <v>439</v>
      </c>
    </row>
    <row r="2" spans="1:5">
      <c r="A2" t="s">
        <v>484</v>
      </c>
    </row>
    <row r="3" spans="1:5">
      <c r="A3" t="s">
        <v>524</v>
      </c>
    </row>
    <row r="5" spans="1:5">
      <c r="A5" t="s">
        <v>487</v>
      </c>
      <c r="B5" s="50" t="s">
        <v>560</v>
      </c>
      <c r="C5" s="50" t="s">
        <v>561</v>
      </c>
      <c r="D5" t="s">
        <v>551</v>
      </c>
    </row>
    <row r="6" spans="1:5">
      <c r="A6" t="s">
        <v>488</v>
      </c>
    </row>
    <row r="7" spans="1:5">
      <c r="A7" t="s">
        <v>562</v>
      </c>
    </row>
    <row r="8" spans="1:5">
      <c r="A8" t="s">
        <v>490</v>
      </c>
      <c r="B8" s="50">
        <v>2923.46</v>
      </c>
      <c r="C8" s="50">
        <v>9795.68</v>
      </c>
      <c r="D8" s="50">
        <f>B8-C8</f>
        <v>-6872.22</v>
      </c>
    </row>
    <row r="9" spans="1:5">
      <c r="A9" t="s">
        <v>491</v>
      </c>
      <c r="B9" s="50">
        <v>17024.77</v>
      </c>
      <c r="C9" s="50">
        <v>569.69000000000005</v>
      </c>
      <c r="D9" s="50">
        <f t="shared" ref="D9:D12" si="0">B9-C9</f>
        <v>16455.080000000002</v>
      </c>
      <c r="E9" s="58"/>
    </row>
    <row r="10" spans="1:5">
      <c r="A10" t="s">
        <v>525</v>
      </c>
      <c r="B10" s="61">
        <v>0</v>
      </c>
      <c r="C10" s="50">
        <v>1285.73</v>
      </c>
      <c r="D10" s="50">
        <f t="shared" si="0"/>
        <v>-1285.73</v>
      </c>
    </row>
    <row r="11" spans="1:5">
      <c r="A11" t="s">
        <v>526</v>
      </c>
      <c r="B11" s="61">
        <v>0</v>
      </c>
      <c r="C11" s="50">
        <v>9831.68</v>
      </c>
      <c r="D11" s="50">
        <f t="shared" si="0"/>
        <v>-9831.68</v>
      </c>
    </row>
    <row r="12" spans="1:5">
      <c r="A12" t="s">
        <v>492</v>
      </c>
      <c r="B12" s="50">
        <v>19948.23</v>
      </c>
      <c r="C12" s="50">
        <v>21482.78</v>
      </c>
      <c r="D12" s="50">
        <f t="shared" si="0"/>
        <v>-1534.5499999999993</v>
      </c>
    </row>
    <row r="14" spans="1:5">
      <c r="A14" t="s">
        <v>493</v>
      </c>
    </row>
    <row r="15" spans="1:5">
      <c r="A15" t="s">
        <v>493</v>
      </c>
      <c r="B15" s="50">
        <v>72794.58</v>
      </c>
      <c r="C15" s="50">
        <v>83981.33</v>
      </c>
      <c r="D15" s="50">
        <f t="shared" ref="D15:D16" si="1">B15-C15</f>
        <v>-11186.75</v>
      </c>
      <c r="E15" s="58"/>
    </row>
    <row r="16" spans="1:5">
      <c r="A16" t="s">
        <v>494</v>
      </c>
      <c r="B16" s="50">
        <v>72794.58</v>
      </c>
      <c r="C16" s="50">
        <v>83981.33</v>
      </c>
      <c r="D16" s="50">
        <f t="shared" si="1"/>
        <v>-11186.75</v>
      </c>
      <c r="E16" s="58"/>
    </row>
    <row r="18" spans="1:5">
      <c r="A18" t="s">
        <v>495</v>
      </c>
    </row>
    <row r="19" spans="1:5">
      <c r="A19" t="s">
        <v>496</v>
      </c>
      <c r="B19" s="50">
        <v>38281.82</v>
      </c>
      <c r="C19" s="50">
        <v>22039.87</v>
      </c>
      <c r="D19" s="50">
        <f t="shared" ref="D19:D22" si="2">B19-C19</f>
        <v>16241.95</v>
      </c>
      <c r="E19" s="57"/>
    </row>
    <row r="20" spans="1:5">
      <c r="A20" t="s">
        <v>497</v>
      </c>
      <c r="B20" s="50">
        <v>2919.8</v>
      </c>
      <c r="C20" s="50">
        <v>2919.8</v>
      </c>
      <c r="D20" s="50">
        <f t="shared" si="2"/>
        <v>0</v>
      </c>
    </row>
    <row r="21" spans="1:5">
      <c r="A21" t="s">
        <v>498</v>
      </c>
      <c r="B21" s="50">
        <v>41201.620000000003</v>
      </c>
      <c r="C21" s="50">
        <v>24959.67</v>
      </c>
      <c r="D21" s="50">
        <f t="shared" si="2"/>
        <v>16241.950000000004</v>
      </c>
      <c r="E21" s="57"/>
    </row>
    <row r="22" spans="1:5">
      <c r="A22" t="s">
        <v>499</v>
      </c>
      <c r="B22" s="50">
        <v>133944.43</v>
      </c>
      <c r="C22" s="50">
        <v>130423.78</v>
      </c>
      <c r="D22" s="50">
        <f t="shared" si="2"/>
        <v>3520.6499999999942</v>
      </c>
    </row>
    <row r="24" spans="1:5">
      <c r="A24" t="s">
        <v>500</v>
      </c>
    </row>
    <row r="25" spans="1:5">
      <c r="A25" t="s">
        <v>501</v>
      </c>
      <c r="B25" s="50">
        <v>-2099</v>
      </c>
      <c r="C25" s="50">
        <v>-1759</v>
      </c>
      <c r="D25" s="50">
        <f t="shared" ref="D25:D28" si="3">B25-C25</f>
        <v>-340</v>
      </c>
    </row>
    <row r="26" spans="1:5">
      <c r="A26" t="s">
        <v>502</v>
      </c>
      <c r="B26" s="50">
        <v>2638.62</v>
      </c>
      <c r="C26" s="50">
        <v>2638.62</v>
      </c>
      <c r="D26" s="50">
        <f t="shared" si="3"/>
        <v>0</v>
      </c>
    </row>
    <row r="27" spans="1:5">
      <c r="A27" t="s">
        <v>503</v>
      </c>
      <c r="B27" s="50">
        <v>539.62</v>
      </c>
      <c r="C27" s="50">
        <v>879.62</v>
      </c>
      <c r="D27" s="50">
        <f t="shared" si="3"/>
        <v>-340</v>
      </c>
    </row>
    <row r="28" spans="1:5">
      <c r="A28" t="s">
        <v>504</v>
      </c>
      <c r="B28" s="50">
        <v>134484.04999999999</v>
      </c>
      <c r="C28" s="50">
        <v>131303.4</v>
      </c>
      <c r="D28" s="50">
        <f t="shared" si="3"/>
        <v>3180.6499999999942</v>
      </c>
    </row>
    <row r="30" spans="1:5">
      <c r="A30" t="s">
        <v>563</v>
      </c>
    </row>
    <row r="31" spans="1:5">
      <c r="A31" t="s">
        <v>506</v>
      </c>
    </row>
    <row r="32" spans="1:5">
      <c r="A32" t="s">
        <v>507</v>
      </c>
    </row>
    <row r="33" spans="1:5">
      <c r="A33" t="s">
        <v>508</v>
      </c>
    </row>
    <row r="34" spans="1:5">
      <c r="A34" t="s">
        <v>527</v>
      </c>
      <c r="B34" s="61">
        <v>0</v>
      </c>
      <c r="C34" s="50">
        <v>3973.32</v>
      </c>
      <c r="D34" s="50">
        <f t="shared" ref="D34:D37" si="4">B34-C34</f>
        <v>-3973.32</v>
      </c>
    </row>
    <row r="35" spans="1:5">
      <c r="A35" t="s">
        <v>528</v>
      </c>
      <c r="B35" s="61">
        <v>0</v>
      </c>
      <c r="C35" s="50">
        <v>-22.73</v>
      </c>
      <c r="D35" s="50">
        <f t="shared" si="4"/>
        <v>22.73</v>
      </c>
    </row>
    <row r="36" spans="1:5">
      <c r="A36" t="s">
        <v>529</v>
      </c>
      <c r="B36" s="61">
        <v>0</v>
      </c>
      <c r="C36" s="50">
        <v>137.91</v>
      </c>
      <c r="D36" s="50">
        <f t="shared" si="4"/>
        <v>-137.91</v>
      </c>
    </row>
    <row r="37" spans="1:5">
      <c r="A37" t="s">
        <v>510</v>
      </c>
      <c r="B37" s="61">
        <v>0</v>
      </c>
      <c r="C37" s="50">
        <v>4088.5</v>
      </c>
      <c r="D37" s="50">
        <f t="shared" si="4"/>
        <v>-4088.5</v>
      </c>
    </row>
    <row r="39" spans="1:5">
      <c r="A39" t="s">
        <v>511</v>
      </c>
    </row>
    <row r="40" spans="1:5">
      <c r="A40" t="s">
        <v>512</v>
      </c>
      <c r="B40" s="50">
        <v>5487</v>
      </c>
      <c r="C40" s="50">
        <v>2740.5</v>
      </c>
      <c r="D40" s="50">
        <f t="shared" ref="D40:D46" si="5">B40-C40</f>
        <v>2746.5</v>
      </c>
      <c r="E40" s="58"/>
    </row>
    <row r="41" spans="1:5">
      <c r="A41" t="s">
        <v>564</v>
      </c>
      <c r="B41" s="50">
        <v>459</v>
      </c>
      <c r="C41" s="50">
        <v>459</v>
      </c>
      <c r="D41" s="50">
        <f t="shared" si="5"/>
        <v>0</v>
      </c>
    </row>
    <row r="42" spans="1:5">
      <c r="A42" t="s">
        <v>514</v>
      </c>
      <c r="B42" s="50">
        <v>930.56</v>
      </c>
      <c r="C42" s="50">
        <v>930.56</v>
      </c>
      <c r="D42" s="50">
        <f t="shared" si="5"/>
        <v>0</v>
      </c>
    </row>
    <row r="43" spans="1:5">
      <c r="A43" t="s">
        <v>515</v>
      </c>
      <c r="B43" s="50">
        <v>369</v>
      </c>
      <c r="C43" s="50">
        <v>983.16</v>
      </c>
      <c r="D43" s="50">
        <f t="shared" si="5"/>
        <v>-614.16</v>
      </c>
    </row>
    <row r="44" spans="1:5">
      <c r="A44" t="s">
        <v>516</v>
      </c>
      <c r="B44" s="50">
        <v>27</v>
      </c>
      <c r="C44" s="50">
        <v>30</v>
      </c>
      <c r="D44" s="50">
        <f t="shared" si="5"/>
        <v>-3</v>
      </c>
    </row>
    <row r="45" spans="1:5">
      <c r="A45" t="s">
        <v>517</v>
      </c>
      <c r="B45" s="50">
        <v>7272.56</v>
      </c>
      <c r="C45" s="50">
        <v>5143.22</v>
      </c>
      <c r="D45" s="50">
        <f t="shared" si="5"/>
        <v>2129.34</v>
      </c>
      <c r="E45" s="57"/>
    </row>
    <row r="46" spans="1:5">
      <c r="A46" t="s">
        <v>518</v>
      </c>
      <c r="B46" s="50">
        <v>7272.56</v>
      </c>
      <c r="C46" s="50">
        <v>9231.7199999999993</v>
      </c>
      <c r="D46" s="50">
        <f t="shared" si="5"/>
        <v>-1959.1599999999989</v>
      </c>
      <c r="E46" s="57"/>
    </row>
    <row r="48" spans="1:5">
      <c r="A48" t="s">
        <v>530</v>
      </c>
    </row>
    <row r="49" spans="1:5">
      <c r="A49" t="s">
        <v>531</v>
      </c>
      <c r="B49" s="50">
        <v>-31018.67</v>
      </c>
      <c r="C49" s="61">
        <v>0</v>
      </c>
      <c r="D49" s="50">
        <f t="shared" ref="D49:D51" si="6">B49-C49</f>
        <v>-31018.67</v>
      </c>
    </row>
    <row r="50" spans="1:5">
      <c r="A50" t="s">
        <v>532</v>
      </c>
      <c r="B50" s="50">
        <v>-31018.67</v>
      </c>
      <c r="C50" s="61">
        <v>0</v>
      </c>
      <c r="D50" s="50">
        <f t="shared" si="6"/>
        <v>-31018.67</v>
      </c>
    </row>
    <row r="51" spans="1:5">
      <c r="A51" t="s">
        <v>533</v>
      </c>
      <c r="B51" s="50">
        <v>-23746.11</v>
      </c>
      <c r="C51" s="50">
        <v>9231.7199999999993</v>
      </c>
      <c r="D51" s="50">
        <f t="shared" si="6"/>
        <v>-32977.83</v>
      </c>
      <c r="E51" s="58"/>
    </row>
    <row r="53" spans="1:5">
      <c r="A53" t="s">
        <v>534</v>
      </c>
    </row>
    <row r="54" spans="1:5">
      <c r="A54" t="s">
        <v>520</v>
      </c>
      <c r="B54" s="50">
        <v>5100</v>
      </c>
      <c r="C54" s="50">
        <v>5100</v>
      </c>
      <c r="D54" s="50">
        <f t="shared" ref="D54:D59" si="7">B54-C54</f>
        <v>0</v>
      </c>
    </row>
    <row r="55" spans="1:5">
      <c r="A55" t="s">
        <v>521</v>
      </c>
      <c r="B55" s="50">
        <v>116971.68</v>
      </c>
      <c r="C55" s="50">
        <v>718.25</v>
      </c>
      <c r="D55" s="50">
        <f t="shared" si="7"/>
        <v>116253.43</v>
      </c>
    </row>
    <row r="56" spans="1:5">
      <c r="A56" t="s">
        <v>522</v>
      </c>
      <c r="B56" s="50">
        <v>-115000</v>
      </c>
      <c r="C56" s="61">
        <v>0</v>
      </c>
      <c r="D56" s="50">
        <f t="shared" si="7"/>
        <v>-115000</v>
      </c>
      <c r="E56" s="58"/>
    </row>
    <row r="57" spans="1:5">
      <c r="A57" t="s">
        <v>476</v>
      </c>
      <c r="B57" s="50">
        <v>151158.48000000001</v>
      </c>
      <c r="C57" s="50">
        <v>116253.43</v>
      </c>
      <c r="D57" s="50">
        <f t="shared" si="7"/>
        <v>34905.050000000017</v>
      </c>
    </row>
    <row r="58" spans="1:5">
      <c r="A58" t="s">
        <v>535</v>
      </c>
      <c r="B58" s="50">
        <v>158230.16</v>
      </c>
      <c r="C58" s="50">
        <v>122071.67999999999</v>
      </c>
      <c r="D58" s="50">
        <f t="shared" si="7"/>
        <v>36158.48000000001</v>
      </c>
      <c r="E58" s="58"/>
    </row>
    <row r="59" spans="1:5">
      <c r="A59" t="s">
        <v>536</v>
      </c>
      <c r="B59" s="50">
        <v>134484.04999999999</v>
      </c>
      <c r="C59" s="50">
        <v>131303.4</v>
      </c>
      <c r="D59" s="50">
        <f t="shared" si="7"/>
        <v>3180.6499999999942</v>
      </c>
      <c r="E59" s="5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9"/>
  <sheetViews>
    <sheetView workbookViewId="0">
      <pane ySplit="1" topLeftCell="A13" activePane="bottomLeft" state="frozen"/>
      <selection pane="bottomLeft" activeCell="C34" sqref="C34"/>
    </sheetView>
  </sheetViews>
  <sheetFormatPr defaultRowHeight="14.25"/>
  <cols>
    <col min="1" max="1" width="9.625" bestFit="1" customWidth="1"/>
    <col min="2" max="2" width="9.625" style="5" bestFit="1" customWidth="1"/>
    <col min="3" max="3" width="9" style="5"/>
    <col min="4" max="4" width="9.625" bestFit="1" customWidth="1"/>
    <col min="5" max="6" width="9.25" customWidth="1"/>
    <col min="7" max="7" width="10.375" customWidth="1"/>
    <col min="8" max="10" width="9" style="5"/>
    <col min="13" max="13" width="11.875" bestFit="1" customWidth="1"/>
    <col min="17" max="17" width="16.875" customWidth="1"/>
  </cols>
  <sheetData>
    <row r="1" spans="1:16">
      <c r="B1" s="5" t="s">
        <v>365</v>
      </c>
      <c r="C1" s="5" t="s">
        <v>366</v>
      </c>
      <c r="D1" s="5" t="s">
        <v>370</v>
      </c>
      <c r="E1" s="5" t="s">
        <v>420</v>
      </c>
      <c r="F1" s="5" t="s">
        <v>438</v>
      </c>
      <c r="G1" s="5" t="s">
        <v>417</v>
      </c>
      <c r="H1" s="5" t="s">
        <v>367</v>
      </c>
      <c r="I1" s="5" t="s">
        <v>368</v>
      </c>
      <c r="J1" s="5" t="s">
        <v>369</v>
      </c>
      <c r="L1" s="5" t="s">
        <v>376</v>
      </c>
      <c r="M1" s="5" t="s">
        <v>1</v>
      </c>
      <c r="N1" s="5" t="s">
        <v>375</v>
      </c>
      <c r="O1" s="5" t="s">
        <v>3</v>
      </c>
      <c r="P1" s="5" t="s">
        <v>377</v>
      </c>
    </row>
    <row r="2" spans="1:16">
      <c r="A2" s="5" t="s">
        <v>364</v>
      </c>
      <c r="B2" s="43">
        <v>43050</v>
      </c>
      <c r="C2" s="43">
        <v>43070</v>
      </c>
      <c r="D2" s="43">
        <v>43083</v>
      </c>
      <c r="E2" s="43"/>
      <c r="F2" s="43"/>
      <c r="G2" s="43">
        <v>43089</v>
      </c>
      <c r="H2" s="5">
        <v>1</v>
      </c>
      <c r="J2" s="5">
        <v>1</v>
      </c>
      <c r="L2">
        <f>M2/M$2</f>
        <v>1</v>
      </c>
      <c r="M2">
        <v>0.4</v>
      </c>
      <c r="N2">
        <v>1</v>
      </c>
      <c r="O2">
        <f>M2*N2</f>
        <v>0.4</v>
      </c>
    </row>
    <row r="3" spans="1:16">
      <c r="A3" s="43">
        <v>43069</v>
      </c>
      <c r="B3" s="45">
        <v>5</v>
      </c>
      <c r="H3" s="46">
        <v>3</v>
      </c>
      <c r="I3" s="46">
        <v>2</v>
      </c>
      <c r="J3" s="46"/>
      <c r="L3">
        <f>M3/M$2</f>
        <v>0.74999999999999989</v>
      </c>
      <c r="M3">
        <v>0.3</v>
      </c>
      <c r="N3">
        <v>3</v>
      </c>
      <c r="O3">
        <f t="shared" ref="O3:O7" si="0">M3*N3</f>
        <v>0.89999999999999991</v>
      </c>
    </row>
    <row r="4" spans="1:16">
      <c r="A4" s="43">
        <v>43070</v>
      </c>
      <c r="C4" s="45"/>
      <c r="H4" s="5">
        <v>3</v>
      </c>
      <c r="I4" s="5">
        <v>4</v>
      </c>
      <c r="L4">
        <f>M4/M$2</f>
        <v>0.65</v>
      </c>
      <c r="M4">
        <v>0.26</v>
      </c>
      <c r="N4">
        <v>5</v>
      </c>
      <c r="O4">
        <f t="shared" si="0"/>
        <v>1.3</v>
      </c>
    </row>
    <row r="5" spans="1:16">
      <c r="A5" s="43">
        <v>43071</v>
      </c>
      <c r="H5" s="5">
        <v>4</v>
      </c>
      <c r="J5" s="5">
        <v>2</v>
      </c>
      <c r="L5">
        <f t="shared" ref="L5:L7" si="1">M5/M$2</f>
        <v>0.57499999999999996</v>
      </c>
      <c r="M5">
        <v>0.23</v>
      </c>
      <c r="N5">
        <v>50</v>
      </c>
      <c r="O5">
        <f t="shared" si="0"/>
        <v>11.5</v>
      </c>
      <c r="P5" s="50">
        <f>O5/3</f>
        <v>3.8333333333333335</v>
      </c>
    </row>
    <row r="6" spans="1:16">
      <c r="A6" s="43">
        <v>43072</v>
      </c>
      <c r="B6" s="5">
        <v>1</v>
      </c>
      <c r="H6" s="5">
        <v>5</v>
      </c>
      <c r="I6" s="5">
        <v>3</v>
      </c>
      <c r="L6">
        <f t="shared" si="1"/>
        <v>0.52499999999999991</v>
      </c>
      <c r="M6">
        <v>0.21</v>
      </c>
      <c r="N6">
        <v>100</v>
      </c>
      <c r="O6">
        <f t="shared" si="0"/>
        <v>21</v>
      </c>
      <c r="P6" s="50">
        <f>O6/6</f>
        <v>3.5</v>
      </c>
    </row>
    <row r="7" spans="1:16">
      <c r="A7" s="43">
        <v>43073</v>
      </c>
      <c r="H7" s="5">
        <v>6</v>
      </c>
      <c r="J7" s="5">
        <v>3</v>
      </c>
      <c r="L7">
        <f t="shared" si="1"/>
        <v>0.47499999999999998</v>
      </c>
      <c r="M7">
        <v>0.19</v>
      </c>
      <c r="N7">
        <v>200</v>
      </c>
      <c r="O7">
        <f t="shared" si="0"/>
        <v>38</v>
      </c>
      <c r="P7" s="50">
        <f>O7/11</f>
        <v>3.4545454545454546</v>
      </c>
    </row>
    <row r="8" spans="1:16">
      <c r="A8" s="43">
        <v>43074</v>
      </c>
    </row>
    <row r="9" spans="1:16">
      <c r="A9" s="43">
        <v>43075</v>
      </c>
      <c r="C9" s="5">
        <v>8</v>
      </c>
    </row>
    <row r="10" spans="1:16">
      <c r="A10" s="43">
        <v>43076</v>
      </c>
      <c r="O10">
        <v>9971131760332</v>
      </c>
    </row>
    <row r="11" spans="1:16">
      <c r="A11" s="43">
        <v>43077</v>
      </c>
      <c r="C11" s="5">
        <v>6</v>
      </c>
      <c r="H11" t="s">
        <v>371</v>
      </c>
      <c r="I11"/>
      <c r="J11">
        <f>0.6*0.16*0.4*1000</f>
        <v>38.400000000000006</v>
      </c>
      <c r="O11">
        <v>9971131760376</v>
      </c>
    </row>
    <row r="12" spans="1:16">
      <c r="A12" s="43">
        <v>43078</v>
      </c>
      <c r="C12" s="5">
        <v>1</v>
      </c>
      <c r="H12"/>
      <c r="I12"/>
      <c r="J12">
        <f>0.32*0.38*0.09*1000</f>
        <v>10.943999999999999</v>
      </c>
      <c r="O12">
        <v>9971131760377</v>
      </c>
    </row>
    <row r="13" spans="1:16">
      <c r="A13" s="43">
        <v>43079</v>
      </c>
      <c r="B13" s="5">
        <v>1</v>
      </c>
      <c r="C13" s="5">
        <v>9</v>
      </c>
      <c r="H13"/>
      <c r="I13"/>
      <c r="J13">
        <f>0.35*0.46*0.12*1000</f>
        <v>19.32</v>
      </c>
      <c r="O13">
        <v>9971131760378</v>
      </c>
    </row>
    <row r="14" spans="1:16">
      <c r="A14" s="43">
        <v>43080</v>
      </c>
      <c r="C14" s="5">
        <v>2</v>
      </c>
      <c r="H14"/>
      <c r="I14"/>
      <c r="J14">
        <f>31*16*39</f>
        <v>19344</v>
      </c>
      <c r="O14">
        <v>9971131760379</v>
      </c>
    </row>
    <row r="15" spans="1:16">
      <c r="A15" s="43">
        <v>43081</v>
      </c>
      <c r="C15" s="5">
        <v>1</v>
      </c>
      <c r="H15"/>
      <c r="I15"/>
      <c r="J15">
        <f>36*15*39</f>
        <v>21060</v>
      </c>
      <c r="O15">
        <v>9971131760380</v>
      </c>
    </row>
    <row r="16" spans="1:16">
      <c r="A16" s="43">
        <v>43082</v>
      </c>
      <c r="C16" s="5">
        <v>1</v>
      </c>
      <c r="H16"/>
      <c r="I16"/>
      <c r="J16">
        <f>30*44*20</f>
        <v>26400</v>
      </c>
      <c r="O16">
        <v>9971131760381</v>
      </c>
    </row>
    <row r="17" spans="1:15">
      <c r="A17" s="43">
        <v>43083</v>
      </c>
      <c r="C17" s="5">
        <v>4</v>
      </c>
      <c r="D17" s="45">
        <v>16</v>
      </c>
      <c r="E17" s="47"/>
      <c r="F17" s="47"/>
      <c r="G17" s="47"/>
      <c r="O17">
        <v>9971131760382</v>
      </c>
    </row>
    <row r="18" spans="1:15">
      <c r="A18" s="43">
        <v>43084</v>
      </c>
      <c r="D18" s="47">
        <v>37</v>
      </c>
      <c r="E18" s="47"/>
      <c r="F18" s="47"/>
      <c r="G18" s="47"/>
      <c r="H18" t="s">
        <v>387</v>
      </c>
      <c r="O18">
        <v>9971131760383</v>
      </c>
    </row>
    <row r="19" spans="1:15">
      <c r="A19" s="43">
        <v>43085</v>
      </c>
      <c r="D19" s="47">
        <v>7</v>
      </c>
      <c r="E19" s="47"/>
      <c r="F19" s="47"/>
      <c r="G19" s="47"/>
      <c r="H19">
        <f>37*40*15</f>
        <v>22200</v>
      </c>
      <c r="O19">
        <v>9971131760384</v>
      </c>
    </row>
    <row r="20" spans="1:15">
      <c r="A20" s="43">
        <v>43086</v>
      </c>
      <c r="D20" s="47">
        <v>3</v>
      </c>
      <c r="E20" s="47">
        <v>2</v>
      </c>
      <c r="F20" s="47">
        <v>2</v>
      </c>
      <c r="G20" s="47"/>
      <c r="H20">
        <f>37*18*12</f>
        <v>7992</v>
      </c>
      <c r="O20">
        <v>9971131760385</v>
      </c>
    </row>
    <row r="21" spans="1:15">
      <c r="A21" s="43">
        <v>43087</v>
      </c>
      <c r="D21" s="47"/>
      <c r="E21" s="47">
        <v>2</v>
      </c>
      <c r="F21" s="47">
        <v>1</v>
      </c>
      <c r="G21" s="47"/>
      <c r="H21" t="s">
        <v>418</v>
      </c>
    </row>
    <row r="22" spans="1:15">
      <c r="A22" s="43">
        <v>43088</v>
      </c>
      <c r="D22" s="47"/>
      <c r="E22" s="47">
        <v>5</v>
      </c>
      <c r="F22" s="47">
        <v>5</v>
      </c>
      <c r="G22" s="47"/>
      <c r="H22" t="s">
        <v>419</v>
      </c>
      <c r="L22" s="49"/>
      <c r="O22" s="49" t="s">
        <v>372</v>
      </c>
    </row>
    <row r="23" spans="1:15">
      <c r="A23" s="43">
        <v>43089</v>
      </c>
      <c r="B23" s="5">
        <v>1</v>
      </c>
      <c r="C23" s="5">
        <v>1</v>
      </c>
      <c r="D23" s="47"/>
      <c r="E23" s="47">
        <v>2</v>
      </c>
      <c r="F23" s="47">
        <v>2</v>
      </c>
      <c r="G23" s="47">
        <v>3</v>
      </c>
      <c r="L23" s="49"/>
      <c r="O23" s="49" t="s">
        <v>373</v>
      </c>
    </row>
    <row r="24" spans="1:15">
      <c r="A24" s="43">
        <v>43090</v>
      </c>
      <c r="D24" s="47"/>
      <c r="E24" s="47">
        <v>1</v>
      </c>
      <c r="F24" s="47"/>
      <c r="G24" s="47"/>
      <c r="L24" s="49"/>
      <c r="O24" s="49" t="s">
        <v>374</v>
      </c>
    </row>
    <row r="25" spans="1:15">
      <c r="A25" s="43">
        <v>43091</v>
      </c>
      <c r="D25" s="47"/>
      <c r="E25" s="47">
        <v>5</v>
      </c>
      <c r="F25" s="47">
        <v>2</v>
      </c>
      <c r="G25" s="47">
        <v>4</v>
      </c>
      <c r="L25" s="49"/>
      <c r="O25" s="49"/>
    </row>
    <row r="26" spans="1:15">
      <c r="A26" s="43">
        <v>43092</v>
      </c>
      <c r="C26" s="5">
        <v>1</v>
      </c>
      <c r="D26" s="47"/>
      <c r="E26" s="47">
        <v>3</v>
      </c>
      <c r="F26" s="47"/>
      <c r="G26" s="47">
        <v>1</v>
      </c>
      <c r="L26" s="49"/>
      <c r="O26" s="49"/>
    </row>
    <row r="27" spans="1:15" s="44" customFormat="1">
      <c r="B27" s="45"/>
      <c r="C27" s="45"/>
      <c r="H27" s="45"/>
      <c r="I27" s="45"/>
      <c r="J27" s="45"/>
    </row>
    <row r="28" spans="1:15">
      <c r="B28" s="5">
        <f>SUM(B3:B27)</f>
        <v>8</v>
      </c>
      <c r="C28" s="5">
        <f>SUM(C3:C27)</f>
        <v>34</v>
      </c>
      <c r="D28" s="5">
        <f>SUM(D3:D27)</f>
        <v>63</v>
      </c>
      <c r="E28" s="5">
        <f>SUM(E3:E27)</f>
        <v>20</v>
      </c>
      <c r="F28" s="5">
        <f>SUM(F3:F27)</f>
        <v>12</v>
      </c>
      <c r="G28" s="5">
        <f>SUM(G3:G27)</f>
        <v>8</v>
      </c>
    </row>
    <row r="29" spans="1:15">
      <c r="D29" s="48">
        <f>SUM(B28:D28)</f>
        <v>105</v>
      </c>
    </row>
    <row r="30" spans="1:15">
      <c r="I30" s="55"/>
    </row>
    <row r="32" spans="1:15">
      <c r="I32" s="5" t="s">
        <v>421</v>
      </c>
      <c r="J32" s="5" t="s">
        <v>422</v>
      </c>
      <c r="K32" t="s">
        <v>423</v>
      </c>
      <c r="L32" t="s">
        <v>424</v>
      </c>
      <c r="M32" t="s">
        <v>426</v>
      </c>
      <c r="N32" t="s">
        <v>427</v>
      </c>
    </row>
    <row r="33" spans="6:14">
      <c r="L33" t="s">
        <v>425</v>
      </c>
    </row>
    <row r="34" spans="6:14">
      <c r="I34" s="5" t="s">
        <v>428</v>
      </c>
      <c r="J34" s="53">
        <v>42862</v>
      </c>
      <c r="K34">
        <v>100</v>
      </c>
      <c r="L34">
        <v>10</v>
      </c>
      <c r="M34" t="s">
        <v>429</v>
      </c>
      <c r="N34" s="54">
        <v>42739</v>
      </c>
    </row>
    <row r="35" spans="6:14">
      <c r="I35" s="5" t="s">
        <v>430</v>
      </c>
      <c r="J35" s="53">
        <v>42862</v>
      </c>
      <c r="K35">
        <v>100</v>
      </c>
      <c r="L35">
        <v>19</v>
      </c>
      <c r="M35" t="s">
        <v>431</v>
      </c>
      <c r="N35" s="54">
        <v>42739</v>
      </c>
    </row>
    <row r="36" spans="6:14">
      <c r="F36" s="5"/>
      <c r="I36" s="5" t="s">
        <v>432</v>
      </c>
      <c r="J36" s="53">
        <v>42862</v>
      </c>
      <c r="K36">
        <v>100</v>
      </c>
      <c r="L36">
        <v>35</v>
      </c>
      <c r="M36" t="s">
        <v>433</v>
      </c>
      <c r="N36" s="54">
        <v>42798</v>
      </c>
    </row>
    <row r="37" spans="6:14">
      <c r="F37" s="5"/>
      <c r="I37" s="5" t="s">
        <v>434</v>
      </c>
      <c r="J37" s="5" t="s">
        <v>435</v>
      </c>
      <c r="K37">
        <v>100</v>
      </c>
      <c r="L37">
        <v>50</v>
      </c>
      <c r="M37" t="s">
        <v>436</v>
      </c>
      <c r="N37" s="54">
        <v>42798</v>
      </c>
    </row>
    <row r="39" spans="6:14">
      <c r="I39" s="56" t="s">
        <v>437</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zoomScaleNormal="100" workbookViewId="0">
      <pane ySplit="2" topLeftCell="A3" activePane="bottomLeft" state="frozen"/>
      <selection pane="bottomLeft" activeCell="L6" sqref="L6"/>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D19+D31</f>
        <v>278.40000000000003</v>
      </c>
      <c r="F2" s="5"/>
      <c r="G2" s="5"/>
    </row>
    <row r="3" spans="1:12" ht="13.5" customHeight="1">
      <c r="A3" s="7" t="s">
        <v>95</v>
      </c>
      <c r="B3" s="7">
        <v>6</v>
      </c>
      <c r="D3" s="6">
        <f>C3*B3</f>
        <v>0</v>
      </c>
      <c r="I3" s="6" t="s">
        <v>406</v>
      </c>
      <c r="J3" s="6" t="s">
        <v>2</v>
      </c>
      <c r="K3" s="6" t="s">
        <v>410</v>
      </c>
    </row>
    <row r="4" spans="1:12" ht="13.5" customHeight="1">
      <c r="A4" s="7" t="s">
        <v>94</v>
      </c>
      <c r="B4" s="7">
        <v>4</v>
      </c>
      <c r="C4" s="7">
        <v>1</v>
      </c>
      <c r="D4" s="6">
        <f>C4*B4</f>
        <v>4</v>
      </c>
      <c r="F4" s="10"/>
      <c r="G4" s="7" t="s">
        <v>397</v>
      </c>
      <c r="I4" s="6">
        <f>2+1</f>
        <v>3</v>
      </c>
      <c r="J4" s="6">
        <v>3</v>
      </c>
      <c r="K4" s="6">
        <f>I4-J4</f>
        <v>0</v>
      </c>
      <c r="L4" s="52">
        <v>2</v>
      </c>
    </row>
    <row r="5" spans="1:12" ht="13.5" customHeight="1">
      <c r="A5" s="7" t="s">
        <v>87</v>
      </c>
      <c r="B5" s="7">
        <v>5</v>
      </c>
      <c r="C5" s="7">
        <v>1</v>
      </c>
      <c r="D5" s="6">
        <f t="shared" ref="D5:D13" si="0">C5*B5</f>
        <v>5</v>
      </c>
      <c r="F5" s="11"/>
      <c r="G5" s="7" t="s">
        <v>399</v>
      </c>
      <c r="I5" s="6">
        <v>0</v>
      </c>
      <c r="J5" s="6">
        <v>2</v>
      </c>
      <c r="K5" s="6">
        <f t="shared" ref="K5:K13" si="1">I5-J5</f>
        <v>-2</v>
      </c>
      <c r="L5" s="6">
        <v>10</v>
      </c>
    </row>
    <row r="6" spans="1:12" ht="13.5" customHeight="1">
      <c r="A6" s="7" t="s">
        <v>363</v>
      </c>
      <c r="B6" s="7">
        <v>21</v>
      </c>
      <c r="C6" s="7">
        <v>1</v>
      </c>
      <c r="D6" s="6">
        <f t="shared" si="0"/>
        <v>21</v>
      </c>
      <c r="F6" s="11"/>
      <c r="G6" s="7" t="s">
        <v>398</v>
      </c>
      <c r="I6" s="6">
        <f>6+3</f>
        <v>9</v>
      </c>
      <c r="J6" s="6">
        <v>6</v>
      </c>
      <c r="K6" s="6">
        <f t="shared" si="1"/>
        <v>3</v>
      </c>
      <c r="L6" s="52">
        <v>3</v>
      </c>
    </row>
    <row r="7" spans="1:12" ht="13.5" customHeight="1">
      <c r="A7" s="7" t="s">
        <v>96</v>
      </c>
      <c r="B7" s="7">
        <v>10</v>
      </c>
      <c r="C7" s="7">
        <v>1</v>
      </c>
      <c r="D7" s="6">
        <f t="shared" si="0"/>
        <v>10</v>
      </c>
      <c r="F7" s="11"/>
      <c r="G7" s="7" t="s">
        <v>400</v>
      </c>
      <c r="I7" s="6">
        <f>1+1</f>
        <v>2</v>
      </c>
      <c r="J7" s="6">
        <v>3</v>
      </c>
      <c r="K7" s="6">
        <f t="shared" si="1"/>
        <v>-1</v>
      </c>
      <c r="L7" s="6">
        <v>0</v>
      </c>
    </row>
    <row r="8" spans="1:12" ht="13.5" customHeight="1">
      <c r="A8" s="7" t="s">
        <v>79</v>
      </c>
      <c r="B8" s="7">
        <v>10</v>
      </c>
      <c r="C8" s="7">
        <v>1</v>
      </c>
      <c r="D8" s="6">
        <f>C8*B8</f>
        <v>10</v>
      </c>
      <c r="F8" s="11"/>
      <c r="G8" s="7" t="s">
        <v>401</v>
      </c>
      <c r="I8" s="6">
        <f>1+3</f>
        <v>4</v>
      </c>
      <c r="J8" s="6">
        <v>3</v>
      </c>
      <c r="K8" s="6">
        <f t="shared" si="1"/>
        <v>1</v>
      </c>
      <c r="L8" s="52">
        <v>1</v>
      </c>
    </row>
    <row r="9" spans="1:12" ht="13.5" customHeight="1">
      <c r="A9" s="7" t="s">
        <v>359</v>
      </c>
      <c r="B9" s="7">
        <v>40</v>
      </c>
      <c r="C9" s="7">
        <v>1</v>
      </c>
      <c r="D9" s="6">
        <f t="shared" si="0"/>
        <v>40</v>
      </c>
      <c r="F9" s="11"/>
      <c r="G9" s="7" t="s">
        <v>402</v>
      </c>
      <c r="I9" s="6">
        <v>3</v>
      </c>
      <c r="J9" s="6">
        <v>3</v>
      </c>
      <c r="K9" s="6">
        <f t="shared" si="1"/>
        <v>0</v>
      </c>
      <c r="L9" s="42">
        <v>2</v>
      </c>
    </row>
    <row r="10" spans="1:12" ht="13.5" customHeight="1">
      <c r="A10" s="7" t="s">
        <v>89</v>
      </c>
      <c r="B10" s="7">
        <v>3</v>
      </c>
      <c r="C10" s="7">
        <v>2</v>
      </c>
      <c r="D10" s="6">
        <f t="shared" si="0"/>
        <v>6</v>
      </c>
      <c r="F10" s="11"/>
      <c r="G10" s="7" t="s">
        <v>403</v>
      </c>
      <c r="I10" s="6">
        <f>2+2</f>
        <v>4</v>
      </c>
      <c r="J10" s="6">
        <v>3</v>
      </c>
      <c r="K10" s="6">
        <f t="shared" si="1"/>
        <v>1</v>
      </c>
      <c r="L10" s="52">
        <v>1</v>
      </c>
    </row>
    <row r="11" spans="1:12" ht="13.5" customHeight="1">
      <c r="A11" s="7" t="s">
        <v>101</v>
      </c>
      <c r="B11" s="7">
        <v>7</v>
      </c>
      <c r="D11" s="6">
        <f t="shared" si="0"/>
        <v>0</v>
      </c>
      <c r="F11" s="11"/>
      <c r="G11" s="7" t="s">
        <v>407</v>
      </c>
      <c r="I11" s="6">
        <v>1</v>
      </c>
      <c r="J11" s="6">
        <v>3</v>
      </c>
      <c r="K11" s="6">
        <f t="shared" si="1"/>
        <v>-2</v>
      </c>
      <c r="L11" s="52">
        <v>1</v>
      </c>
    </row>
    <row r="12" spans="1:12" ht="13.5" customHeight="1">
      <c r="A12" s="7" t="s">
        <v>97</v>
      </c>
      <c r="B12" s="7">
        <v>10</v>
      </c>
      <c r="D12" s="6">
        <f t="shared" si="0"/>
        <v>0</v>
      </c>
      <c r="F12" s="11"/>
      <c r="G12" s="7" t="s">
        <v>404</v>
      </c>
      <c r="I12" s="6">
        <f>3+2</f>
        <v>5</v>
      </c>
      <c r="J12" s="6">
        <v>3</v>
      </c>
      <c r="K12" s="6">
        <f t="shared" si="1"/>
        <v>2</v>
      </c>
      <c r="L12" s="6">
        <v>0</v>
      </c>
    </row>
    <row r="13" spans="1:12" ht="13.5" customHeight="1">
      <c r="A13" s="7" t="s">
        <v>90</v>
      </c>
      <c r="B13" s="7">
        <v>5</v>
      </c>
      <c r="C13" s="7">
        <v>1</v>
      </c>
      <c r="D13" s="6">
        <f t="shared" si="0"/>
        <v>5</v>
      </c>
      <c r="F13" s="11"/>
      <c r="G13" s="7" t="s">
        <v>405</v>
      </c>
      <c r="I13" s="6">
        <f>2+6</f>
        <v>8</v>
      </c>
      <c r="J13" s="6">
        <v>3</v>
      </c>
      <c r="K13" s="6">
        <f t="shared" si="1"/>
        <v>5</v>
      </c>
      <c r="L13" s="6">
        <v>0</v>
      </c>
    </row>
    <row r="14" spans="1:12" ht="13.5" customHeight="1">
      <c r="A14" s="7" t="s">
        <v>98</v>
      </c>
      <c r="B14" s="7">
        <v>110</v>
      </c>
      <c r="C14" s="7">
        <v>1</v>
      </c>
      <c r="D14" s="6">
        <f>C14*B14</f>
        <v>110</v>
      </c>
      <c r="F14" s="11"/>
    </row>
    <row r="15" spans="1:12" ht="13.5" customHeight="1">
      <c r="A15" s="7" t="s">
        <v>92</v>
      </c>
      <c r="B15" s="7">
        <v>4</v>
      </c>
      <c r="D15" s="6">
        <f t="shared" ref="D15" si="2">C15*B15</f>
        <v>0</v>
      </c>
      <c r="F15" s="11"/>
    </row>
    <row r="16" spans="1:12" ht="13.5" customHeight="1">
      <c r="A16" s="7" t="s">
        <v>392</v>
      </c>
      <c r="B16" s="7">
        <v>1.9</v>
      </c>
      <c r="C16" s="7">
        <v>2</v>
      </c>
      <c r="D16" s="6">
        <f>C16*B16</f>
        <v>3.8</v>
      </c>
      <c r="F16" s="11"/>
      <c r="G16" s="7" t="s">
        <v>408</v>
      </c>
      <c r="I16" s="6">
        <v>3</v>
      </c>
    </row>
    <row r="17" spans="1:15" ht="13.5" customHeight="1">
      <c r="A17" s="7" t="s">
        <v>84</v>
      </c>
      <c r="B17" s="7">
        <v>8</v>
      </c>
      <c r="C17" s="7">
        <v>0.3</v>
      </c>
      <c r="D17" s="6">
        <f>C17*B17</f>
        <v>2.4</v>
      </c>
      <c r="F17" s="11"/>
      <c r="G17" s="7" t="s">
        <v>409</v>
      </c>
      <c r="I17" s="6">
        <v>2</v>
      </c>
    </row>
    <row r="18" spans="1:15" ht="13.5" customHeight="1">
      <c r="A18" s="7" t="s">
        <v>91</v>
      </c>
      <c r="B18" s="7">
        <v>10</v>
      </c>
      <c r="C18" s="7">
        <v>1</v>
      </c>
      <c r="D18" s="6">
        <f>C18*B18</f>
        <v>10</v>
      </c>
      <c r="F18" s="11"/>
    </row>
    <row r="19" spans="1:15" ht="13.5" customHeight="1">
      <c r="D19" s="26">
        <f>SUM(D3:D18)</f>
        <v>227.20000000000002</v>
      </c>
      <c r="F19" s="11"/>
      <c r="G19" s="8" t="s">
        <v>4</v>
      </c>
      <c r="H19" s="9">
        <v>6.0000000000000001E-3</v>
      </c>
      <c r="O19" s="7" t="s">
        <v>102</v>
      </c>
    </row>
    <row r="20" spans="1:15" ht="13.5" customHeight="1">
      <c r="A20" s="7" t="s">
        <v>76</v>
      </c>
      <c r="B20" s="7">
        <v>10</v>
      </c>
      <c r="C20" s="7">
        <v>1</v>
      </c>
      <c r="D20" s="6">
        <f t="shared" ref="D20:D30" si="3">C20*B20</f>
        <v>10</v>
      </c>
      <c r="G20" s="10"/>
      <c r="K20" s="6" t="s">
        <v>238</v>
      </c>
      <c r="L20" s="6" t="s">
        <v>239</v>
      </c>
      <c r="M20" s="6" t="s">
        <v>241</v>
      </c>
      <c r="O20" s="41" t="s">
        <v>236</v>
      </c>
    </row>
    <row r="21" spans="1:15" ht="13.5" customHeight="1">
      <c r="A21" s="7" t="s">
        <v>5</v>
      </c>
      <c r="B21" s="7">
        <v>12</v>
      </c>
      <c r="C21" s="7">
        <v>1</v>
      </c>
      <c r="D21" s="6">
        <f t="shared" si="3"/>
        <v>12</v>
      </c>
      <c r="G21" s="7" t="s">
        <v>71</v>
      </c>
      <c r="J21" s="6" t="s">
        <v>110</v>
      </c>
      <c r="K21" s="6">
        <v>38</v>
      </c>
      <c r="L21" s="6">
        <f>K21*60</f>
        <v>2280</v>
      </c>
      <c r="M21" s="25">
        <f>1000/L21</f>
        <v>0.43859649122807015</v>
      </c>
      <c r="N21" s="7" t="s">
        <v>240</v>
      </c>
      <c r="O21" s="7">
        <v>230</v>
      </c>
    </row>
    <row r="22" spans="1:15" ht="13.5" customHeight="1">
      <c r="A22" s="7" t="s">
        <v>82</v>
      </c>
      <c r="B22" s="7">
        <v>9</v>
      </c>
      <c r="C22" s="7">
        <v>1</v>
      </c>
      <c r="D22" s="6">
        <f t="shared" si="3"/>
        <v>9</v>
      </c>
      <c r="G22" s="7" t="s">
        <v>72</v>
      </c>
      <c r="J22" s="6" t="s">
        <v>237</v>
      </c>
      <c r="K22" s="42">
        <v>24</v>
      </c>
      <c r="L22" s="6">
        <f t="shared" ref="L22:L23" si="4">K22*60</f>
        <v>1440</v>
      </c>
      <c r="M22" s="25">
        <f t="shared" ref="M22:M23" si="5">1000/L22</f>
        <v>0.69444444444444442</v>
      </c>
      <c r="N22" s="7" t="s">
        <v>240</v>
      </c>
      <c r="O22" s="7">
        <f>O21*3.78/24/60</f>
        <v>0.60375000000000001</v>
      </c>
    </row>
    <row r="23" spans="1:15" ht="13.5" customHeight="1">
      <c r="A23" s="7" t="s">
        <v>100</v>
      </c>
      <c r="B23" s="7">
        <v>15</v>
      </c>
      <c r="D23" s="6">
        <f t="shared" si="3"/>
        <v>0</v>
      </c>
      <c r="G23" s="7" t="s">
        <v>73</v>
      </c>
      <c r="J23" s="6" t="s">
        <v>82</v>
      </c>
      <c r="K23" s="42">
        <v>7.5</v>
      </c>
      <c r="L23" s="6">
        <f t="shared" si="4"/>
        <v>450</v>
      </c>
      <c r="M23" s="25">
        <f t="shared" si="5"/>
        <v>2.2222222222222223</v>
      </c>
      <c r="N23" s="7" t="s">
        <v>240</v>
      </c>
    </row>
    <row r="24" spans="1:15" ht="13.5" customHeight="1">
      <c r="A24" s="7" t="s">
        <v>77</v>
      </c>
      <c r="B24" s="7">
        <v>8</v>
      </c>
      <c r="C24" s="7">
        <v>1</v>
      </c>
      <c r="D24" s="6">
        <f t="shared" si="3"/>
        <v>8</v>
      </c>
      <c r="G24" s="7" t="s">
        <v>74</v>
      </c>
    </row>
    <row r="25" spans="1:15" ht="13.5" customHeight="1">
      <c r="A25" s="7" t="s">
        <v>6</v>
      </c>
      <c r="B25" s="7">
        <v>5</v>
      </c>
      <c r="C25" s="7">
        <v>1</v>
      </c>
      <c r="D25" s="6">
        <f t="shared" si="3"/>
        <v>5</v>
      </c>
      <c r="G25" s="7" t="s">
        <v>75</v>
      </c>
    </row>
    <row r="26" spans="1:15" ht="13.5" customHeight="1">
      <c r="A26" s="7" t="s">
        <v>361</v>
      </c>
      <c r="B26" s="7">
        <v>0.7</v>
      </c>
      <c r="C26" s="7">
        <v>1</v>
      </c>
      <c r="D26" s="6">
        <f t="shared" si="3"/>
        <v>0.7</v>
      </c>
    </row>
    <row r="27" spans="1:15" ht="13.5" customHeight="1">
      <c r="A27" s="7" t="s">
        <v>362</v>
      </c>
      <c r="B27" s="7">
        <v>1</v>
      </c>
      <c r="C27" s="7">
        <v>1</v>
      </c>
      <c r="D27" s="6">
        <f t="shared" si="3"/>
        <v>1</v>
      </c>
      <c r="G27" s="6" t="s">
        <v>7</v>
      </c>
      <c r="H27" s="6" t="s">
        <v>8</v>
      </c>
      <c r="J27" s="7"/>
    </row>
    <row r="28" spans="1:15" ht="13.5" customHeight="1">
      <c r="A28" s="7" t="s">
        <v>99</v>
      </c>
      <c r="B28" s="7">
        <v>5.5</v>
      </c>
      <c r="C28" s="7">
        <v>1</v>
      </c>
      <c r="D28" s="6">
        <f t="shared" si="3"/>
        <v>5.5</v>
      </c>
      <c r="G28" s="6">
        <v>607</v>
      </c>
      <c r="H28" s="6">
        <v>13671</v>
      </c>
      <c r="I28" s="6">
        <v>13695</v>
      </c>
      <c r="J28" s="7">
        <f>I28-H28</f>
        <v>24</v>
      </c>
      <c r="K28" s="12">
        <f>(H28+I28)/2</f>
        <v>13683</v>
      </c>
      <c r="L28" s="13">
        <f>K28/G28</f>
        <v>22.542009884678748</v>
      </c>
      <c r="M28" s="14">
        <f>J28/K28</f>
        <v>1.7540013155009867E-3</v>
      </c>
    </row>
    <row r="29" spans="1:15" ht="13.5" customHeight="1">
      <c r="A29" s="7" t="s">
        <v>80</v>
      </c>
      <c r="B29" s="7">
        <v>53</v>
      </c>
      <c r="D29" s="6">
        <f t="shared" si="3"/>
        <v>0</v>
      </c>
      <c r="G29" s="6">
        <v>501</v>
      </c>
      <c r="H29" s="6">
        <v>12545</v>
      </c>
      <c r="I29" s="6">
        <v>12571</v>
      </c>
      <c r="J29" s="7">
        <f t="shared" ref="J29:J44" si="6">I29-H29</f>
        <v>26</v>
      </c>
      <c r="K29" s="12">
        <f t="shared" ref="K29:K44" si="7">(H29+I29)/2</f>
        <v>12558</v>
      </c>
      <c r="L29" s="13">
        <f t="shared" ref="L29:L44" si="8">K29/G29</f>
        <v>25.065868263473053</v>
      </c>
      <c r="M29" s="14">
        <f t="shared" ref="M29:M44" si="9">J29/K29</f>
        <v>2.070393374741201E-3</v>
      </c>
    </row>
    <row r="30" spans="1:15" ht="13.5" customHeight="1">
      <c r="A30" s="7" t="s">
        <v>81</v>
      </c>
      <c r="B30" s="7">
        <v>3</v>
      </c>
      <c r="D30" s="6">
        <f t="shared" si="3"/>
        <v>0</v>
      </c>
      <c r="G30" s="6">
        <v>431</v>
      </c>
      <c r="H30" s="6">
        <v>11285</v>
      </c>
      <c r="I30" s="6">
        <v>11300</v>
      </c>
      <c r="J30" s="7">
        <f t="shared" si="6"/>
        <v>15</v>
      </c>
      <c r="K30" s="12">
        <f t="shared" si="7"/>
        <v>11292.5</v>
      </c>
      <c r="L30" s="13">
        <f t="shared" si="8"/>
        <v>26.200696055684453</v>
      </c>
      <c r="M30" s="14">
        <f t="shared" si="9"/>
        <v>1.3283152534868275E-3</v>
      </c>
    </row>
    <row r="31" spans="1:15" ht="13.5" customHeight="1">
      <c r="D31" s="26">
        <f>SUM(D20:D30)</f>
        <v>51.2</v>
      </c>
      <c r="G31" s="6">
        <v>382</v>
      </c>
      <c r="H31" s="6">
        <v>10420</v>
      </c>
      <c r="I31" s="6">
        <v>10441</v>
      </c>
      <c r="J31" s="7">
        <f t="shared" si="6"/>
        <v>21</v>
      </c>
      <c r="K31" s="12">
        <f t="shared" si="7"/>
        <v>10430.5</v>
      </c>
      <c r="L31" s="13">
        <f t="shared" si="8"/>
        <v>27.304973821989527</v>
      </c>
      <c r="M31" s="14">
        <f t="shared" si="9"/>
        <v>2.0133263026700541E-3</v>
      </c>
    </row>
    <row r="32" spans="1:15" ht="13.5" customHeight="1">
      <c r="D32" s="6"/>
      <c r="G32" s="6">
        <v>292</v>
      </c>
      <c r="H32" s="6">
        <v>8704</v>
      </c>
      <c r="I32" s="6">
        <v>8732</v>
      </c>
      <c r="J32" s="7">
        <f t="shared" si="6"/>
        <v>28</v>
      </c>
      <c r="K32" s="12">
        <f t="shared" si="7"/>
        <v>8718</v>
      </c>
      <c r="L32" s="13">
        <f t="shared" si="8"/>
        <v>29.856164383561644</v>
      </c>
      <c r="M32" s="14">
        <f t="shared" si="9"/>
        <v>3.2117458132599219E-3</v>
      </c>
    </row>
    <row r="33" spans="7:15" ht="13.5" customHeight="1">
      <c r="G33" s="6">
        <v>256</v>
      </c>
      <c r="H33" s="6">
        <v>7881</v>
      </c>
      <c r="I33" s="6">
        <v>7899</v>
      </c>
      <c r="J33" s="7">
        <f t="shared" si="6"/>
        <v>18</v>
      </c>
      <c r="K33" s="12">
        <f t="shared" si="7"/>
        <v>7890</v>
      </c>
      <c r="L33" s="13">
        <f t="shared" si="8"/>
        <v>30.8203125</v>
      </c>
      <c r="M33" s="14">
        <f t="shared" si="9"/>
        <v>2.2813688212927757E-3</v>
      </c>
    </row>
    <row r="34" spans="7:15" ht="13.5" customHeight="1">
      <c r="G34" s="6">
        <v>211</v>
      </c>
      <c r="H34" s="6">
        <v>6587</v>
      </c>
      <c r="I34" s="6">
        <v>6609</v>
      </c>
      <c r="J34" s="7">
        <f t="shared" si="6"/>
        <v>22</v>
      </c>
      <c r="K34" s="12">
        <f t="shared" si="7"/>
        <v>6598</v>
      </c>
      <c r="L34" s="13">
        <f t="shared" si="8"/>
        <v>31.270142180094787</v>
      </c>
      <c r="M34" s="14">
        <f t="shared" si="9"/>
        <v>3.3343437405274324E-3</v>
      </c>
    </row>
    <row r="35" spans="7:15" ht="13.5" customHeight="1">
      <c r="G35" s="6">
        <v>184</v>
      </c>
      <c r="H35" s="6">
        <v>5938</v>
      </c>
      <c r="I35" s="6">
        <v>5972</v>
      </c>
      <c r="J35" s="7">
        <f t="shared" si="6"/>
        <v>34</v>
      </c>
      <c r="K35" s="12">
        <f t="shared" si="7"/>
        <v>5955</v>
      </c>
      <c r="L35" s="13">
        <f t="shared" si="8"/>
        <v>32.364130434782609</v>
      </c>
      <c r="M35" s="14">
        <f t="shared" si="9"/>
        <v>5.7094878253568428E-3</v>
      </c>
    </row>
    <row r="36" spans="7:15" ht="13.5" customHeight="1">
      <c r="G36" s="6">
        <v>152</v>
      </c>
      <c r="H36" s="6">
        <v>5583</v>
      </c>
      <c r="I36" s="6">
        <v>5594</v>
      </c>
      <c r="J36" s="7">
        <f t="shared" si="6"/>
        <v>11</v>
      </c>
      <c r="K36" s="12">
        <f t="shared" si="7"/>
        <v>5588.5</v>
      </c>
      <c r="L36" s="13">
        <f t="shared" si="8"/>
        <v>36.766447368421055</v>
      </c>
      <c r="M36" s="14">
        <f t="shared" si="9"/>
        <v>1.9683278160508187E-3</v>
      </c>
    </row>
    <row r="37" spans="7:15" ht="13.5" customHeight="1">
      <c r="G37" s="6">
        <v>126</v>
      </c>
      <c r="H37" s="6">
        <v>4727</v>
      </c>
      <c r="I37" s="6">
        <v>4744</v>
      </c>
      <c r="J37" s="7">
        <f t="shared" si="6"/>
        <v>17</v>
      </c>
      <c r="K37" s="12">
        <f t="shared" si="7"/>
        <v>4735.5</v>
      </c>
      <c r="L37" s="13">
        <f t="shared" si="8"/>
        <v>37.583333333333336</v>
      </c>
      <c r="M37" s="14">
        <f t="shared" si="9"/>
        <v>3.5899060289304192E-3</v>
      </c>
    </row>
    <row r="38" spans="7:15" ht="13.5" customHeight="1">
      <c r="G38" s="6">
        <v>109</v>
      </c>
      <c r="H38" s="6">
        <v>4206</v>
      </c>
      <c r="I38" s="6">
        <v>4215</v>
      </c>
      <c r="J38" s="7">
        <f t="shared" si="6"/>
        <v>9</v>
      </c>
      <c r="K38" s="12">
        <f t="shared" si="7"/>
        <v>4210.5</v>
      </c>
      <c r="L38" s="13">
        <f t="shared" si="8"/>
        <v>38.628440366972477</v>
      </c>
      <c r="M38" s="14">
        <f t="shared" si="9"/>
        <v>2.1375133594584966E-3</v>
      </c>
    </row>
    <row r="39" spans="7:15" ht="13.5" customHeight="1">
      <c r="G39" s="6">
        <v>101</v>
      </c>
      <c r="H39" s="6">
        <v>3924</v>
      </c>
      <c r="I39" s="6">
        <v>3932</v>
      </c>
      <c r="J39" s="7">
        <f t="shared" si="6"/>
        <v>8</v>
      </c>
      <c r="K39" s="12">
        <f t="shared" si="7"/>
        <v>3928</v>
      </c>
      <c r="L39" s="13">
        <f t="shared" si="8"/>
        <v>38.89108910891089</v>
      </c>
      <c r="M39" s="14">
        <f t="shared" si="9"/>
        <v>2.0366598778004071E-3</v>
      </c>
      <c r="N39" s="14"/>
    </row>
    <row r="40" spans="7:15" ht="13.5" customHeight="1">
      <c r="G40" s="6">
        <v>81</v>
      </c>
      <c r="H40" s="6">
        <v>2928</v>
      </c>
      <c r="I40" s="6">
        <v>2933</v>
      </c>
      <c r="J40" s="7">
        <f t="shared" si="6"/>
        <v>5</v>
      </c>
      <c r="K40" s="12">
        <f t="shared" si="7"/>
        <v>2930.5</v>
      </c>
      <c r="L40" s="13">
        <f t="shared" si="8"/>
        <v>36.179012345679013</v>
      </c>
      <c r="M40" s="14">
        <f t="shared" si="9"/>
        <v>1.7061934823408974E-3</v>
      </c>
      <c r="N40" s="14"/>
    </row>
    <row r="41" spans="7:15" ht="13.5" customHeight="1">
      <c r="G41" s="6">
        <v>68</v>
      </c>
      <c r="H41" s="6">
        <v>2824</v>
      </c>
      <c r="I41" s="6">
        <v>2828</v>
      </c>
      <c r="J41" s="7">
        <f t="shared" si="6"/>
        <v>4</v>
      </c>
      <c r="K41" s="12">
        <f t="shared" si="7"/>
        <v>2826</v>
      </c>
      <c r="L41" s="13">
        <f t="shared" si="8"/>
        <v>41.558823529411768</v>
      </c>
      <c r="M41" s="14">
        <f t="shared" si="9"/>
        <v>1.4154281670205238E-3</v>
      </c>
      <c r="N41" s="14"/>
    </row>
    <row r="42" spans="7:15" ht="13.5" customHeight="1">
      <c r="G42" s="6"/>
      <c r="J42" s="7"/>
      <c r="K42" s="12"/>
      <c r="L42" s="13"/>
      <c r="M42" s="14"/>
      <c r="N42" s="14"/>
    </row>
    <row r="43" spans="7:15" ht="13.5" customHeight="1">
      <c r="G43" s="6">
        <v>77</v>
      </c>
      <c r="H43" s="6">
        <v>935</v>
      </c>
      <c r="I43" s="6">
        <v>1092</v>
      </c>
      <c r="J43" s="7">
        <f t="shared" si="6"/>
        <v>157</v>
      </c>
      <c r="K43" s="12">
        <f t="shared" si="7"/>
        <v>1013.5</v>
      </c>
      <c r="L43" s="13">
        <f t="shared" si="8"/>
        <v>13.162337662337663</v>
      </c>
      <c r="M43" s="14">
        <f t="shared" si="9"/>
        <v>0.15490873211642822</v>
      </c>
      <c r="N43" s="14"/>
    </row>
    <row r="44" spans="7:15" ht="13.5" customHeight="1">
      <c r="G44" s="6">
        <v>2</v>
      </c>
      <c r="H44" s="6">
        <v>45</v>
      </c>
      <c r="I44" s="6">
        <v>49</v>
      </c>
      <c r="J44" s="7">
        <f t="shared" si="6"/>
        <v>4</v>
      </c>
      <c r="K44" s="12">
        <f t="shared" si="7"/>
        <v>47</v>
      </c>
      <c r="L44" s="13">
        <f t="shared" si="8"/>
        <v>23.5</v>
      </c>
      <c r="M44" s="14">
        <f t="shared" si="9"/>
        <v>8.5106382978723402E-2</v>
      </c>
      <c r="N44" s="14"/>
    </row>
    <row r="46" spans="7:15" ht="13.5" customHeight="1">
      <c r="G46" s="7" t="s">
        <v>9</v>
      </c>
      <c r="N46" s="7" t="s">
        <v>10</v>
      </c>
      <c r="O46" s="7" t="s">
        <v>11</v>
      </c>
    </row>
    <row r="47" spans="7:15" ht="13.5" customHeight="1">
      <c r="G47" s="7" t="s">
        <v>12</v>
      </c>
      <c r="N47" s="7" t="s">
        <v>13</v>
      </c>
      <c r="O47" s="7" t="s">
        <v>14</v>
      </c>
    </row>
    <row r="48" spans="7: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1000*D75+100*D76</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B71" s="6" t="s">
        <v>56</v>
      </c>
      <c r="C71" s="7" t="s">
        <v>2</v>
      </c>
      <c r="D71" s="6" t="s">
        <v>57</v>
      </c>
      <c r="F71" s="22"/>
      <c r="G71" s="6" t="s">
        <v>68</v>
      </c>
      <c r="I71" s="6">
        <f>I69*2</f>
        <v>1000</v>
      </c>
      <c r="J71" s="6">
        <f>J69*2</f>
        <v>300</v>
      </c>
      <c r="K71" s="20">
        <f>K69*2</f>
        <v>38.645502645502646</v>
      </c>
      <c r="L71" s="20">
        <f>L69*2</f>
        <v>261.35449735449737</v>
      </c>
    </row>
    <row r="72" spans="1:12" ht="13.5" customHeight="1">
      <c r="A72" s="7" t="s">
        <v>63</v>
      </c>
      <c r="B72" s="6">
        <v>5</v>
      </c>
      <c r="C72" s="7">
        <f>2/1000</f>
        <v>2E-3</v>
      </c>
      <c r="D72" s="18">
        <f>B72*C72</f>
        <v>0.01</v>
      </c>
      <c r="F72" s="22"/>
    </row>
    <row r="73" spans="1:12" ht="13.5" customHeight="1">
      <c r="A73" s="7" t="s">
        <v>65</v>
      </c>
      <c r="B73" s="6">
        <v>1</v>
      </c>
      <c r="C73" s="7">
        <f>(50/1000*24)/(75*3.78)</f>
        <v>4.2328042328042331E-3</v>
      </c>
      <c r="D73" s="21">
        <f>B73*C73</f>
        <v>4.2328042328042331E-3</v>
      </c>
      <c r="F73" s="22"/>
    </row>
    <row r="74" spans="1:12" ht="13.5" customHeight="1">
      <c r="A74" s="7" t="s">
        <v>67</v>
      </c>
      <c r="B74" s="6">
        <v>1</v>
      </c>
      <c r="C74" s="7">
        <f>2200/(1000*60)</f>
        <v>3.6666666666666667E-2</v>
      </c>
      <c r="D74" s="21">
        <f>B74*C74</f>
        <v>3.6666666666666667E-2</v>
      </c>
    </row>
    <row r="75" spans="1:12" ht="13.5" customHeight="1">
      <c r="A75" s="7" t="s">
        <v>69</v>
      </c>
      <c r="D75" s="21">
        <f>D72+D73</f>
        <v>1.4232804232804232E-2</v>
      </c>
    </row>
    <row r="76" spans="1:12" ht="13.5" customHeight="1">
      <c r="A76" s="7" t="s">
        <v>70</v>
      </c>
      <c r="D76" s="21">
        <f>D74+D75</f>
        <v>5.0899470899470903E-2</v>
      </c>
    </row>
    <row r="79" spans="1:12" ht="13.5" customHeight="1">
      <c r="G79" s="6"/>
    </row>
    <row r="80" spans="1:12" ht="13.5" customHeight="1">
      <c r="G80" s="23"/>
      <c r="H80" s="24"/>
      <c r="I80" s="25"/>
    </row>
    <row r="81" spans="7:9" ht="13.5" customHeight="1">
      <c r="G81" s="23"/>
      <c r="H81" s="24"/>
      <c r="I81" s="25"/>
    </row>
    <row r="82" spans="7:9" ht="13.5" customHeight="1">
      <c r="G82" s="23"/>
      <c r="H82" s="24"/>
      <c r="I82" s="25"/>
    </row>
    <row r="83" spans="7:9" ht="13.5" customHeight="1">
      <c r="G83" s="23"/>
      <c r="H83" s="24"/>
      <c r="I83" s="25"/>
    </row>
    <row r="84" spans="7: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toDo</vt:lpstr>
      <vt:lpstr>裝機</vt:lpstr>
      <vt:lpstr>售水</vt:lpstr>
      <vt:lpstr>街電</vt:lpstr>
      <vt:lpstr>售水4</vt:lpstr>
      <vt:lpstr>售水3</vt:lpstr>
      <vt:lpstr>售水2</vt:lpstr>
      <vt:lpstr>售水1</vt:lpstr>
      <vt:lpstr>售水0</vt:lpstr>
      <vt:lpstr>p1</vt:lpstr>
      <vt:lpstr>p2</vt:lpstr>
      <vt:lpstr>p3</vt:lpstr>
      <vt:lpstr>p4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2017-12-23T12:17:55Z</dcterms:modified>
</cp:coreProperties>
</file>