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0" yWindow="120" windowWidth="19395" windowHeight="7170" tabRatio="716"/>
  </bookViews>
  <sheets>
    <sheet name="業績" sheetId="8" r:id="rId1"/>
    <sheet name="toDo" sheetId="9" r:id="rId2"/>
    <sheet name="售水" sheetId="7" r:id="rId3"/>
    <sheet name="街電" sheetId="5" r:id="rId4"/>
    <sheet name="售水4" sheetId="1" r:id="rId5"/>
    <sheet name="售水3" sheetId="6" r:id="rId6"/>
    <sheet name="售水2" sheetId="2" r:id="rId7"/>
    <sheet name="售水1" sheetId="3" r:id="rId8"/>
    <sheet name="售水0" sheetId="4" r:id="rId9"/>
  </sheets>
  <externalReferences>
    <externalReference r:id="rId10"/>
  </externalReferences>
  <definedNames>
    <definedName name="a">#REF!</definedName>
    <definedName name="aaaa">#REF!</definedName>
    <definedName name="aaaa4">#REF!</definedName>
    <definedName name="aaaa5">#REF!</definedName>
    <definedName name="aaaa6">#REF!</definedName>
    <definedName name="aaaa7">#REF!</definedName>
    <definedName name="aaaa8">#REF!</definedName>
    <definedName name="aaaa9">#REF!</definedName>
    <definedName name="sale_amount_by_date" localSheetId="2">#REF!</definedName>
    <definedName name="sale_amount_by_date" localSheetId="8">#REF!</definedName>
    <definedName name="sale_amount_by_date" localSheetId="7">#REF!</definedName>
    <definedName name="sale_amount_by_date" localSheetId="6">#REF!</definedName>
    <definedName name="sale_amount_by_date" localSheetId="5">#REF!</definedName>
    <definedName name="sale_amount_by_date">#REF!</definedName>
    <definedName name="sale_amount_by_date_10" localSheetId="2">#REF!</definedName>
    <definedName name="sale_amount_by_date_10" localSheetId="8">#REF!</definedName>
    <definedName name="sale_amount_by_date_10" localSheetId="7">#REF!</definedName>
    <definedName name="sale_amount_by_date_10" localSheetId="6">#REF!</definedName>
    <definedName name="sale_amount_by_date_10" localSheetId="5">#REF!</definedName>
    <definedName name="sale_amount_by_date_10">#REF!</definedName>
    <definedName name="sale_amount_by_date_3" localSheetId="2">#REF!</definedName>
    <definedName name="sale_amount_by_date_3" localSheetId="8">#REF!</definedName>
    <definedName name="sale_amount_by_date_3" localSheetId="7">#REF!</definedName>
    <definedName name="sale_amount_by_date_3" localSheetId="6">#REF!</definedName>
    <definedName name="sale_amount_by_date_3" localSheetId="5">#REF!</definedName>
    <definedName name="sale_amount_by_date_3">#REF!</definedName>
    <definedName name="sale_amount_by_date_4" localSheetId="2">#REF!</definedName>
    <definedName name="sale_amount_by_date_4" localSheetId="8">#REF!</definedName>
    <definedName name="sale_amount_by_date_4" localSheetId="7">#REF!</definedName>
    <definedName name="sale_amount_by_date_4" localSheetId="6">#REF!</definedName>
    <definedName name="sale_amount_by_date_4" localSheetId="5">#REF!</definedName>
    <definedName name="sale_amount_by_date_4">#REF!</definedName>
    <definedName name="sale_amount_by_month" localSheetId="2">#REF!</definedName>
    <definedName name="sale_amount_by_month" localSheetId="8">#REF!</definedName>
    <definedName name="sale_amount_by_month" localSheetId="7">#REF!</definedName>
    <definedName name="sale_amount_by_month" localSheetId="6">#REF!</definedName>
    <definedName name="sale_amount_by_month" localSheetId="5">#REF!</definedName>
    <definedName name="sale_amount_by_month">#REF!</definedName>
    <definedName name="sale_amount_by_month_10" localSheetId="2">#REF!</definedName>
    <definedName name="sale_amount_by_month_10" localSheetId="8">#REF!</definedName>
    <definedName name="sale_amount_by_month_10" localSheetId="7">#REF!</definedName>
    <definedName name="sale_amount_by_month_10" localSheetId="6">#REF!</definedName>
    <definedName name="sale_amount_by_month_10" localSheetId="5">#REF!</definedName>
    <definedName name="sale_amount_by_month_10">#REF!</definedName>
    <definedName name="sale_amount_by_month_3" localSheetId="2">#REF!</definedName>
    <definedName name="sale_amount_by_month_3" localSheetId="8">#REF!</definedName>
    <definedName name="sale_amount_by_month_3" localSheetId="7">#REF!</definedName>
    <definedName name="sale_amount_by_month_3" localSheetId="6">#REF!</definedName>
    <definedName name="sale_amount_by_month_3" localSheetId="5">#REF!</definedName>
    <definedName name="sale_amount_by_month_3">#REF!</definedName>
    <definedName name="sale_amount_by_month_4" localSheetId="2">#REF!</definedName>
    <definedName name="sale_amount_by_month_4" localSheetId="8">#REF!</definedName>
    <definedName name="sale_amount_by_month_4" localSheetId="7">#REF!</definedName>
    <definedName name="sale_amount_by_month_4" localSheetId="6">#REF!</definedName>
    <definedName name="sale_amount_by_month_4" localSheetId="5">#REF!</definedName>
    <definedName name="sale_amount_by_month_4">#REF!</definedName>
    <definedName name="住宿厚街汀山凱旋公寓506" comment="上午 Tokyo-&gt;HK">[1]个帐!#REF!</definedName>
  </definedNames>
  <calcPr calcId="145621"/>
</workbook>
</file>

<file path=xl/calcChain.xml><?xml version="1.0" encoding="utf-8"?>
<calcChain xmlns="http://schemas.openxmlformats.org/spreadsheetml/2006/main">
  <c r="B38" i="8" l="1"/>
  <c r="B37" i="8" l="1"/>
  <c r="B4" i="8" l="1"/>
  <c r="B5" i="8"/>
  <c r="B6" i="8"/>
  <c r="B7" i="8"/>
  <c r="B8" i="8"/>
  <c r="B9" i="8"/>
  <c r="B10" i="8"/>
  <c r="B11" i="8"/>
  <c r="B12" i="8"/>
  <c r="B13" i="8"/>
  <c r="B14" i="8"/>
  <c r="B15" i="8"/>
  <c r="B16" i="8"/>
  <c r="B17" i="8"/>
  <c r="B18" i="8"/>
  <c r="B19" i="8"/>
  <c r="B20" i="8"/>
  <c r="B21" i="8"/>
  <c r="B22" i="8"/>
  <c r="B23" i="8"/>
  <c r="B24" i="8"/>
  <c r="B25" i="8"/>
  <c r="B26" i="8"/>
  <c r="B27" i="8"/>
  <c r="B28" i="8"/>
  <c r="B29" i="8"/>
  <c r="B30" i="8"/>
  <c r="B31" i="8"/>
  <c r="B32" i="8"/>
  <c r="B33" i="8"/>
  <c r="B34" i="8"/>
  <c r="B35" i="8"/>
  <c r="B36" i="8"/>
  <c r="B3" i="8"/>
  <c r="E40" i="8" l="1"/>
  <c r="H40" i="8" l="1"/>
  <c r="K20" i="8" l="1"/>
  <c r="K19" i="8"/>
  <c r="I40" i="8" l="1"/>
  <c r="G40" i="8" l="1"/>
  <c r="K5" i="7" l="1"/>
  <c r="K6" i="7"/>
  <c r="K7" i="7"/>
  <c r="K8" i="7"/>
  <c r="K9" i="7"/>
  <c r="K10" i="7"/>
  <c r="K11" i="7"/>
  <c r="K12" i="7"/>
  <c r="K13" i="7"/>
  <c r="K4" i="7"/>
  <c r="I12" i="7"/>
  <c r="I13" i="7"/>
  <c r="I10" i="7"/>
  <c r="I8" i="7"/>
  <c r="I6" i="7"/>
  <c r="I4" i="7"/>
  <c r="I7" i="7"/>
  <c r="O2" i="8" l="1"/>
  <c r="R7" i="8" l="1"/>
  <c r="S7" i="8" s="1"/>
  <c r="O7" i="8"/>
  <c r="R6" i="8"/>
  <c r="S6" i="8" s="1"/>
  <c r="O6" i="8"/>
  <c r="R5" i="8"/>
  <c r="S5" i="8" s="1"/>
  <c r="O5" i="8"/>
  <c r="R4" i="8"/>
  <c r="O4" i="8"/>
  <c r="R3" i="8"/>
  <c r="O3" i="8"/>
  <c r="R2" i="8"/>
  <c r="F40" i="8" l="1"/>
  <c r="H41" i="8" l="1"/>
  <c r="I41" i="8"/>
  <c r="G41" i="8"/>
  <c r="C40" i="8"/>
  <c r="D40" i="8"/>
  <c r="F42" i="8" l="1"/>
  <c r="E41" i="8"/>
  <c r="C74" i="7"/>
  <c r="D74" i="7" s="1"/>
  <c r="C73" i="7"/>
  <c r="D73" i="7" s="1"/>
  <c r="C72" i="7"/>
  <c r="D72" i="7" s="1"/>
  <c r="D75" i="7" s="1"/>
  <c r="I69" i="7"/>
  <c r="I71" i="7" s="1"/>
  <c r="K64" i="7"/>
  <c r="L50" i="7"/>
  <c r="L49" i="7"/>
  <c r="D30" i="7"/>
  <c r="D29" i="7"/>
  <c r="K44" i="7"/>
  <c r="L44" i="7" s="1"/>
  <c r="J44" i="7"/>
  <c r="D28" i="7"/>
  <c r="K43" i="7"/>
  <c r="L43" i="7" s="1"/>
  <c r="J43" i="7"/>
  <c r="M43" i="7" s="1"/>
  <c r="D27" i="7"/>
  <c r="D26" i="7"/>
  <c r="K41" i="7"/>
  <c r="L41" i="7" s="1"/>
  <c r="J41" i="7"/>
  <c r="M41" i="7" s="1"/>
  <c r="D25" i="7"/>
  <c r="K40" i="7"/>
  <c r="L40" i="7" s="1"/>
  <c r="J40" i="7"/>
  <c r="D24" i="7"/>
  <c r="K39" i="7"/>
  <c r="L39" i="7" s="1"/>
  <c r="J39" i="7"/>
  <c r="M39" i="7" s="1"/>
  <c r="D23" i="7"/>
  <c r="K38" i="7"/>
  <c r="L38" i="7" s="1"/>
  <c r="J38" i="7"/>
  <c r="D22" i="7"/>
  <c r="K37" i="7"/>
  <c r="L37" i="7" s="1"/>
  <c r="J37" i="7"/>
  <c r="M37" i="7" s="1"/>
  <c r="D21" i="7"/>
  <c r="K36" i="7"/>
  <c r="L36" i="7" s="1"/>
  <c r="J36" i="7"/>
  <c r="D20" i="7"/>
  <c r="K35" i="7"/>
  <c r="L35" i="7" s="1"/>
  <c r="J35" i="7"/>
  <c r="M35" i="7" s="1"/>
  <c r="K34" i="7"/>
  <c r="L34" i="7" s="1"/>
  <c r="J34" i="7"/>
  <c r="D18" i="7"/>
  <c r="K33" i="7"/>
  <c r="L33" i="7" s="1"/>
  <c r="J33" i="7"/>
  <c r="D17" i="7"/>
  <c r="K32" i="7"/>
  <c r="L32" i="7" s="1"/>
  <c r="J32" i="7"/>
  <c r="D16" i="7"/>
  <c r="K31" i="7"/>
  <c r="L31" i="7" s="1"/>
  <c r="J31" i="7"/>
  <c r="D15" i="7"/>
  <c r="K30" i="7"/>
  <c r="L30" i="7" s="1"/>
  <c r="J30" i="7"/>
  <c r="D14" i="7"/>
  <c r="K29" i="7"/>
  <c r="L29" i="7" s="1"/>
  <c r="J29" i="7"/>
  <c r="D13" i="7"/>
  <c r="K28" i="7"/>
  <c r="L28" i="7" s="1"/>
  <c r="J28" i="7"/>
  <c r="M28" i="7" s="1"/>
  <c r="D12" i="7"/>
  <c r="D11" i="7"/>
  <c r="D10" i="7"/>
  <c r="D9" i="7"/>
  <c r="D8" i="7"/>
  <c r="M23" i="7"/>
  <c r="L23" i="7"/>
  <c r="D7" i="7"/>
  <c r="O22" i="7"/>
  <c r="M22" i="7"/>
  <c r="L22" i="7"/>
  <c r="D6" i="7"/>
  <c r="L21" i="7"/>
  <c r="M21" i="7" s="1"/>
  <c r="D5" i="7"/>
  <c r="D4" i="7"/>
  <c r="D3" i="7"/>
  <c r="M32" i="7" l="1"/>
  <c r="M30" i="7"/>
  <c r="M34" i="7"/>
  <c r="M36" i="7"/>
  <c r="M38" i="7"/>
  <c r="M40" i="7"/>
  <c r="M44" i="7"/>
  <c r="J69" i="7"/>
  <c r="J71" i="7" s="1"/>
  <c r="D31" i="7"/>
  <c r="D19" i="7"/>
  <c r="D76" i="7"/>
  <c r="K69" i="7" s="1"/>
  <c r="M29" i="7"/>
  <c r="M31" i="7"/>
  <c r="M33" i="7"/>
  <c r="I70" i="7"/>
  <c r="J70" i="7"/>
  <c r="D26" i="1"/>
  <c r="D2" i="7" l="1"/>
  <c r="K71" i="7"/>
  <c r="K70" i="7"/>
  <c r="L69" i="7"/>
  <c r="C78" i="6"/>
  <c r="D78" i="6" s="1"/>
  <c r="C77" i="6"/>
  <c r="D77" i="6" s="1"/>
  <c r="C76" i="6"/>
  <c r="D76" i="6" s="1"/>
  <c r="D79" i="6" s="1"/>
  <c r="I53" i="6"/>
  <c r="J53" i="6" s="1"/>
  <c r="K48" i="6"/>
  <c r="L34" i="6"/>
  <c r="D34" i="6"/>
  <c r="L33" i="6"/>
  <c r="D33" i="6"/>
  <c r="D32" i="6"/>
  <c r="D31" i="6"/>
  <c r="D30" i="6"/>
  <c r="D29" i="6"/>
  <c r="L28" i="6"/>
  <c r="K28" i="6"/>
  <c r="J28" i="6"/>
  <c r="M28" i="6" s="1"/>
  <c r="D28" i="6"/>
  <c r="K27" i="6"/>
  <c r="L27" i="6" s="1"/>
  <c r="J27" i="6"/>
  <c r="D27" i="6"/>
  <c r="D26" i="6"/>
  <c r="K25" i="6"/>
  <c r="L25" i="6" s="1"/>
  <c r="J25" i="6"/>
  <c r="D25" i="6"/>
  <c r="D35" i="6" s="1"/>
  <c r="L24" i="6"/>
  <c r="K24" i="6"/>
  <c r="J24" i="6"/>
  <c r="M24" i="6" s="1"/>
  <c r="K23" i="6"/>
  <c r="L23" i="6" s="1"/>
  <c r="J23" i="6"/>
  <c r="D23" i="6"/>
  <c r="L22" i="6"/>
  <c r="K22" i="6"/>
  <c r="J22" i="6"/>
  <c r="M22" i="6" s="1"/>
  <c r="D22" i="6"/>
  <c r="K21" i="6"/>
  <c r="L21" i="6" s="1"/>
  <c r="J21" i="6"/>
  <c r="D21" i="6"/>
  <c r="L20" i="6"/>
  <c r="K20" i="6"/>
  <c r="J20" i="6"/>
  <c r="M20" i="6" s="1"/>
  <c r="D20" i="6"/>
  <c r="D24" i="6" s="1"/>
  <c r="K19" i="6"/>
  <c r="L19" i="6" s="1"/>
  <c r="J19" i="6"/>
  <c r="L18" i="6"/>
  <c r="K18" i="6"/>
  <c r="J18" i="6"/>
  <c r="M18" i="6" s="1"/>
  <c r="D18" i="6"/>
  <c r="K17" i="6"/>
  <c r="L17" i="6" s="1"/>
  <c r="J17" i="6"/>
  <c r="D17" i="6"/>
  <c r="L16" i="6"/>
  <c r="K16" i="6"/>
  <c r="J16" i="6"/>
  <c r="M16" i="6" s="1"/>
  <c r="D16" i="6"/>
  <c r="K15" i="6"/>
  <c r="L15" i="6" s="1"/>
  <c r="J15" i="6"/>
  <c r="D15" i="6"/>
  <c r="L14" i="6"/>
  <c r="K14" i="6"/>
  <c r="J14" i="6"/>
  <c r="M14" i="6" s="1"/>
  <c r="D14" i="6"/>
  <c r="K13" i="6"/>
  <c r="L13" i="6" s="1"/>
  <c r="J13" i="6"/>
  <c r="D13" i="6"/>
  <c r="L12" i="6"/>
  <c r="K12" i="6"/>
  <c r="J12" i="6"/>
  <c r="M12" i="6" s="1"/>
  <c r="D12" i="6"/>
  <c r="D11" i="6"/>
  <c r="D10" i="6"/>
  <c r="D9" i="6"/>
  <c r="D8" i="6"/>
  <c r="M7" i="6"/>
  <c r="L7" i="6"/>
  <c r="D7" i="6"/>
  <c r="O6" i="6"/>
  <c r="M6" i="6"/>
  <c r="L6" i="6"/>
  <c r="D6" i="6"/>
  <c r="L5" i="6"/>
  <c r="M5" i="6" s="1"/>
  <c r="D5" i="6"/>
  <c r="D4" i="6"/>
  <c r="D3" i="6"/>
  <c r="D19" i="6" s="1"/>
  <c r="D2" i="6" s="1"/>
  <c r="L71" i="7" l="1"/>
  <c r="L70" i="7"/>
  <c r="J55" i="6"/>
  <c r="J54" i="6"/>
  <c r="D80" i="6"/>
  <c r="K53" i="6" s="1"/>
  <c r="M13" i="6"/>
  <c r="M15" i="6"/>
  <c r="M17" i="6"/>
  <c r="M19" i="6"/>
  <c r="M21" i="6"/>
  <c r="M23" i="6"/>
  <c r="M25" i="6"/>
  <c r="M27" i="6"/>
  <c r="I54" i="6"/>
  <c r="I55" i="6"/>
  <c r="O6" i="1"/>
  <c r="K55" i="6" l="1"/>
  <c r="K54" i="6"/>
  <c r="L53" i="6"/>
  <c r="K27" i="1"/>
  <c r="L27" i="1" s="1"/>
  <c r="K28" i="1"/>
  <c r="L28" i="1" s="1"/>
  <c r="J27" i="1"/>
  <c r="M27" i="1" s="1"/>
  <c r="J28" i="1"/>
  <c r="M28" i="1" s="1"/>
  <c r="L55" i="6" l="1"/>
  <c r="L54" i="6"/>
  <c r="L6" i="1" l="1"/>
  <c r="M6" i="1" s="1"/>
  <c r="L7" i="1"/>
  <c r="M7" i="1" s="1"/>
  <c r="L5" i="1"/>
  <c r="M5" i="1" s="1"/>
  <c r="K1" i="4" l="1"/>
  <c r="L1" i="4"/>
  <c r="J2" i="4"/>
  <c r="K2" i="4"/>
  <c r="D3" i="4"/>
  <c r="D4" i="4"/>
  <c r="G4" i="4"/>
  <c r="D5" i="4"/>
  <c r="G5" i="4"/>
  <c r="N5" i="4"/>
  <c r="D6" i="4"/>
  <c r="G6" i="4"/>
  <c r="I6" i="4"/>
  <c r="J6" i="4"/>
  <c r="K6" i="4"/>
  <c r="L6" i="4"/>
  <c r="M6" i="4"/>
  <c r="D7" i="4"/>
  <c r="G7" i="4" s="1"/>
  <c r="G14" i="4" s="1"/>
  <c r="J7" i="4"/>
  <c r="I7" i="4" s="1"/>
  <c r="K7" i="4"/>
  <c r="L7" i="4"/>
  <c r="M7" i="4"/>
  <c r="D8" i="4"/>
  <c r="G8" i="4"/>
  <c r="D9" i="4"/>
  <c r="G9" i="4"/>
  <c r="K9" i="4"/>
  <c r="D10" i="4"/>
  <c r="M10" i="4"/>
  <c r="O10" i="4"/>
  <c r="D11" i="4"/>
  <c r="M11" i="4"/>
  <c r="D12" i="4"/>
  <c r="D13" i="4"/>
  <c r="D14" i="4" s="1"/>
  <c r="M14" i="4"/>
  <c r="D15" i="4"/>
  <c r="C16" i="4"/>
  <c r="D16" i="4"/>
  <c r="C17" i="4"/>
  <c r="D17" i="4"/>
  <c r="L17" i="4"/>
  <c r="M17" i="4"/>
  <c r="N17" i="4" s="1"/>
  <c r="D18" i="4"/>
  <c r="G18" i="4" s="1"/>
  <c r="K18" i="4"/>
  <c r="L18" i="4" s="1"/>
  <c r="N18" i="4" s="1"/>
  <c r="M18" i="4"/>
  <c r="C19" i="4"/>
  <c r="D19" i="4" s="1"/>
  <c r="L19" i="4"/>
  <c r="M19" i="4"/>
  <c r="N19" i="4" s="1"/>
  <c r="D20" i="4"/>
  <c r="G20" i="4"/>
  <c r="J20" i="4"/>
  <c r="L20" i="4"/>
  <c r="M20" i="4"/>
  <c r="N20" i="4"/>
  <c r="D21" i="4"/>
  <c r="G21" i="4"/>
  <c r="J21" i="4"/>
  <c r="L21" i="4"/>
  <c r="M21" i="4"/>
  <c r="N21" i="4"/>
  <c r="D22" i="4"/>
  <c r="G22" i="4"/>
  <c r="J22" i="4"/>
  <c r="L22" i="4"/>
  <c r="M22" i="4"/>
  <c r="N22" i="4"/>
  <c r="D23" i="4"/>
  <c r="G23" i="4"/>
  <c r="J23" i="4"/>
  <c r="L23" i="4"/>
  <c r="M23" i="4"/>
  <c r="N23" i="4"/>
  <c r="O24" i="4" s="1"/>
  <c r="D24" i="4"/>
  <c r="G24" i="4"/>
  <c r="J24" i="4"/>
  <c r="L24" i="4"/>
  <c r="M24" i="4"/>
  <c r="N24" i="4"/>
  <c r="D25" i="4"/>
  <c r="G25" i="4" s="1"/>
  <c r="L25" i="4"/>
  <c r="D26" i="4"/>
  <c r="G26" i="4" s="1"/>
  <c r="D28" i="4"/>
  <c r="G28" i="4" s="1"/>
  <c r="D29" i="4"/>
  <c r="G29" i="4" s="1"/>
  <c r="D30" i="4"/>
  <c r="G30" i="4" s="1"/>
  <c r="D31" i="4"/>
  <c r="G31" i="4"/>
  <c r="D32" i="4"/>
  <c r="G32" i="4" s="1"/>
  <c r="D33" i="4"/>
  <c r="G33" i="4" s="1"/>
  <c r="M33" i="4"/>
  <c r="D34" i="4"/>
  <c r="G34" i="4"/>
  <c r="L34" i="4"/>
  <c r="D35" i="4"/>
  <c r="E35" i="4" s="1"/>
  <c r="F35" i="4"/>
  <c r="L35" i="4"/>
  <c r="D36" i="4"/>
  <c r="L36" i="4"/>
  <c r="D37" i="4"/>
  <c r="L37" i="4"/>
  <c r="D38" i="4"/>
  <c r="D39" i="4"/>
  <c r="L39" i="4"/>
  <c r="D40" i="4"/>
  <c r="L40" i="4"/>
  <c r="D41" i="4"/>
  <c r="L41" i="4"/>
  <c r="D42" i="4"/>
  <c r="L42" i="4"/>
  <c r="D43" i="4"/>
  <c r="E43" i="4" s="1"/>
  <c r="F43" i="4"/>
  <c r="L43" i="4"/>
  <c r="D44" i="4"/>
  <c r="L44" i="4"/>
  <c r="D45" i="4"/>
  <c r="D50" i="4" s="1"/>
  <c r="E50" i="4" s="1"/>
  <c r="F50" i="4" s="1"/>
  <c r="L45" i="4"/>
  <c r="D46" i="4"/>
  <c r="L46" i="4"/>
  <c r="D47" i="4"/>
  <c r="L47" i="4"/>
  <c r="D48" i="4"/>
  <c r="D49" i="4"/>
  <c r="L49" i="4"/>
  <c r="L50" i="4"/>
  <c r="L51" i="4"/>
  <c r="L52" i="4"/>
  <c r="L57" i="4" s="1"/>
  <c r="L53" i="4"/>
  <c r="L54" i="4"/>
  <c r="L55" i="4"/>
  <c r="L56" i="4"/>
  <c r="M57" i="4"/>
  <c r="P57" i="4"/>
  <c r="J60" i="4"/>
  <c r="L60" i="4" s="1"/>
  <c r="I65" i="4"/>
  <c r="I66" i="4" s="1"/>
  <c r="J65" i="4"/>
  <c r="K65" i="4"/>
  <c r="K66" i="4" s="1"/>
  <c r="J66" i="4"/>
  <c r="N69" i="4"/>
  <c r="O69" i="4"/>
  <c r="P69" i="4"/>
  <c r="Q69" i="4"/>
  <c r="R69" i="4"/>
  <c r="S69" i="4" s="1"/>
  <c r="T69" i="4" s="1"/>
  <c r="N70" i="4"/>
  <c r="O70" i="4"/>
  <c r="P70" i="4"/>
  <c r="Q70" i="4"/>
  <c r="R70" i="4"/>
  <c r="S70" i="4"/>
  <c r="T70" i="4" s="1"/>
  <c r="N71" i="4"/>
  <c r="O71" i="4"/>
  <c r="P71" i="4"/>
  <c r="Q71" i="4"/>
  <c r="R71" i="4"/>
  <c r="S71" i="4" s="1"/>
  <c r="T71" i="4" s="1"/>
  <c r="N72" i="4"/>
  <c r="O72" i="4"/>
  <c r="P72" i="4"/>
  <c r="Q72" i="4"/>
  <c r="R72" i="4"/>
  <c r="S72" i="4"/>
  <c r="T72" i="4" s="1"/>
  <c r="N73" i="4"/>
  <c r="O73" i="4"/>
  <c r="P73" i="4"/>
  <c r="Q73" i="4"/>
  <c r="R73" i="4"/>
  <c r="S73" i="4" s="1"/>
  <c r="T73" i="4" s="1"/>
  <c r="N75" i="4"/>
  <c r="O75" i="4"/>
  <c r="P75" i="4"/>
  <c r="Q75" i="4"/>
  <c r="N76" i="4"/>
  <c r="O76" i="4"/>
  <c r="D3" i="3"/>
  <c r="D4" i="3"/>
  <c r="I4" i="3"/>
  <c r="D5" i="3"/>
  <c r="I5" i="3"/>
  <c r="D6" i="3"/>
  <c r="D7" i="3"/>
  <c r="D8" i="3"/>
  <c r="D9" i="3"/>
  <c r="K9" i="3"/>
  <c r="L9" i="3"/>
  <c r="M9" i="3" s="1"/>
  <c r="N9" i="3"/>
  <c r="D10" i="3"/>
  <c r="K10" i="3"/>
  <c r="N10" i="3" s="1"/>
  <c r="L10" i="3"/>
  <c r="M10" i="3"/>
  <c r="D11" i="3"/>
  <c r="K11" i="3"/>
  <c r="L11" i="3"/>
  <c r="M11" i="3" s="1"/>
  <c r="N11" i="3"/>
  <c r="D12" i="3"/>
  <c r="K12" i="3"/>
  <c r="N12" i="3" s="1"/>
  <c r="L12" i="3"/>
  <c r="M12" i="3"/>
  <c r="D13" i="3"/>
  <c r="K13" i="3"/>
  <c r="L13" i="3"/>
  <c r="M13" i="3" s="1"/>
  <c r="N13" i="3"/>
  <c r="D14" i="3"/>
  <c r="K14" i="3"/>
  <c r="N14" i="3" s="1"/>
  <c r="L14" i="3"/>
  <c r="M14" i="3"/>
  <c r="D15" i="3"/>
  <c r="K15" i="3"/>
  <c r="L15" i="3"/>
  <c r="M15" i="3" s="1"/>
  <c r="N15" i="3"/>
  <c r="D16" i="3"/>
  <c r="K16" i="3"/>
  <c r="N16" i="3" s="1"/>
  <c r="L16" i="3"/>
  <c r="M16" i="3"/>
  <c r="D17" i="3"/>
  <c r="K17" i="3"/>
  <c r="L17" i="3"/>
  <c r="M17" i="3" s="1"/>
  <c r="N17" i="3"/>
  <c r="D18" i="3"/>
  <c r="K18" i="3"/>
  <c r="N18" i="3" s="1"/>
  <c r="L18" i="3"/>
  <c r="M18" i="3"/>
  <c r="D19" i="3"/>
  <c r="K19" i="3"/>
  <c r="L19" i="3"/>
  <c r="M19" i="3" s="1"/>
  <c r="N19" i="3"/>
  <c r="D20" i="3"/>
  <c r="K20" i="3"/>
  <c r="N20" i="3" s="1"/>
  <c r="L20" i="3"/>
  <c r="M20" i="3"/>
  <c r="D21" i="3"/>
  <c r="K21" i="3"/>
  <c r="L21" i="3"/>
  <c r="M21" i="3" s="1"/>
  <c r="N21" i="3"/>
  <c r="D22" i="3"/>
  <c r="K22" i="3"/>
  <c r="N22" i="3" s="1"/>
  <c r="L22" i="3"/>
  <c r="M22" i="3"/>
  <c r="D23" i="3"/>
  <c r="D24" i="3"/>
  <c r="D25" i="3"/>
  <c r="D26" i="3"/>
  <c r="D27" i="3"/>
  <c r="L27" i="3"/>
  <c r="D28" i="3"/>
  <c r="L28" i="3"/>
  <c r="D29" i="3"/>
  <c r="C30" i="3"/>
  <c r="D30" i="3"/>
  <c r="C31" i="3"/>
  <c r="D31" i="3"/>
  <c r="B32" i="3"/>
  <c r="C32" i="3"/>
  <c r="D32" i="3" s="1"/>
  <c r="D33" i="3" s="1"/>
  <c r="B35" i="3"/>
  <c r="D35" i="3"/>
  <c r="B36" i="3"/>
  <c r="D36" i="3"/>
  <c r="B37" i="3"/>
  <c r="D37" i="3"/>
  <c r="B38" i="3"/>
  <c r="D38" i="3"/>
  <c r="B39" i="3"/>
  <c r="D39" i="3"/>
  <c r="B40" i="3"/>
  <c r="D40" i="3"/>
  <c r="B41" i="3"/>
  <c r="D41" i="3"/>
  <c r="B42" i="3"/>
  <c r="D42" i="3"/>
  <c r="K42" i="3"/>
  <c r="B43" i="3"/>
  <c r="D43" i="3" s="1"/>
  <c r="D44" i="3" s="1"/>
  <c r="D3" i="2"/>
  <c r="D4" i="2"/>
  <c r="D5" i="2"/>
  <c r="D6" i="2"/>
  <c r="D7" i="2"/>
  <c r="D8" i="2"/>
  <c r="D9" i="2"/>
  <c r="K9" i="2"/>
  <c r="L9" i="2"/>
  <c r="M9" i="2" s="1"/>
  <c r="N9" i="2"/>
  <c r="D10" i="2"/>
  <c r="K10" i="2"/>
  <c r="N10" i="2" s="1"/>
  <c r="L10" i="2"/>
  <c r="M10" i="2"/>
  <c r="D11" i="2"/>
  <c r="K11" i="2"/>
  <c r="L11" i="2"/>
  <c r="M11" i="2" s="1"/>
  <c r="N11" i="2"/>
  <c r="D12" i="2"/>
  <c r="K12" i="2"/>
  <c r="N12" i="2" s="1"/>
  <c r="L12" i="2"/>
  <c r="M12" i="2"/>
  <c r="D13" i="2"/>
  <c r="K13" i="2"/>
  <c r="L13" i="2"/>
  <c r="M13" i="2" s="1"/>
  <c r="N13" i="2"/>
  <c r="D14" i="2"/>
  <c r="K14" i="2"/>
  <c r="N14" i="2" s="1"/>
  <c r="L14" i="2"/>
  <c r="M14" i="2"/>
  <c r="D15" i="2"/>
  <c r="K15" i="2"/>
  <c r="L15" i="2"/>
  <c r="M15" i="2" s="1"/>
  <c r="N15" i="2"/>
  <c r="D16" i="2"/>
  <c r="K16" i="2"/>
  <c r="N16" i="2" s="1"/>
  <c r="L16" i="2"/>
  <c r="M16" i="2"/>
  <c r="D17" i="2"/>
  <c r="K17" i="2"/>
  <c r="L17" i="2"/>
  <c r="M17" i="2" s="1"/>
  <c r="K18" i="2"/>
  <c r="L18" i="2"/>
  <c r="M18" i="2" s="1"/>
  <c r="N18" i="2"/>
  <c r="K19" i="2"/>
  <c r="L19" i="2"/>
  <c r="M19" i="2" s="1"/>
  <c r="N19" i="2"/>
  <c r="K20" i="2"/>
  <c r="L20" i="2"/>
  <c r="M20" i="2" s="1"/>
  <c r="N20" i="2"/>
  <c r="K21" i="2"/>
  <c r="L21" i="2"/>
  <c r="M21" i="2" s="1"/>
  <c r="N21" i="2"/>
  <c r="K22" i="2"/>
  <c r="L22" i="2"/>
  <c r="M22" i="2" s="1"/>
  <c r="N22" i="2"/>
  <c r="L36" i="2"/>
  <c r="L37" i="2"/>
  <c r="K51" i="2"/>
  <c r="C56" i="2"/>
  <c r="D56" i="2" s="1"/>
  <c r="I56" i="2"/>
  <c r="J56" i="2" s="1"/>
  <c r="C57" i="2"/>
  <c r="D57" i="2" s="1"/>
  <c r="I57" i="2"/>
  <c r="C58" i="2"/>
  <c r="D58" i="2" s="1"/>
  <c r="I58" i="2"/>
  <c r="G35" i="4" l="1"/>
  <c r="G19" i="4"/>
  <c r="D27" i="4"/>
  <c r="O19" i="4"/>
  <c r="O25" i="4" s="1"/>
  <c r="F14" i="4"/>
  <c r="E14" i="4"/>
  <c r="I30" i="4"/>
  <c r="I31" i="4"/>
  <c r="G27" i="4"/>
  <c r="D2" i="3"/>
  <c r="J57" i="2"/>
  <c r="J58" i="2"/>
  <c r="D59" i="2"/>
  <c r="N17" i="2"/>
  <c r="D4" i="1"/>
  <c r="D15" i="1"/>
  <c r="D18" i="1"/>
  <c r="D13" i="1"/>
  <c r="D12" i="1"/>
  <c r="D11" i="1"/>
  <c r="D10" i="1"/>
  <c r="D9" i="1"/>
  <c r="D7" i="1"/>
  <c r="D6" i="1"/>
  <c r="D5" i="1"/>
  <c r="D17" i="1"/>
  <c r="D16" i="1"/>
  <c r="D28" i="1"/>
  <c r="D8" i="1"/>
  <c r="D30" i="1"/>
  <c r="D29" i="1"/>
  <c r="D14" i="1"/>
  <c r="C74" i="1"/>
  <c r="D74" i="1" s="1"/>
  <c r="C73" i="1"/>
  <c r="D73" i="1" s="1"/>
  <c r="I53" i="1"/>
  <c r="J53" i="1" s="1"/>
  <c r="C72" i="1"/>
  <c r="D72" i="1" s="1"/>
  <c r="D75" i="1" s="1"/>
  <c r="K48" i="1"/>
  <c r="L34" i="1"/>
  <c r="L33" i="1"/>
  <c r="K25" i="1"/>
  <c r="L25" i="1" s="1"/>
  <c r="J25" i="1"/>
  <c r="K24" i="1"/>
  <c r="L24" i="1" s="1"/>
  <c r="J24" i="1"/>
  <c r="K23" i="1"/>
  <c r="L23" i="1" s="1"/>
  <c r="J23" i="1"/>
  <c r="K22" i="1"/>
  <c r="L22" i="1" s="1"/>
  <c r="J22" i="1"/>
  <c r="K21" i="1"/>
  <c r="L21" i="1" s="1"/>
  <c r="J21" i="1"/>
  <c r="K20" i="1"/>
  <c r="L20" i="1" s="1"/>
  <c r="J20" i="1"/>
  <c r="K19" i="1"/>
  <c r="L19" i="1" s="1"/>
  <c r="J19" i="1"/>
  <c r="K18" i="1"/>
  <c r="L18" i="1" s="1"/>
  <c r="J18" i="1"/>
  <c r="K17" i="1"/>
  <c r="L17" i="1" s="1"/>
  <c r="J17" i="1"/>
  <c r="K16" i="1"/>
  <c r="L16" i="1" s="1"/>
  <c r="J16" i="1"/>
  <c r="K15" i="1"/>
  <c r="L15" i="1" s="1"/>
  <c r="J15" i="1"/>
  <c r="K14" i="1"/>
  <c r="L14" i="1" s="1"/>
  <c r="J14" i="1"/>
  <c r="D27" i="1"/>
  <c r="K13" i="1"/>
  <c r="L13" i="1" s="1"/>
  <c r="J13" i="1"/>
  <c r="D24" i="1"/>
  <c r="K12" i="1"/>
  <c r="L12" i="1" s="1"/>
  <c r="J12" i="1"/>
  <c r="D22" i="1"/>
  <c r="D23" i="1"/>
  <c r="D25" i="1"/>
  <c r="D21" i="1"/>
  <c r="D20" i="1"/>
  <c r="D31" i="1" s="1"/>
  <c r="D3" i="1"/>
  <c r="E27" i="4" l="1"/>
  <c r="E2" i="4" s="1"/>
  <c r="F27" i="4"/>
  <c r="F2" i="4" s="1"/>
  <c r="F3" i="3"/>
  <c r="F4" i="3" s="1"/>
  <c r="G3" i="3"/>
  <c r="G4" i="3" s="1"/>
  <c r="K56" i="2"/>
  <c r="D60" i="2"/>
  <c r="D19" i="1"/>
  <c r="D2" i="1" s="1"/>
  <c r="M19" i="1"/>
  <c r="M15" i="1"/>
  <c r="M13" i="1"/>
  <c r="M17" i="1"/>
  <c r="J55" i="1"/>
  <c r="J54" i="1"/>
  <c r="D76" i="1"/>
  <c r="K53" i="1" s="1"/>
  <c r="M12" i="1"/>
  <c r="M14" i="1"/>
  <c r="M16" i="1"/>
  <c r="M18" i="1"/>
  <c r="M20" i="1"/>
  <c r="M21" i="1"/>
  <c r="M22" i="1"/>
  <c r="M23" i="1"/>
  <c r="M24" i="1"/>
  <c r="M25" i="1"/>
  <c r="I54" i="1"/>
  <c r="I55" i="1"/>
  <c r="K58" i="2" l="1"/>
  <c r="K57" i="2"/>
  <c r="L56" i="2"/>
  <c r="K55" i="1"/>
  <c r="K54" i="1"/>
  <c r="L53" i="1"/>
  <c r="L57" i="2" l="1"/>
  <c r="L58" i="2"/>
  <c r="L55" i="1"/>
  <c r="L54" i="1"/>
</calcChain>
</file>

<file path=xl/comments1.xml><?xml version="1.0" encoding="utf-8"?>
<comments xmlns="http://schemas.openxmlformats.org/spreadsheetml/2006/main">
  <authors>
    <author>david</author>
  </authors>
  <commentList>
    <comment ref="C3" authorId="0">
      <text>
        <r>
          <rPr>
            <b/>
            <sz val="9"/>
            <color indexed="81"/>
            <rFont val="Tahoma"/>
            <family val="2"/>
          </rPr>
          <t>11/11 朱小姐
11/11 1號先生
11/11 房東老鄉
11/12 1號太太
11/15 微商未領已回老家</t>
        </r>
      </text>
    </comment>
    <comment ref="L4" authorId="0">
      <text>
        <r>
          <rPr>
            <b/>
            <sz val="9"/>
            <color indexed="81"/>
            <rFont val="Tahoma"/>
            <family val="2"/>
          </rPr>
          <t>20171213
廣2-&gt;廣4</t>
        </r>
      </text>
    </comment>
    <comment ref="F17" authorId="0">
      <text>
        <r>
          <rPr>
            <b/>
            <sz val="9"/>
            <color indexed="81"/>
            <rFont val="Tahoma"/>
            <family val="2"/>
          </rPr>
          <t>樹田1-16</t>
        </r>
      </text>
    </comment>
    <comment ref="F18" authorId="0">
      <text>
        <r>
          <rPr>
            <b/>
            <sz val="9"/>
            <color indexed="81"/>
            <rFont val="Tahoma"/>
            <family val="2"/>
          </rPr>
          <t>樹田17-53</t>
        </r>
      </text>
    </comment>
    <comment ref="F19" authorId="0">
      <text>
        <r>
          <rPr>
            <b/>
            <sz val="9"/>
            <color indexed="81"/>
            <rFont val="Tahoma"/>
            <family val="2"/>
          </rPr>
          <t>樹田54-60</t>
        </r>
      </text>
    </comment>
    <comment ref="F20" authorId="0">
      <text>
        <r>
          <rPr>
            <b/>
            <sz val="9"/>
            <color indexed="81"/>
            <rFont val="Tahoma"/>
            <family val="2"/>
          </rPr>
          <t>樹田61-63</t>
        </r>
      </text>
    </comment>
    <comment ref="G20" authorId="0">
      <text>
        <r>
          <rPr>
            <b/>
            <sz val="9"/>
            <color indexed="81"/>
            <rFont val="Tahoma"/>
            <family val="2"/>
          </rPr>
          <t>樹田4-1
樹田35-1</t>
        </r>
      </text>
    </comment>
    <comment ref="G21" authorId="0">
      <text>
        <r>
          <rPr>
            <b/>
            <sz val="9"/>
            <color indexed="81"/>
            <rFont val="Tahoma"/>
            <family val="2"/>
          </rPr>
          <t>樹田38-1
樹田4-2</t>
        </r>
      </text>
    </comment>
    <comment ref="G22" authorId="0">
      <text>
        <r>
          <rPr>
            <b/>
            <sz val="9"/>
            <color indexed="81"/>
            <rFont val="Tahoma"/>
            <family val="2"/>
          </rPr>
          <t>樹田5-1
樹田54-1
樹田30-1
樹田34-1
樹田46-1</t>
        </r>
      </text>
    </comment>
    <comment ref="D23" authorId="0">
      <text>
        <r>
          <rPr>
            <b/>
            <sz val="9"/>
            <color indexed="81"/>
            <rFont val="Tahoma"/>
            <charset val="1"/>
          </rPr>
          <t>廈崗33</t>
        </r>
      </text>
    </comment>
    <comment ref="G23" authorId="0">
      <text>
        <r>
          <rPr>
            <b/>
            <sz val="9"/>
            <color indexed="81"/>
            <rFont val="Tahoma"/>
            <family val="2"/>
          </rPr>
          <t>樹田62-1
樹田26-1</t>
        </r>
      </text>
    </comment>
    <comment ref="I23" authorId="0">
      <text>
        <r>
          <rPr>
            <b/>
            <sz val="9"/>
            <color indexed="81"/>
            <rFont val="Tahoma"/>
            <family val="2"/>
          </rPr>
          <t>樹田4(2次)
樹田34(1次)
樹田5(1次)</t>
        </r>
      </text>
    </comment>
    <comment ref="G24" authorId="0">
      <text>
        <r>
          <rPr>
            <b/>
            <sz val="9"/>
            <color indexed="81"/>
            <rFont val="Tahoma"/>
            <family val="2"/>
          </rPr>
          <t>樹田34-2(5元包)</t>
        </r>
        <r>
          <rPr>
            <sz val="9"/>
            <color indexed="81"/>
            <rFont val="Tahoma"/>
            <family val="2"/>
          </rPr>
          <t xml:space="preserve">
</t>
        </r>
      </text>
    </comment>
    <comment ref="G25" authorId="0">
      <text>
        <r>
          <rPr>
            <b/>
            <sz val="9"/>
            <color indexed="81"/>
            <rFont val="Tahoma"/>
            <family val="2"/>
          </rPr>
          <t>樹田4-3(5元包)
樹田35-2(5元包)
樹田30-2(5元包)
樹田22-1(5元包)
樹田19-1(5元包)</t>
        </r>
      </text>
    </comment>
    <comment ref="I25" authorId="0">
      <text>
        <r>
          <rPr>
            <b/>
            <sz val="9"/>
            <color indexed="81"/>
            <rFont val="Tahoma"/>
            <family val="2"/>
          </rPr>
          <t>樹田35(2次)
樹田30(2次)
樹田22(1次)
樹田19(1次)</t>
        </r>
      </text>
    </comment>
    <comment ref="D26" authorId="0">
      <text>
        <r>
          <rPr>
            <b/>
            <sz val="9"/>
            <color indexed="81"/>
            <rFont val="Tahoma"/>
            <charset val="1"/>
          </rPr>
          <t>廈崗34</t>
        </r>
      </text>
    </comment>
    <comment ref="G26" authorId="0">
      <text>
        <r>
          <rPr>
            <b/>
            <sz val="9"/>
            <color indexed="81"/>
            <rFont val="Tahoma"/>
            <family val="2"/>
          </rPr>
          <t>樹田62-2(5元包)
樹田54-2
樹田5-2(5元包)
樹田61-1(5元包)</t>
        </r>
      </text>
    </comment>
    <comment ref="I26" authorId="0">
      <text>
        <r>
          <rPr>
            <b/>
            <sz val="9"/>
            <color indexed="81"/>
            <rFont val="Tahoma"/>
            <family val="2"/>
          </rPr>
          <t>樹田62(2次)
樹田61(1次)</t>
        </r>
      </text>
    </comment>
    <comment ref="F27" authorId="0">
      <text>
        <r>
          <rPr>
            <b/>
            <sz val="9"/>
            <color indexed="81"/>
            <rFont val="Tahoma"/>
            <family val="2"/>
          </rPr>
          <t>樹田64</t>
        </r>
      </text>
    </comment>
    <comment ref="G27" authorId="0">
      <text>
        <r>
          <rPr>
            <b/>
            <sz val="9"/>
            <color indexed="81"/>
            <rFont val="Tahoma"/>
            <family val="2"/>
          </rPr>
          <t>樹田34-3(5元包)
樹田4-4(5元包)
樹田59-1</t>
        </r>
      </text>
    </comment>
    <comment ref="I27" authorId="0">
      <text>
        <r>
          <rPr>
            <b/>
            <sz val="9"/>
            <color indexed="81"/>
            <rFont val="Tahoma"/>
            <family val="2"/>
          </rPr>
          <t>樹田64(0次)</t>
        </r>
      </text>
    </comment>
    <comment ref="G28" authorId="0">
      <text>
        <r>
          <rPr>
            <b/>
            <sz val="9"/>
            <color indexed="81"/>
            <rFont val="Tahoma"/>
            <family val="2"/>
          </rPr>
          <t>樹田30-3(5元包)
樹田4-5(5元包)</t>
        </r>
      </text>
    </comment>
    <comment ref="G29" authorId="0">
      <text>
        <r>
          <rPr>
            <b/>
            <sz val="9"/>
            <color indexed="81"/>
            <rFont val="Tahoma"/>
            <family val="2"/>
          </rPr>
          <t>樹田46-2(5元包)
樹田35-3(5元包)
樹田22-2(5元包)
樹田5-3(5元包)</t>
        </r>
      </text>
    </comment>
    <comment ref="I29" authorId="0">
      <text>
        <r>
          <rPr>
            <b/>
            <sz val="9"/>
            <color indexed="81"/>
            <rFont val="Tahoma"/>
            <family val="2"/>
          </rPr>
          <t>樹田46(2次)
樹田54(2次)</t>
        </r>
      </text>
    </comment>
    <comment ref="E30" authorId="0">
      <text>
        <r>
          <rPr>
            <b/>
            <sz val="9"/>
            <color indexed="81"/>
            <rFont val="Tahoma"/>
            <family val="2"/>
          </rPr>
          <t>廈崗1(9次)
廈崗29(3次)</t>
        </r>
      </text>
    </comment>
    <comment ref="F30" authorId="0">
      <text>
        <r>
          <rPr>
            <b/>
            <sz val="9"/>
            <color indexed="81"/>
            <rFont val="Tahoma"/>
            <family val="2"/>
          </rPr>
          <t>樹田65
樹田66B-樹田70B</t>
        </r>
      </text>
    </comment>
    <comment ref="I30" authorId="0">
      <text>
        <r>
          <rPr>
            <b/>
            <sz val="9"/>
            <color indexed="81"/>
            <rFont val="Tahoma"/>
            <family val="2"/>
          </rPr>
          <t>樹田65(0次)
樹田67B(0次)
樹田68B(0次)
樹田69B(0次)
樹田70B(0次)</t>
        </r>
      </text>
    </comment>
    <comment ref="F31" authorId="0">
      <text>
        <r>
          <rPr>
            <b/>
            <sz val="9"/>
            <color indexed="81"/>
            <rFont val="Tahoma"/>
            <family val="2"/>
          </rPr>
          <t>樹田71B-77B</t>
        </r>
      </text>
    </comment>
    <comment ref="G31" authorId="0">
      <text>
        <r>
          <rPr>
            <b/>
            <sz val="9"/>
            <color indexed="81"/>
            <rFont val="Tahoma"/>
            <family val="2"/>
          </rPr>
          <t>樹田34-4(5元包)
樹田54-3(5元包)
樹田5-4(5元包)
樹田46-3(5元包)
樹田64-1(5元包)
樹田30-4(5元包)</t>
        </r>
      </text>
    </comment>
    <comment ref="I31" authorId="0">
      <text>
        <r>
          <rPr>
            <b/>
            <sz val="9"/>
            <color indexed="81"/>
            <rFont val="Tahoma"/>
            <family val="2"/>
          </rPr>
          <t xml:space="preserve">樹田72B(0次)
樹田74B(0次)
樹田75B(0次)
樹田77B(0次)
</t>
        </r>
      </text>
    </comment>
    <comment ref="F32" authorId="0">
      <text>
        <r>
          <rPr>
            <b/>
            <sz val="9"/>
            <color indexed="81"/>
            <rFont val="Tahoma"/>
            <family val="2"/>
          </rPr>
          <t>樹田78B-81B</t>
        </r>
      </text>
    </comment>
    <comment ref="F33" authorId="0">
      <text>
        <r>
          <rPr>
            <b/>
            <sz val="9"/>
            <color indexed="81"/>
            <rFont val="Tahoma"/>
            <family val="2"/>
          </rPr>
          <t>樹田82B-85B</t>
        </r>
      </text>
    </comment>
    <comment ref="G33" authorId="0">
      <text>
        <r>
          <rPr>
            <b/>
            <sz val="9"/>
            <color indexed="81"/>
            <rFont val="Tahoma"/>
            <family val="2"/>
          </rPr>
          <t xml:space="preserve">樹田41-1(5元包)
</t>
        </r>
      </text>
    </comment>
    <comment ref="I33" authorId="0">
      <text>
        <r>
          <rPr>
            <b/>
            <sz val="9"/>
            <color indexed="81"/>
            <rFont val="Tahoma"/>
            <family val="2"/>
          </rPr>
          <t>樹田41-1(1次)</t>
        </r>
      </text>
    </comment>
    <comment ref="D34" authorId="0">
      <text>
        <r>
          <rPr>
            <b/>
            <sz val="9"/>
            <color indexed="81"/>
            <rFont val="Tahoma"/>
            <charset val="1"/>
          </rPr>
          <t>廈崗35-39</t>
        </r>
      </text>
    </comment>
    <comment ref="E34" authorId="0">
      <text>
        <r>
          <rPr>
            <b/>
            <sz val="9"/>
            <color indexed="81"/>
            <rFont val="Tahoma"/>
            <family val="2"/>
          </rPr>
          <t>廈崗35(0次)
廈崗37(0次)</t>
        </r>
      </text>
    </comment>
    <comment ref="F34" authorId="0">
      <text>
        <r>
          <rPr>
            <b/>
            <sz val="9"/>
            <color indexed="81"/>
            <rFont val="Tahoma"/>
            <family val="2"/>
          </rPr>
          <t>樹田86B-93B</t>
        </r>
      </text>
    </comment>
    <comment ref="G34" authorId="0">
      <text>
        <r>
          <rPr>
            <b/>
            <sz val="9"/>
            <color indexed="81"/>
            <rFont val="Tahoma"/>
            <family val="2"/>
          </rPr>
          <t>樹田35-4(5元包)
樹田78B-1
樹田54-3(5元包)</t>
        </r>
      </text>
    </comment>
    <comment ref="I34" authorId="0">
      <text>
        <r>
          <rPr>
            <b/>
            <sz val="9"/>
            <color indexed="81"/>
            <rFont val="Tahoma"/>
            <family val="2"/>
          </rPr>
          <t>樹田86B(0次)
樹田87B(0次)
樹田93B(0次)</t>
        </r>
      </text>
    </comment>
    <comment ref="D35" authorId="0">
      <text>
        <r>
          <rPr>
            <b/>
            <sz val="9"/>
            <color indexed="81"/>
            <rFont val="Tahoma"/>
            <charset val="1"/>
          </rPr>
          <t>廈崗40
廈崗41</t>
        </r>
      </text>
    </comment>
    <comment ref="E35" authorId="0">
      <text>
        <r>
          <rPr>
            <b/>
            <sz val="9"/>
            <color indexed="81"/>
            <rFont val="Tahoma"/>
            <family val="2"/>
          </rPr>
          <t xml:space="preserve">廈崗7(2次)
</t>
        </r>
      </text>
    </comment>
    <comment ref="F35" authorId="0">
      <text>
        <r>
          <rPr>
            <b/>
            <sz val="9"/>
            <color indexed="81"/>
            <rFont val="Tahoma"/>
            <family val="2"/>
          </rPr>
          <t>樹田94B-95B</t>
        </r>
      </text>
    </comment>
    <comment ref="G35" authorId="0">
      <text>
        <r>
          <rPr>
            <b/>
            <sz val="9"/>
            <color indexed="81"/>
            <rFont val="Tahoma"/>
            <family val="2"/>
          </rPr>
          <t>樹田67B-1(5元包)
樹田30-5(5元包)</t>
        </r>
      </text>
    </comment>
    <comment ref="E36" authorId="0">
      <text>
        <r>
          <rPr>
            <b/>
            <sz val="9"/>
            <color indexed="81"/>
            <rFont val="Tahoma"/>
            <charset val="1"/>
          </rPr>
          <t>廈崗2紀先生</t>
        </r>
      </text>
    </comment>
    <comment ref="F36" authorId="0">
      <text>
        <r>
          <rPr>
            <b/>
            <sz val="9"/>
            <color indexed="81"/>
            <rFont val="Tahoma"/>
            <family val="2"/>
          </rPr>
          <t>樹田96B-102B</t>
        </r>
      </text>
    </comment>
    <comment ref="G36" authorId="0">
      <text>
        <r>
          <rPr>
            <b/>
            <sz val="9"/>
            <color indexed="81"/>
            <rFont val="Tahoma"/>
            <family val="2"/>
          </rPr>
          <t>樹田4-6(5元包)</t>
        </r>
      </text>
    </comment>
    <comment ref="I36" authorId="0">
      <text>
        <r>
          <rPr>
            <b/>
            <sz val="9"/>
            <color indexed="81"/>
            <rFont val="Tahoma"/>
            <family val="2"/>
          </rPr>
          <t xml:space="preserve">樹田96B(0次)
樹田100B(0次)
樹田102B(0次)
</t>
        </r>
      </text>
    </comment>
    <comment ref="D37" authorId="0">
      <text>
        <r>
          <rPr>
            <b/>
            <sz val="9"/>
            <color indexed="81"/>
            <rFont val="Tahoma"/>
            <charset val="1"/>
          </rPr>
          <t xml:space="preserve">廈崗42-46
</t>
        </r>
      </text>
    </comment>
    <comment ref="E37" authorId="0">
      <text>
        <r>
          <rPr>
            <b/>
            <sz val="9"/>
            <color indexed="81"/>
            <rFont val="Tahoma"/>
            <charset val="1"/>
          </rPr>
          <t>廈崗43(0次)</t>
        </r>
      </text>
    </comment>
    <comment ref="F37" authorId="0">
      <text>
        <r>
          <rPr>
            <b/>
            <sz val="9"/>
            <color indexed="81"/>
            <rFont val="Tahoma"/>
            <family val="2"/>
          </rPr>
          <t>樹田103B-105B</t>
        </r>
      </text>
    </comment>
    <comment ref="G37" authorId="0">
      <text>
        <r>
          <rPr>
            <b/>
            <sz val="9"/>
            <color indexed="81"/>
            <rFont val="Tahoma"/>
            <family val="2"/>
          </rPr>
          <t>樹田61-2(5元包)
樹田64-2(5元包)
樹田34-5(5元包)</t>
        </r>
      </text>
    </comment>
    <comment ref="F38" authorId="0">
      <text>
        <r>
          <rPr>
            <b/>
            <sz val="9"/>
            <color indexed="81"/>
            <rFont val="Tahoma"/>
            <family val="2"/>
          </rPr>
          <t>樹田106B-108B</t>
        </r>
      </text>
    </comment>
    <comment ref="G38" authorId="0">
      <text>
        <r>
          <rPr>
            <b/>
            <sz val="9"/>
            <color indexed="81"/>
            <rFont val="Tahoma"/>
            <charset val="1"/>
          </rPr>
          <t>樹田5-5(5元包)
樹田2-1(5元包)
樹田68B-1(5元包)</t>
        </r>
      </text>
    </comment>
    <comment ref="I38" authorId="0">
      <text>
        <r>
          <rPr>
            <b/>
            <sz val="9"/>
            <color indexed="81"/>
            <rFont val="Tahoma"/>
            <family val="2"/>
          </rPr>
          <t xml:space="preserve">樹田2(1次)
</t>
        </r>
      </text>
    </comment>
  </commentList>
</comments>
</file>

<file path=xl/comments2.xml><?xml version="1.0" encoding="utf-8"?>
<comments xmlns="http://schemas.openxmlformats.org/spreadsheetml/2006/main">
  <authors>
    <author>作者</author>
  </authors>
  <commentList>
    <comment ref="A3" authorId="0">
      <text>
        <r>
          <rPr>
            <b/>
            <sz val="9"/>
            <color indexed="81"/>
            <rFont val="Tahoma"/>
            <family val="2"/>
          </rPr>
          <t>1大氣壓(ATM)=1.033 KG/cm2
1 KG/cm2=0.98 巴(bar)
1 KG/cm2=0.098 Mpa
1 KG/cm2=14.22 PSI
1 KG/cm2=10 米水柱</t>
        </r>
      </text>
    </comment>
  </commentList>
</comments>
</file>

<file path=xl/comments3.xml><?xml version="1.0" encoding="utf-8"?>
<comments xmlns="http://schemas.openxmlformats.org/spreadsheetml/2006/main">
  <authors>
    <author>作者</author>
  </authors>
  <commentList>
    <comment ref="A3" authorId="0">
      <text>
        <r>
          <rPr>
            <b/>
            <sz val="9"/>
            <color indexed="81"/>
            <rFont val="Tahoma"/>
            <family val="2"/>
          </rPr>
          <t>1大氣壓(ATM)=1.033 KG/cm2
1 KG/cm2=0.98 巴(bar)
1 KG/cm2=0.098 Mpa
1 KG/cm2=14.22 PSI
1 KG/cm2=10 米水柱</t>
        </r>
      </text>
    </comment>
  </commentList>
</comments>
</file>

<file path=xl/comments4.xml><?xml version="1.0" encoding="utf-8"?>
<comments xmlns="http://schemas.openxmlformats.org/spreadsheetml/2006/main">
  <authors>
    <author>作者</author>
  </authors>
  <commentList>
    <comment ref="I1" authorId="0">
      <text>
        <r>
          <rPr>
            <b/>
            <sz val="9"/>
            <color indexed="81"/>
            <rFont val="Tahoma"/>
            <family val="2"/>
          </rPr>
          <t>1大氣壓(ATM)=1.033 KG/cm2
1 KG/cm2=0.98 巴(bar)
1 KG/cm2=0.098 Mpa
1 KG/cm2=14.22 PSI
1 KG/cm2=10 米水柱</t>
        </r>
      </text>
    </comment>
    <comment ref="A3" authorId="0">
      <text>
        <r>
          <rPr>
            <b/>
            <sz val="9"/>
            <color indexed="81"/>
            <rFont val="Tahoma"/>
            <family val="2"/>
          </rPr>
          <t>1大氣壓(ATM)=1.033 KG/cm2
1 KG/cm2=0.98 巴(bar)
1 KG/cm2=0.098 Mpa
1 KG/cm2=14.22 PSI
1 KG/cm2=10 米水柱</t>
        </r>
      </text>
    </comment>
    <comment ref="A15" authorId="0">
      <text>
        <r>
          <rPr>
            <b/>
            <sz val="9"/>
            <color indexed="81"/>
            <rFont val="Tahoma"/>
            <family val="2"/>
          </rPr>
          <t>正門上 405 460
正門下 605 460
上 640 470
背 1050 470
左上 415 640
左下 615 640
右上 415 640
右下 615 640</t>
        </r>
      </text>
    </comment>
    <comment ref="A16" authorId="0">
      <text>
        <r>
          <rPr>
            <b/>
            <sz val="9"/>
            <color indexed="81"/>
            <rFont val="Tahoma"/>
            <family val="2"/>
          </rPr>
          <t>1150 x 4
630 x 6
460 x 6</t>
        </r>
      </text>
    </comment>
    <comment ref="A17" authorId="0">
      <text>
        <r>
          <rPr>
            <b/>
            <sz val="9"/>
            <color indexed="81"/>
            <rFont val="Tahoma"/>
            <family val="2"/>
          </rPr>
          <t xml:space="preserve">1150 x 2
460 x 2+2
630 x 8+2
405 x 4
605 x 4
</t>
        </r>
      </text>
    </comment>
  </commentList>
</comments>
</file>

<file path=xl/sharedStrings.xml><?xml version="1.0" encoding="utf-8"?>
<sst xmlns="http://schemas.openxmlformats.org/spreadsheetml/2006/main" count="835" uniqueCount="433">
  <si>
    <t>产品名称</t>
  </si>
  <si>
    <t>單價</t>
  </si>
  <si>
    <t>用量</t>
  </si>
  <si>
    <t>小計</t>
  </si>
  <si>
    <t>微信手續費</t>
  </si>
  <si>
    <t>Wemos D1 mini Lite</t>
  </si>
  <si>
    <t>TDS探針</t>
  </si>
  <si>
    <t>TDS</t>
  </si>
  <si>
    <t>Counter</t>
  </si>
  <si>
    <t xml:space="preserve">垂直安装，倾斜度不超过5度。 </t>
  </si>
  <si>
    <t>加油站</t>
  </si>
  <si>
    <t>工廠宿舍</t>
  </si>
  <si>
    <t>介质温度不宜超过120C</t>
  </si>
  <si>
    <t>公廁</t>
  </si>
  <si>
    <t>學校</t>
  </si>
  <si>
    <t>汽車站</t>
  </si>
  <si>
    <t>健身房</t>
  </si>
  <si>
    <t>粤卫水字[2014]第S1835号</t>
  </si>
  <si>
    <t>醫院診所</t>
  </si>
  <si>
    <t>餐廳餐桌</t>
  </si>
  <si>
    <t>粤卫水字[2014]第S1840号</t>
  </si>
  <si>
    <t>酒店大堂</t>
  </si>
  <si>
    <t>游泳池</t>
  </si>
  <si>
    <t>粤卫水字[2014]第S1841号</t>
  </si>
  <si>
    <t>機場</t>
  </si>
  <si>
    <t>體育館</t>
  </si>
  <si>
    <t>粤卫水字[2014]第S1760号</t>
  </si>
  <si>
    <t>停車場</t>
  </si>
  <si>
    <t>景區</t>
  </si>
  <si>
    <t>粤卫水字[2014]第S1718号</t>
  </si>
  <si>
    <t>休息區</t>
  </si>
  <si>
    <t>粤卫水字[2014]第S1686号</t>
  </si>
  <si>
    <t>4S店</t>
  </si>
  <si>
    <t>美容院</t>
  </si>
  <si>
    <t>髮廊</t>
  </si>
  <si>
    <t>许可证号：</t>
  </si>
  <si>
    <t>菜市場</t>
  </si>
  <si>
    <t>单位名称或个人：</t>
  </si>
  <si>
    <t>东莞市航佳水处理设备有限公司</t>
  </si>
  <si>
    <t>展覽中心</t>
  </si>
  <si>
    <t>单位地址：</t>
  </si>
  <si>
    <t>东莞市清溪镇罗马村天生湖石堂工业园厂房2号</t>
  </si>
  <si>
    <t>地鐵站</t>
  </si>
  <si>
    <t>许可类别：</t>
  </si>
  <si>
    <t>涉及饮用水卫生安全产品卫生许可（新证）</t>
  </si>
  <si>
    <t>銀行</t>
  </si>
  <si>
    <t>许可项目：</t>
  </si>
  <si>
    <t>水处理材料</t>
  </si>
  <si>
    <t>商場</t>
  </si>
  <si>
    <t>发证日期：</t>
  </si>
  <si>
    <t>電影院</t>
  </si>
  <si>
    <t>廣場</t>
  </si>
  <si>
    <t>467X115X363mm</t>
  </si>
  <si>
    <t>413X90X325mm</t>
  </si>
  <si>
    <t>網吧</t>
  </si>
  <si>
    <t>480*140*370mm</t>
  </si>
  <si>
    <t>单價</t>
  </si>
  <si>
    <t>元</t>
  </si>
  <si>
    <t>每月售水</t>
  </si>
  <si>
    <t>收入</t>
  </si>
  <si>
    <t>提成</t>
  </si>
  <si>
    <t>水电费</t>
  </si>
  <si>
    <t>利润</t>
  </si>
  <si>
    <t>純淨水(一吨自來水=500升純淨水)(1升=0.002吨)</t>
  </si>
  <si>
    <t>1000升純淨水+100升沸水</t>
  </si>
  <si>
    <t>純淨水(一吨電=250升純淨水)(1升=0.004度)</t>
  </si>
  <si>
    <t>1500升純淨水+150升沸水</t>
  </si>
  <si>
    <t>沸水(一度=27升沸水)(1升=0.037度)</t>
  </si>
  <si>
    <t>2000升純淨水+200升沸水</t>
  </si>
  <si>
    <t>純淨水一升</t>
  </si>
  <si>
    <t>沸水一升</t>
  </si>
  <si>
    <t>1大氣壓(ATM)=1.033 KG/cm2</t>
  </si>
  <si>
    <t>1 KG/cm2=0.98 巴(bar)</t>
  </si>
  <si>
    <t>1 KG/cm2=0.098 Mpa</t>
  </si>
  <si>
    <t>1 KG/cm2=14.22 PSI</t>
  </si>
  <si>
    <t>1 KG/cm2=10 米水柱</t>
  </si>
  <si>
    <t>控制板</t>
  </si>
  <si>
    <t>3分24V垂直電磁閥</t>
  </si>
  <si>
    <t>線材</t>
  </si>
  <si>
    <t>24V2A電源</t>
  </si>
  <si>
    <t>3G卡托</t>
  </si>
  <si>
    <t>3G物聯卡</t>
  </si>
  <si>
    <t>4分流量計</t>
  </si>
  <si>
    <t>寶塔接头</t>
  </si>
  <si>
    <t>硅膠管</t>
  </si>
  <si>
    <t>副水箱機殼</t>
  </si>
  <si>
    <t>副水箱</t>
  </si>
  <si>
    <t>RO膜殼</t>
  </si>
  <si>
    <t>RO膜</t>
  </si>
  <si>
    <t>高低壓開關</t>
  </si>
  <si>
    <t>接頭夾子水管螺絲</t>
  </si>
  <si>
    <t>加工費</t>
  </si>
  <si>
    <t>浮球</t>
  </si>
  <si>
    <t>迷你水泵</t>
  </si>
  <si>
    <t>前置大T-PP</t>
  </si>
  <si>
    <t>前置大T-UDF</t>
  </si>
  <si>
    <t>后置大T-燒結碳</t>
  </si>
  <si>
    <t>自沖廢水電磁閥</t>
  </si>
  <si>
    <t>帶水箱外殼</t>
  </si>
  <si>
    <t>AC轉雙USB+線</t>
  </si>
  <si>
    <t>2分TDS流量計</t>
  </si>
  <si>
    <t>24V進水電磁閥</t>
  </si>
  <si>
    <t>32-38-10.5</t>
  </si>
  <si>
    <t>亞克力標</t>
  </si>
  <si>
    <t>飲水機上蓋</t>
  </si>
  <si>
    <t>12V5A電源</t>
  </si>
  <si>
    <t>2分PE水管</t>
  </si>
  <si>
    <t>快接头(T接頭)</t>
  </si>
  <si>
    <t>線材+主板+接頭+腳座</t>
  </si>
  <si>
    <t>2分24V電磁閥</t>
  </si>
  <si>
    <t>2分流量計</t>
  </si>
  <si>
    <t>MOS模塊</t>
  </si>
  <si>
    <t>TDS模塊</t>
  </si>
  <si>
    <t>志高即熱飲水機</t>
  </si>
  <si>
    <t>4級RO壁掛機</t>
  </si>
  <si>
    <t>外殼(1入8出)</t>
  </si>
  <si>
    <t>主板</t>
  </si>
  <si>
    <t>組機2,3分PE水管</t>
  </si>
  <si>
    <t>12V電磁閥線材</t>
  </si>
  <si>
    <t>2分12V電磁閥</t>
  </si>
  <si>
    <t>水龍頭+入戶2分PE水管</t>
  </si>
  <si>
    <t>快接头K154(二分直通)</t>
  </si>
  <si>
    <t>水龍頭掛片+條碼</t>
  </si>
  <si>
    <t>白色ABS鵝頸龍頭快接款+配件包</t>
  </si>
  <si>
    <t>TDS模塊+流量計</t>
  </si>
  <si>
    <t>鐵框架</t>
  </si>
  <si>
    <t>2-3分管+接頭+夾子+螺絲</t>
  </si>
  <si>
    <t>自沖洗廢水比</t>
  </si>
  <si>
    <t>電磁閥+高低壓開關</t>
  </si>
  <si>
    <t>三級掛板</t>
  </si>
  <si>
    <t>電源-24V5A</t>
  </si>
  <si>
    <t>100G進水加壓泵</t>
  </si>
  <si>
    <t>100GRO膜</t>
  </si>
  <si>
    <t>Cnt</t>
  </si>
  <si>
    <t>100GRO膜壳</t>
  </si>
  <si>
    <t>10吋活性碳UDF</t>
  </si>
  <si>
    <t>10吋CTO</t>
  </si>
  <si>
    <t>10吋PP棉</t>
  </si>
  <si>
    <t>10吋白色滤瓶</t>
  </si>
  <si>
    <t>75L压力罐(40x80)</t>
  </si>
  <si>
    <t>1514-870 1532-860</t>
  </si>
  <si>
    <t>1766 1544 1234 1,2,3  700</t>
  </si>
  <si>
    <t>708,682,692    3,1,2  1050</t>
  </si>
  <si>
    <t>520,500,513    2,3,1  740</t>
  </si>
  <si>
    <t>607,457,651    1,2,3  800,710,820</t>
  </si>
  <si>
    <t>600,527,617    1,2,3  800</t>
  </si>
  <si>
    <t>604,523,637    1,2,3  760</t>
  </si>
  <si>
    <t>170722測</t>
  </si>
  <si>
    <t>次/升</t>
  </si>
  <si>
    <t>次</t>
  </si>
  <si>
    <t>實際</t>
  </si>
  <si>
    <t>Cnt3</t>
  </si>
  <si>
    <t>Cnt2</t>
  </si>
  <si>
    <t>Cnt1</t>
  </si>
  <si>
    <t>压力损失（Δp）：在给定的流量下，管道中存在水表所造成的水头损失。</t>
  </si>
  <si>
    <t>过载流量（Q4）：要求水表在短时间内能符合最大允许误差要求，随后在额定工作条件下仍能保持计量特性的最大流量。</t>
  </si>
  <si>
    <t>常用流量（Q3）：额定工作条件下的最大流量。在此流量下，水表应正常工作并符合最大允许误差要求。</t>
  </si>
  <si>
    <t>分界流量（Q2）：出现在常用流量Q3和最小流量Q1之间、将流量范围划分成各有特定最大允许误差的“高区”和“低区”两个区的流量。</t>
  </si>
  <si>
    <t>最小流量（Q1）：要求水表的示值符合最大允许误差的最低流量。</t>
  </si>
  <si>
    <t>底板前半</t>
  </si>
  <si>
    <t>切割</t>
  </si>
  <si>
    <t>運費</t>
  </si>
  <si>
    <t>右下</t>
  </si>
  <si>
    <t>右中</t>
  </si>
  <si>
    <t>右上</t>
  </si>
  <si>
    <t>左下</t>
  </si>
  <si>
    <t>左上</t>
  </si>
  <si>
    <t>背</t>
  </si>
  <si>
    <t>上</t>
  </si>
  <si>
    <t>正門</t>
  </si>
  <si>
    <t>上海修林</t>
  </si>
  <si>
    <t>東莞瑞利鑫</t>
  </si>
  <si>
    <t>東莞沃田</t>
  </si>
  <si>
    <t>廣州宏博</t>
  </si>
  <si>
    <t>南通东兴</t>
  </si>
  <si>
    <t>4mmPP板</t>
  </si>
  <si>
    <t>2槽10mm</t>
  </si>
  <si>
    <t>插槽5mm</t>
  </si>
  <si>
    <t>水龍頭底座</t>
  </si>
  <si>
    <t>2分白色PE水管-純水</t>
  </si>
  <si>
    <t>正門下</t>
  </si>
  <si>
    <t>正門上</t>
  </si>
  <si>
    <t>主板+線材</t>
  </si>
  <si>
    <t>2,3分PE水管</t>
  </si>
  <si>
    <t>4分進水管(分機至分機)</t>
  </si>
  <si>
    <t>外殼(主板)</t>
  </si>
  <si>
    <t>Wemos D1 Lite</t>
  </si>
  <si>
    <t>12V電磁閥(進水+純水+廢水)</t>
  </si>
  <si>
    <t>雙路TDS模塊</t>
  </si>
  <si>
    <t>鋁型材-腳座</t>
  </si>
  <si>
    <t>鋁型材-門鎖</t>
  </si>
  <si>
    <t>後</t>
  </si>
  <si>
    <t>二級掛板</t>
  </si>
  <si>
    <t>正</t>
  </si>
  <si>
    <t>鋁型材-M10x40mm不鏽鋼圓柱頭螺栓</t>
  </si>
  <si>
    <t>鋁型材-2020L型角碼+2螺栓螺帽</t>
  </si>
  <si>
    <t>右</t>
  </si>
  <si>
    <t>鋁型材-3030L型角碼+2螺栓螺帽</t>
  </si>
  <si>
    <t>左</t>
  </si>
  <si>
    <t>鋁型材-內置3030L型連接件+2無頭內六角螺栓</t>
  </si>
  <si>
    <t>高</t>
  </si>
  <si>
    <t>鋁型材-M6x16平頭螺栓+M6方螺帽</t>
  </si>
  <si>
    <t>寬</t>
  </si>
  <si>
    <t>鋁型材-0645尼龍合頁</t>
  </si>
  <si>
    <t>長</t>
  </si>
  <si>
    <t>鋁型材-3030卡玻璃3-5mm槽8mmU型槽条</t>
  </si>
  <si>
    <t>鋁型材-3030厚度1.0mm</t>
  </si>
  <si>
    <t>4mm白色PP板</t>
  </si>
  <si>
    <t>空調百葉</t>
  </si>
  <si>
    <t>鋁型材4040</t>
  </si>
  <si>
    <t>鍍鋅板</t>
  </si>
  <si>
    <t>電源-24V10A</t>
  </si>
  <si>
    <t>鋁型材3030</t>
  </si>
  <si>
    <t>鏡面亞克力</t>
  </si>
  <si>
    <t>板-2</t>
  </si>
  <si>
    <t>800G三角洲進水加壓泵</t>
  </si>
  <si>
    <t>鋁型材2020</t>
  </si>
  <si>
    <t>不锈鋼板</t>
  </si>
  <si>
    <t>板-1</t>
  </si>
  <si>
    <t>4021-洰瀓RO膜800GDP</t>
  </si>
  <si>
    <t>不锈鋼方管</t>
  </si>
  <si>
    <t>三合板</t>
  </si>
  <si>
    <t>管</t>
  </si>
  <si>
    <t>4021不鏽鋼RO膜壳</t>
  </si>
  <si>
    <t>3-4分管+接頭+廢水比+電磁閥+高低壓開關</t>
  </si>
  <si>
    <t>10吋壓縮碳CTO</t>
  </si>
  <si>
    <t>10吋4分白色滤瓶</t>
  </si>
  <si>
    <t>20吋石英砂+活性碳</t>
  </si>
  <si>
    <t>元/kg</t>
  </si>
  <si>
    <t>g/cm3</t>
  </si>
  <si>
    <t>20吋PP棉</t>
  </si>
  <si>
    <t>重量（kg）=厚度（mm）*宽度（m）*长度（m）*密度值</t>
  </si>
  <si>
    <t>20吋4分口藍色滤瓶</t>
  </si>
  <si>
    <t>150L压力罐+壓力開關+配件</t>
  </si>
  <si>
    <t>7.3L</t>
  </si>
  <si>
    <t>2-3L</t>
  </si>
  <si>
    <t>8-6-3</t>
  </si>
  <si>
    <t>TDS-2分</t>
  </si>
  <si>
    <t>f</t>
  </si>
  <si>
    <t>Hz/L</t>
  </si>
  <si>
    <t>2%誤差</t>
  </si>
  <si>
    <t>ml/Hz</t>
  </si>
  <si>
    <t>街电布局，点亮全国</t>
  </si>
  <si>
    <t>街电共享充电宝招商优势</t>
  </si>
  <si>
    <t>优质服务</t>
  </si>
  <si>
    <t>为超过上百万用户提供过移动电源租借服务</t>
  </si>
  <si>
    <t>全范围覆盖</t>
  </si>
  <si>
    <t>全国6大一线城市合作商家上万家</t>
  </si>
  <si>
    <t>打造最优平台</t>
  </si>
  <si>
    <t>提供客服、运维、数据等全方位服务</t>
  </si>
  <si>
    <t>街电共享充电宝产品优势</t>
  </si>
  <si>
    <t>特斯拉同款芯片</t>
  </si>
  <si>
    <t>选用原装SANYO三洋高密度电芯，与特斯拉同款电芯。电池充放电循环次数是行业水平3倍以上。</t>
  </si>
  <si>
    <t>Power IQ智能速充</t>
  </si>
  <si>
    <t>PowerIQ智速充科技，可自适应电流，同时支持手机及平板电脑的充电。</t>
  </si>
  <si>
    <t>放心CPIC承保</t>
  </si>
  <si>
    <t>中国太平洋保险质量承保产品，让用户借的放心，用得安心。</t>
  </si>
  <si>
    <t>RoHS欧盟环保标准</t>
  </si>
  <si>
    <t>通过欧盟RoHS强制性环保认证标准，安全无毒。使用环境更是经过-40℃~60℃的严酷环境测试。</t>
  </si>
  <si>
    <t>德国红点工业设计大奖</t>
  </si>
  <si>
    <t>街电充电箱简约时尚的外观设计，获得2016年德国红点设计大奖。</t>
  </si>
  <si>
    <t>八重安全保障</t>
  </si>
  <si>
    <t>输出过压保护，输出过流保护，高温保护，电池过充保护，电流过放保护，输出短路保护，纹波、尖峰抑制。</t>
  </si>
  <si>
    <t>舒心自带线材</t>
  </si>
  <si>
    <t>街电充电宝自带充电线，免去额外自备或购买充电线的麻烦。线材弯折寿命更是普通线材5倍以上。</t>
  </si>
  <si>
    <t>柜机省电功耗小</t>
  </si>
  <si>
    <t>全天24小时待机，一个月1度电，正常借还操作使用，一周1度电</t>
  </si>
  <si>
    <t>世界一流电源管理系统</t>
  </si>
  <si>
    <t>BMS运用世界一流供应商美国德州仪器(TI)的电源管理IC；世界最先进的电压、电流、容量管理方案，实时监控电池容量变化。</t>
  </si>
  <si>
    <t>CE、FCC美国欧盟规范</t>
  </si>
  <si>
    <t>符合美国FCC电磁兼容认证以及欧盟CE安全及格认证等两大电子产品安全规范。静电防护机制有效防止-4~8KV静电电击。</t>
  </si>
  <si>
    <t>1、具有合法资格的法人或具有独立民事行为能力的自然人；</t>
  </si>
  <si>
    <t>2、拥有适合街电共享充电宝加盟经营的场所；</t>
  </si>
  <si>
    <t>3、有良好的的个人信誉，无不良嗜好者</t>
  </si>
  <si>
    <t>4、愿接受街电共享充电宝加盟总部培训辅导者</t>
  </si>
  <si>
    <t>5、寻求事业二春者或有心创业者</t>
  </si>
  <si>
    <t>6、对街电共享充电宝加盟有兴趣者</t>
  </si>
  <si>
    <t>街电共享充电宝加盟优势</t>
  </si>
  <si>
    <t>街电共享充电宝加盟条件</t>
  </si>
  <si>
    <t xml:space="preserve">充电宝免费借，户外充电新形式 </t>
  </si>
  <si>
    <t xml:space="preserve">为满足越来越多“缺电族”的需求，不少商场、商户都会准备插座，为出门在外的顾客充电。这在一定程度上解决了顾客的需求，但也不尽然——大部分顾客并不会自己准备充电器， 商户往往也不予提供。街电则可以很好地解决这个问题：街电在商场、商户等公共场合配置的每台充电箱都包含6—12个充电宝，供顾客自助借用。充电宝上自带数据线，支持安卓和苹果两种接口，未来将增设Type-C接口，几乎所有用户都能为自己的手机找到合适的接口充电。 </t>
  </si>
  <si>
    <t xml:space="preserve">随身带高效充，移动充电新方案 </t>
  </si>
  <si>
    <t>街电最大特点就是可以随身充电。不同于传统的守在插座旁眼巴巴等待手机电量达到安全值再离开，街电的用户借出移动电源后可以立即离开充电箱，将充电宝拿在手中或带在身上为手机充电，用完后就近找充电箱归还即可，无需专门为充电留出时间。此外，街电提供的移动电源由在北美、欧洲、日本等地区和国家销量领先的移动充电品牌Anker提供，配有PowerIQ智能充电技术，能自动为手机平板提供更为快速、安全的充电方案，做到真正的高效充电。</t>
  </si>
  <si>
    <t xml:space="preserve">扫码借全城还，时尚充电新玩法 </t>
  </si>
  <si>
    <t>街电的使用也非常简单：用户扫描机箱上的二维码，就可以进入微信公众号进行借还电源的操作。需要从充电箱中借出电源时，只要通过微信支付缴纳100元押金，并选择自己需要的接口型号，即可从充电箱中取出移动电源为自己手机充电。街电在布局城市放置了足够多的设备，从公众号上能及时获知附近的街电设备位置，保证能用户能非常方便地借还。</t>
  </si>
  <si>
    <t xml:space="preserve">以长沙为例，目前街电与长沙超过500家商户达成了合作，长沙主要商场的每层楼、步行街的每100米，都能轻松找到街电设备。到年底，街电在长沙的合作商户将达到2000家，实现每个小区、街道全覆盖。 </t>
  </si>
  <si>
    <t>适用场所</t>
  </si>
  <si>
    <t xml:space="preserve">  商场、餐厅、车站、机场、影院、酒吧、游乐场、KTV、、银行、医院等 </t>
  </si>
  <si>
    <t xml:space="preserve">合作品牌  </t>
  </si>
  <si>
    <t xml:space="preserve">外婆家、金牛角王、大码头、IDO、俏江南、魅力四射、MUSE、炉鱼、云水肴、时间仓、川锅一号、胖哥俩、57°湘、火宫阁、黄记煌、文和友、雕刻时光咖啡馆、海吃海喝等 </t>
  </si>
  <si>
    <t>代理分成</t>
  </si>
  <si>
    <t>一级代理商：</t>
  </si>
  <si>
    <t>免费支持1000台6口柜机铺设市场</t>
  </si>
  <si>
    <t>根据宣传需要赠送10万广告物料支持</t>
  </si>
  <si>
    <t>代理商享受租金分成65%</t>
  </si>
  <si>
    <t>二级代理商：</t>
  </si>
  <si>
    <t>免费支持500台6口柜机铺设市场</t>
  </si>
  <si>
    <t>根据宣传需要赠送5万广告物料支持</t>
  </si>
  <si>
    <t>代理商享受租金分成60%</t>
  </si>
  <si>
    <t>三级代理商：</t>
  </si>
  <si>
    <t>免费支持300台6口柜机铺设市场</t>
  </si>
  <si>
    <t>根据宣传需要赠送3万广告物料支持</t>
  </si>
  <si>
    <t>代理商享受租金分成55%</t>
  </si>
  <si>
    <t>健康</t>
  </si>
  <si>
    <t>環保</t>
  </si>
  <si>
    <t>省錢</t>
  </si>
  <si>
    <t>提高形象</t>
  </si>
  <si>
    <t>服務房客</t>
  </si>
  <si>
    <t>提高出租率</t>
  </si>
  <si>
    <t>提高租金</t>
  </si>
  <si>
    <t>賺獎金</t>
  </si>
  <si>
    <t>賺提成</t>
  </si>
  <si>
    <t>免費用水</t>
  </si>
  <si>
    <t>賺介紹費</t>
  </si>
  <si>
    <t>方便</t>
  </si>
  <si>
    <t>最新技術</t>
  </si>
  <si>
    <t>最大流量</t>
  </si>
  <si>
    <t>收費方便</t>
  </si>
  <si>
    <t>安裝簡單</t>
  </si>
  <si>
    <t>免WIFI</t>
  </si>
  <si>
    <t>免維護</t>
  </si>
  <si>
    <t>免投資</t>
  </si>
  <si>
    <t>實時監控</t>
  </si>
  <si>
    <t>后台簡單</t>
  </si>
  <si>
    <t>共享主流</t>
  </si>
  <si>
    <t>最高標準</t>
  </si>
  <si>
    <t>后續服務</t>
  </si>
  <si>
    <t>促銷流程</t>
  </si>
  <si>
    <t>清潔衛生</t>
  </si>
  <si>
    <t>陶氏</t>
  </si>
  <si>
    <t>GE</t>
  </si>
  <si>
    <t>深圳街电科技有限公司是一家为出行用户提供方便快捷的共享移动充电服务的公司，致力于从终端彻底解决人们出门在外手机充电烦的痛点。</t>
  </si>
  <si>
    <t>产品绿色环保、功能时尚、随借随还，还可异地归还，通过LBS地理位置定位功能所建立的充电服务生态圈，来提升人们的出行品质。</t>
  </si>
  <si>
    <t>街电总部位于深圳，目前已在北京、上海、广州、深圳、杭州、长沙、武汉、南昌、厦门、合肥等一、二线城市布点，并成功积累百万日常用户。</t>
  </si>
  <si>
    <t>计划至2017年底，街电将覆盖全国100个城市，同时线下市场铺设柜机量也将达到几十万台。</t>
  </si>
  <si>
    <t>就现阶段而言，街电在设备质量、铺设设备总数、优质合作商家、设备铺设速度以及用户粘性等方面均都在行业前列</t>
  </si>
  <si>
    <t xml:space="preserve">街电是深圳街电科技有限公司推出的全新移动充电解决方案，旨在与城市热门商圈的商场、商户等公共场所合作，通过提供街电充电一体柜机和移动电源专用设备，为用户提供方便好用的免费移动电源租借服务。 </t>
  </si>
  <si>
    <t>首先，街电最大特点就是可以随身充电。不同于传统的“守充”，街电的用户借出移动电源后可以立即离开充电箱，将充电宝拿在手中或带在身上为手机充电，用完后就近找充电箱归还即可，无需专门为充电留出时间。</t>
  </si>
  <si>
    <t>此外，街电提供的移动电源配有PowerIQ智能充电技术，能自动为手机平板提供更为快速、安全的充电方案，做到真正的高效充电。</t>
  </si>
  <si>
    <t>街电是一种全新的移动充电解决方案。在合作商户放置充电箱设备，为店内外消费的顾客提供移动电源租借服务。与传统的租借服务不同，街电的租借服务完全由用户自主完成。</t>
  </si>
  <si>
    <t>用户只需要扫描机箱上的二维码，根据提示操作即可借出移动电源为手机充电。</t>
  </si>
  <si>
    <t>最低耗水電</t>
  </si>
  <si>
    <t>最优平台</t>
  </si>
  <si>
    <t>進口膜芯NASA</t>
  </si>
  <si>
    <t>高品質瓶裝水歐美規</t>
  </si>
  <si>
    <t>贈品發放</t>
  </si>
  <si>
    <t>免費換芯</t>
  </si>
  <si>
    <t>NSF</t>
  </si>
  <si>
    <t>RoHS</t>
  </si>
  <si>
    <t>FCC</t>
  </si>
  <si>
    <t>CE</t>
  </si>
  <si>
    <t>美国欧盟规范</t>
  </si>
  <si>
    <t>NASA</t>
  </si>
  <si>
    <t>安卓</t>
  </si>
  <si>
    <t>聯通</t>
  </si>
  <si>
    <t>4G</t>
  </si>
  <si>
    <t>微信</t>
  </si>
  <si>
    <t>高通</t>
  </si>
  <si>
    <t>apple</t>
  </si>
  <si>
    <t>400G水泵</t>
  </si>
  <si>
    <t>RO膜-2012-200G</t>
  </si>
  <si>
    <t>控制板外殼</t>
  </si>
  <si>
    <t>USB-插簧線材</t>
  </si>
  <si>
    <t>RO膜-2012-75G</t>
  </si>
  <si>
    <t>裝機</t>
  </si>
  <si>
    <t>二維碼</t>
  </si>
  <si>
    <t>廣告編號</t>
  </si>
  <si>
    <t>機器編號</t>
  </si>
  <si>
    <t>升</t>
  </si>
  <si>
    <t>折扣</t>
  </si>
  <si>
    <t>每大桶</t>
  </si>
  <si>
    <t>待裝機</t>
  </si>
  <si>
    <t>D1待改</t>
  </si>
  <si>
    <t>待進貨</t>
  </si>
  <si>
    <t>已下單</t>
  </si>
  <si>
    <t>蘇州KO</t>
  </si>
  <si>
    <t>24*20*2</t>
  </si>
  <si>
    <t>四，我们的水又是井水，经过公司人员常期会把水带回去抽检化验，保证我们的以提供最优质的水质</t>
  </si>
  <si>
    <t>五，我们的水是经过电源插电，带消毒的，顾客打五升的水，我们就去掉六成不良的水排出来，只有四成的水，而且我们的水并不像水管那么大的水想出多大就有多大</t>
  </si>
  <si>
    <t>我们的机器里面的过滤器是经过我们的水质来安装过滤器的，并不像市场卖的一仟多的那么便宜的过滤器的</t>
  </si>
  <si>
    <t>之所以我们的机器不卖的原因，</t>
  </si>
  <si>
    <t>寶塔接头(4分內牙轉20mm)</t>
  </si>
  <si>
    <t>買鋁梯</t>
  </si>
  <si>
    <t>一，我们会介绍说最起码我们的水知道哪里来的水;</t>
  </si>
  <si>
    <t>二，我们的水又可以现场试喝;</t>
  </si>
  <si>
    <t>三，我们的水客户打的多公司会有优惠，我们私人又可以另送一桶至二桶</t>
  </si>
  <si>
    <t>4分外螺牙對接20mm寶塔</t>
  </si>
  <si>
    <t>4分螺母</t>
  </si>
  <si>
    <t>硅胶墊片17*27*3</t>
  </si>
  <si>
    <t>內16*外20mm進口硅胶管</t>
  </si>
  <si>
    <t>20mm寶塔轉4分內螺牙</t>
  </si>
  <si>
    <t>4分外螺牙流量計</t>
  </si>
  <si>
    <t>4分內螺牙轉14mm寶塔</t>
  </si>
  <si>
    <t>南洋24VL放水電磁閥</t>
  </si>
  <si>
    <t>12轉8mmL型7號飲水機硅胶管</t>
  </si>
  <si>
    <t>進貨</t>
  </si>
  <si>
    <t>內12*外16mm進口硅胶管</t>
  </si>
  <si>
    <t>4分外螺牙對接18mm寶塔</t>
  </si>
  <si>
    <t>4分內螺牙轉16mm寶塔</t>
  </si>
  <si>
    <t>庫存</t>
  </si>
  <si>
    <t>机器尺寸： 高60*厚16*寬39.5CM</t>
  </si>
  <si>
    <t>5L:58*52*50（200个装箱）  10L:58*52*50（150个装箱）</t>
  </si>
  <si>
    <t>规格型号</t>
  </si>
  <si>
    <t>储气压力(psi)</t>
  </si>
  <si>
    <t>储水压力(psi)</t>
  </si>
  <si>
    <t>储水量</t>
  </si>
  <si>
    <t>（L）</t>
  </si>
  <si>
    <t>尺寸（直径*高）mm</t>
  </si>
  <si>
    <t>接头尺寸NPT (英吋)</t>
  </si>
  <si>
    <t>3.2G</t>
  </si>
  <si>
    <t>￠280*350</t>
  </si>
  <si>
    <t>6G</t>
  </si>
  <si>
    <t>￠280*460</t>
  </si>
  <si>
    <t>11G</t>
  </si>
  <si>
    <t>￠380*570</t>
  </si>
  <si>
    <t>20G</t>
  </si>
  <si>
    <t>5-7i</t>
  </si>
  <si>
    <t>￠390*650</t>
  </si>
  <si>
    <t>注：最大存水量是指储气压力0.5kg/cm2温度25℃储水压力7kg/cm2状态下储水量。</t>
  </si>
  <si>
    <t>樹田回頭</t>
  </si>
  <si>
    <t>樹田去重</t>
  </si>
  <si>
    <t>樹田5元包</t>
  </si>
  <si>
    <t>廈崗5元包</t>
  </si>
  <si>
    <t>烏沙1元</t>
  </si>
  <si>
    <t>廈崗1元</t>
  </si>
  <si>
    <t>樹田1元</t>
  </si>
  <si>
    <t>關閥送太多重覆MQTT</t>
  </si>
  <si>
    <t>桶,閥,流量計,TDS針,水龍頭</t>
  </si>
  <si>
    <t>桶,閥,流量計,TDS針</t>
  </si>
  <si>
    <t>鳳崗,犬眠嶺,商品城,石排,惠州,蔡住家特產店,常平叔餐廳,藥房介紹</t>
  </si>
  <si>
    <t>機4待改</t>
  </si>
  <si>
    <t>進水流量計+沒2xTDS針</t>
  </si>
  <si>
    <t>樹田6折</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</si>
</sst>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3" formatCode="_ * #,##0.00_ ;_ * \-#,##0.00_ ;_ * &quot;-&quot;??_ ;_ @_ "/>
    <numFmt numFmtId="164" formatCode="_ * #,##0_ ;_ * \-#,##0_ ;_ * &quot;-&quot;??_ ;_ @_ "/>
    <numFmt numFmtId="165" formatCode="_ * #,##0.0000_ ;_ * \-#,##0.0000_ ;_ * &quot;-&quot;??_ ;_ @_ "/>
    <numFmt numFmtId="166" formatCode="0.0"/>
    <numFmt numFmtId="167" formatCode="_-* #,##0.00_-;\-* #,##0.00_-;_-* &quot;-&quot;??_-;_-@_-"/>
    <numFmt numFmtId="168" formatCode="0.0%"/>
    <numFmt numFmtId="169" formatCode="[$-804]aaa;@"/>
  </numFmts>
  <fonts count="29">
    <font>
      <sz val="12"/>
      <name val="宋体"/>
      <charset val="134"/>
    </font>
    <font>
      <sz val="12"/>
      <name val="宋体"/>
      <charset val="134"/>
    </font>
    <font>
      <b/>
      <sz val="10"/>
      <name val="宋体"/>
      <charset val="134"/>
    </font>
    <font>
      <sz val="10"/>
      <name val="宋体"/>
      <charset val="134"/>
    </font>
    <font>
      <sz val="10"/>
      <name val="新宋体"/>
      <family val="3"/>
      <charset val="134"/>
    </font>
    <font>
      <sz val="11"/>
      <color indexed="8"/>
      <name val="宋体"/>
      <charset val="134"/>
    </font>
    <font>
      <sz val="11"/>
      <color indexed="9"/>
      <name val="宋体"/>
      <charset val="134"/>
    </font>
    <font>
      <b/>
      <sz val="18"/>
      <color indexed="56"/>
      <name val="宋体"/>
      <charset val="134"/>
    </font>
    <font>
      <b/>
      <sz val="15"/>
      <color indexed="56"/>
      <name val="宋体"/>
      <charset val="134"/>
    </font>
    <font>
      <b/>
      <sz val="13"/>
      <color indexed="56"/>
      <name val="宋体"/>
      <charset val="134"/>
    </font>
    <font>
      <b/>
      <sz val="11"/>
      <color indexed="56"/>
      <name val="宋体"/>
      <charset val="134"/>
    </font>
    <font>
      <b/>
      <sz val="18"/>
      <color indexed="62"/>
      <name val="宋体"/>
      <charset val="134"/>
    </font>
    <font>
      <sz val="11"/>
      <color indexed="20"/>
      <name val="宋体"/>
      <charset val="134"/>
    </font>
    <font>
      <sz val="11"/>
      <color theme="1"/>
      <name val="Calibri"/>
      <family val="3"/>
      <charset val="134"/>
      <scheme val="minor"/>
    </font>
    <font>
      <sz val="10"/>
      <color indexed="8"/>
      <name val="Arial"/>
      <family val="2"/>
    </font>
    <font>
      <b/>
      <sz val="11"/>
      <color indexed="8"/>
      <name val="宋体"/>
      <charset val="134"/>
    </font>
    <font>
      <b/>
      <sz val="11"/>
      <color indexed="52"/>
      <name val="宋体"/>
      <charset val="134"/>
    </font>
    <font>
      <b/>
      <sz val="11"/>
      <color indexed="9"/>
      <name val="宋体"/>
      <charset val="134"/>
    </font>
    <font>
      <i/>
      <sz val="11"/>
      <color indexed="23"/>
      <name val="宋体"/>
      <charset val="134"/>
    </font>
    <font>
      <sz val="11"/>
      <color indexed="10"/>
      <name val="宋体"/>
      <charset val="134"/>
    </font>
    <font>
      <sz val="11"/>
      <color indexed="52"/>
      <name val="宋体"/>
      <charset val="134"/>
    </font>
    <font>
      <sz val="12"/>
      <name val="新細明體"/>
      <family val="1"/>
      <charset val="136"/>
    </font>
    <font>
      <sz val="11"/>
      <color indexed="60"/>
      <name val="宋体"/>
      <charset val="134"/>
    </font>
    <font>
      <b/>
      <sz val="11"/>
      <color indexed="63"/>
      <name val="宋体"/>
      <charset val="134"/>
    </font>
    <font>
      <sz val="11"/>
      <color indexed="62"/>
      <name val="宋体"/>
      <charset val="134"/>
    </font>
    <font>
      <b/>
      <sz val="9"/>
      <color indexed="81"/>
      <name val="Tahoma"/>
      <family val="2"/>
    </font>
    <font>
      <sz val="10"/>
      <name val="Geneva"/>
      <family val="2"/>
    </font>
    <font>
      <sz val="9"/>
      <color indexed="81"/>
      <name val="Tahoma"/>
      <family val="2"/>
    </font>
    <font>
      <b/>
      <sz val="9"/>
      <color indexed="81"/>
      <name val="Tahoma"/>
      <charset val="1"/>
    </font>
  </fonts>
  <fills count="31">
    <fill>
      <patternFill patternType="none"/>
    </fill>
    <fill>
      <patternFill patternType="gray125"/>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rgb="FF92D050"/>
        <bgColor indexed="64"/>
      </patternFill>
    </fill>
    <fill>
      <patternFill patternType="solid">
        <fgColor rgb="FFFFFF00"/>
        <bgColor indexed="64"/>
      </patternFill>
    </fill>
    <fill>
      <patternFill patternType="solid">
        <fgColor theme="6"/>
        <bgColor indexed="64"/>
      </patternFill>
    </fill>
    <fill>
      <patternFill patternType="solid">
        <fgColor theme="8" tint="0.59999389629810485"/>
        <bgColor indexed="64"/>
      </patternFill>
    </fill>
    <fill>
      <patternFill patternType="solid">
        <fgColor rgb="FFFF00FF"/>
        <bgColor indexed="64"/>
      </patternFill>
    </fill>
    <fill>
      <patternFill patternType="solid">
        <fgColor theme="9" tint="0.39997558519241921"/>
        <bgColor indexed="64"/>
      </patternFill>
    </fill>
  </fills>
  <borders count="10">
    <border>
      <left/>
      <right/>
      <top/>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s>
  <cellStyleXfs count="51">
    <xf numFmtId="0" fontId="0" fillId="0" borderId="0"/>
    <xf numFmtId="43" fontId="1" fillId="0" borderId="0" applyFont="0" applyFill="0" applyBorder="0" applyAlignment="0" applyProtection="0"/>
    <xf numFmtId="9" fontId="1" fillId="0" borderId="0" applyFont="0" applyFill="0" applyBorder="0" applyAlignment="0" applyProtection="0"/>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11" borderId="0" applyNumberFormat="0" applyBorder="0" applyAlignment="0" applyProtection="0">
      <alignment vertical="center"/>
    </xf>
    <xf numFmtId="0" fontId="5" fillId="6" borderId="0" applyNumberFormat="0" applyBorder="0" applyAlignment="0" applyProtection="0">
      <alignment vertical="center"/>
    </xf>
    <xf numFmtId="0" fontId="5" fillId="9" borderId="0" applyNumberFormat="0" applyBorder="0" applyAlignment="0" applyProtection="0">
      <alignment vertical="center"/>
    </xf>
    <xf numFmtId="0" fontId="5" fillId="12" borderId="0" applyNumberFormat="0" applyBorder="0" applyAlignment="0" applyProtection="0">
      <alignment vertical="center"/>
    </xf>
    <xf numFmtId="0" fontId="6" fillId="13" borderId="0" applyNumberFormat="0" applyBorder="0" applyAlignment="0" applyProtection="0">
      <alignment vertical="center"/>
    </xf>
    <xf numFmtId="0" fontId="6" fillId="10" borderId="0" applyNumberFormat="0" applyBorder="0" applyAlignment="0" applyProtection="0">
      <alignment vertical="center"/>
    </xf>
    <xf numFmtId="0" fontId="6" fillId="11"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9" fontId="1" fillId="0" borderId="0" applyFont="0" applyFill="0" applyBorder="0" applyAlignment="0" applyProtection="0"/>
    <xf numFmtId="0" fontId="7" fillId="0" borderId="0" applyNumberFormat="0" applyFill="0" applyBorder="0" applyAlignment="0" applyProtection="0">
      <alignment vertical="center"/>
    </xf>
    <xf numFmtId="0" fontId="8" fillId="0" borderId="1" applyNumberFormat="0" applyFill="0" applyAlignment="0" applyProtection="0">
      <alignment vertical="center"/>
    </xf>
    <xf numFmtId="0" fontId="9" fillId="0" borderId="2" applyNumberFormat="0" applyFill="0" applyAlignment="0" applyProtection="0">
      <alignment vertical="center"/>
    </xf>
    <xf numFmtId="0" fontId="10" fillId="0" borderId="3" applyNumberFormat="0" applyFill="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4" borderId="0" applyNumberFormat="0" applyBorder="0" applyAlignment="0" applyProtection="0">
      <alignment vertical="center"/>
    </xf>
    <xf numFmtId="0" fontId="13" fillId="0" borderId="0">
      <alignment vertical="center"/>
    </xf>
    <xf numFmtId="0" fontId="14" fillId="0" borderId="0"/>
    <xf numFmtId="0" fontId="15" fillId="0" borderId="4" applyNumberFormat="0" applyFill="0" applyAlignment="0" applyProtection="0">
      <alignment vertical="center"/>
    </xf>
    <xf numFmtId="0" fontId="16" fillId="17" borderId="5" applyNumberFormat="0" applyAlignment="0" applyProtection="0">
      <alignment vertical="center"/>
    </xf>
    <xf numFmtId="0" fontId="17" fillId="18" borderId="6" applyNumberForma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7" applyNumberFormat="0" applyFill="0" applyAlignment="0" applyProtection="0">
      <alignment vertical="center"/>
    </xf>
    <xf numFmtId="43" fontId="1" fillId="0" borderId="0" applyFont="0" applyFill="0" applyBorder="0" applyAlignment="0" applyProtection="0"/>
    <xf numFmtId="167" fontId="21" fillId="0" borderId="0" applyFont="0" applyFill="0" applyBorder="0" applyAlignment="0" applyProtection="0">
      <alignment vertical="center"/>
    </xf>
    <xf numFmtId="0" fontId="6" fillId="19" borderId="0" applyNumberFormat="0" applyBorder="0" applyAlignment="0" applyProtection="0">
      <alignment vertical="center"/>
    </xf>
    <xf numFmtId="0" fontId="6" fillId="20" borderId="0" applyNumberFormat="0" applyBorder="0" applyAlignment="0" applyProtection="0">
      <alignment vertical="center"/>
    </xf>
    <xf numFmtId="0" fontId="6" fillId="21"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22" borderId="0" applyNumberFormat="0" applyBorder="0" applyAlignment="0" applyProtection="0">
      <alignment vertical="center"/>
    </xf>
    <xf numFmtId="0" fontId="22" fillId="23" borderId="0" applyNumberFormat="0" applyBorder="0" applyAlignment="0" applyProtection="0">
      <alignment vertical="center"/>
    </xf>
    <xf numFmtId="0" fontId="23" fillId="17" borderId="8" applyNumberFormat="0" applyAlignment="0" applyProtection="0">
      <alignment vertical="center"/>
    </xf>
    <xf numFmtId="0" fontId="24" fillId="8" borderId="5" applyNumberFormat="0" applyAlignment="0" applyProtection="0">
      <alignment vertical="center"/>
    </xf>
    <xf numFmtId="0" fontId="1" fillId="24" borderId="9" applyNumberFormat="0" applyFont="0" applyAlignment="0" applyProtection="0">
      <alignment vertical="center"/>
    </xf>
    <xf numFmtId="0" fontId="21" fillId="0" borderId="0"/>
    <xf numFmtId="0" fontId="26" fillId="0" borderId="0"/>
  </cellStyleXfs>
  <cellXfs count="60">
    <xf numFmtId="0" fontId="0" fillId="0" borderId="0" xfId="0"/>
    <xf numFmtId="0" fontId="2" fillId="0" borderId="0" xfId="0" applyFont="1" applyFill="1" applyAlignment="1">
      <alignment horizontal="center"/>
    </xf>
    <xf numFmtId="0" fontId="2" fillId="2" borderId="0" xfId="0" applyFont="1" applyFill="1" applyAlignment="1">
      <alignment horizontal="center"/>
    </xf>
    <xf numFmtId="0" fontId="2" fillId="0" borderId="0" xfId="0" applyFont="1" applyFill="1" applyAlignment="1">
      <alignment horizontal="center" vertical="center"/>
    </xf>
    <xf numFmtId="0" fontId="3" fillId="2" borderId="0" xfId="0" applyFont="1" applyFill="1"/>
    <xf numFmtId="0" fontId="0" fillId="0" borderId="0" xfId="0" applyAlignment="1">
      <alignment horizontal="center"/>
    </xf>
    <xf numFmtId="0" fontId="3" fillId="0" borderId="0" xfId="0" applyFont="1" applyFill="1" applyAlignment="1">
      <alignment horizontal="center"/>
    </xf>
    <xf numFmtId="0" fontId="3" fillId="0" borderId="0" xfId="0" applyFont="1" applyFill="1"/>
    <xf numFmtId="0" fontId="3" fillId="0" borderId="0" xfId="0" applyFont="1" applyFill="1" applyAlignment="1">
      <alignment horizontal="center" vertical="center"/>
    </xf>
    <xf numFmtId="10" fontId="3" fillId="0" borderId="0" xfId="0" applyNumberFormat="1" applyFont="1" applyFill="1" applyAlignment="1">
      <alignment horizontal="center"/>
    </xf>
    <xf numFmtId="43" fontId="3" fillId="0" borderId="0" xfId="1" applyFont="1" applyFill="1" applyAlignment="1">
      <alignment horizontal="center" vertical="center"/>
    </xf>
    <xf numFmtId="0" fontId="0" fillId="0" borderId="0" xfId="0" applyAlignment="1">
      <alignment horizontal="center" vertical="center"/>
    </xf>
    <xf numFmtId="164" fontId="3" fillId="0" borderId="0" xfId="1" applyNumberFormat="1" applyFont="1" applyFill="1"/>
    <xf numFmtId="43" fontId="3" fillId="0" borderId="0" xfId="0" applyNumberFormat="1" applyFont="1" applyFill="1"/>
    <xf numFmtId="10" fontId="3" fillId="0" borderId="0" xfId="2" applyNumberFormat="1" applyFont="1" applyFill="1"/>
    <xf numFmtId="0" fontId="4" fillId="0" borderId="0" xfId="0" applyFont="1"/>
    <xf numFmtId="0" fontId="3" fillId="0" borderId="0" xfId="0" applyFont="1" applyFill="1" applyAlignment="1"/>
    <xf numFmtId="14" fontId="3" fillId="0" borderId="0" xfId="0" applyNumberFormat="1" applyFont="1" applyFill="1" applyAlignment="1"/>
    <xf numFmtId="2" fontId="3" fillId="0" borderId="0" xfId="0" applyNumberFormat="1" applyFont="1" applyFill="1" applyAlignment="1">
      <alignment horizontal="center"/>
    </xf>
    <xf numFmtId="164" fontId="3" fillId="0" borderId="0" xfId="1" applyNumberFormat="1" applyFont="1" applyFill="1" applyAlignment="1">
      <alignment horizontal="center"/>
    </xf>
    <xf numFmtId="164" fontId="3" fillId="0" borderId="0" xfId="0" applyNumberFormat="1" applyFont="1" applyFill="1" applyAlignment="1">
      <alignment horizontal="center"/>
    </xf>
    <xf numFmtId="165" fontId="3" fillId="0" borderId="0" xfId="1" applyNumberFormat="1" applyFont="1" applyFill="1"/>
    <xf numFmtId="1" fontId="3" fillId="0" borderId="0" xfId="0" applyNumberFormat="1" applyFont="1" applyFill="1" applyAlignment="1">
      <alignment horizontal="center" vertical="center"/>
    </xf>
    <xf numFmtId="166" fontId="3" fillId="0" borderId="0" xfId="0" applyNumberFormat="1" applyFont="1" applyFill="1"/>
    <xf numFmtId="166" fontId="3" fillId="0" borderId="0" xfId="0" applyNumberFormat="1" applyFont="1" applyFill="1" applyAlignment="1">
      <alignment horizontal="center"/>
    </xf>
    <xf numFmtId="43" fontId="3" fillId="0" borderId="0" xfId="1" applyFont="1" applyFill="1" applyAlignment="1">
      <alignment horizontal="center"/>
    </xf>
    <xf numFmtId="0" fontId="3" fillId="2" borderId="0" xfId="0" applyFont="1" applyFill="1" applyAlignment="1">
      <alignment horizontal="center"/>
    </xf>
    <xf numFmtId="0" fontId="3" fillId="25" borderId="0" xfId="0" applyFont="1" applyFill="1"/>
    <xf numFmtId="0" fontId="3" fillId="26" borderId="0" xfId="0" applyFont="1" applyFill="1" applyAlignment="1">
      <alignment horizontal="center"/>
    </xf>
    <xf numFmtId="0" fontId="3" fillId="27" borderId="0" xfId="0" applyFont="1" applyFill="1"/>
    <xf numFmtId="1" fontId="3" fillId="0" borderId="0" xfId="0" applyNumberFormat="1" applyFont="1" applyFill="1"/>
    <xf numFmtId="43" fontId="3" fillId="0" borderId="0" xfId="1" applyFont="1" applyFill="1"/>
    <xf numFmtId="1" fontId="3" fillId="28" borderId="0" xfId="0" applyNumberFormat="1" applyFont="1" applyFill="1"/>
    <xf numFmtId="1" fontId="3" fillId="2" borderId="0" xfId="0" applyNumberFormat="1" applyFont="1" applyFill="1"/>
    <xf numFmtId="0" fontId="3" fillId="28" borderId="0" xfId="0" applyFont="1" applyFill="1"/>
    <xf numFmtId="0" fontId="3" fillId="27" borderId="0" xfId="0" applyFont="1" applyFill="1" applyAlignment="1">
      <alignment horizontal="center"/>
    </xf>
    <xf numFmtId="0" fontId="3" fillId="0" borderId="0" xfId="0" applyFont="1"/>
    <xf numFmtId="167" fontId="3" fillId="0" borderId="0" xfId="1" applyNumberFormat="1" applyFont="1"/>
    <xf numFmtId="43" fontId="3" fillId="0" borderId="0" xfId="0" applyNumberFormat="1" applyFont="1" applyAlignment="1">
      <alignment horizontal="center"/>
    </xf>
    <xf numFmtId="0" fontId="3" fillId="0" borderId="0" xfId="0" applyFont="1" applyAlignment="1">
      <alignment horizontal="center"/>
    </xf>
    <xf numFmtId="0" fontId="3" fillId="0" borderId="0" xfId="0" applyFont="1" applyAlignment="1"/>
    <xf numFmtId="14" fontId="3" fillId="0" borderId="0" xfId="0" quotePrefix="1" applyNumberFormat="1" applyFont="1" applyFill="1"/>
    <xf numFmtId="0" fontId="3" fillId="25" borderId="0" xfId="0" applyFont="1" applyFill="1" applyAlignment="1">
      <alignment horizontal="center"/>
    </xf>
    <xf numFmtId="14" fontId="4" fillId="0" borderId="0" xfId="0" applyNumberFormat="1" applyFont="1"/>
    <xf numFmtId="0" fontId="0" fillId="2" borderId="0" xfId="0" applyFill="1"/>
    <xf numFmtId="0" fontId="0" fillId="2" borderId="0" xfId="0" applyFill="1" applyAlignment="1">
      <alignment horizontal="center"/>
    </xf>
    <xf numFmtId="0" fontId="0" fillId="29" borderId="0" xfId="0" applyFill="1" applyAlignment="1">
      <alignment horizontal="center"/>
    </xf>
    <xf numFmtId="0" fontId="0" fillId="0" borderId="0" xfId="0" applyFill="1" applyAlignment="1">
      <alignment horizontal="center"/>
    </xf>
    <xf numFmtId="0" fontId="0" fillId="25" borderId="0" xfId="0" applyFill="1" applyAlignment="1">
      <alignment horizontal="center"/>
    </xf>
    <xf numFmtId="0" fontId="0" fillId="0" borderId="0" xfId="0" quotePrefix="1"/>
    <xf numFmtId="43" fontId="0" fillId="0" borderId="0" xfId="1" applyFont="1"/>
    <xf numFmtId="0" fontId="21" fillId="0" borderId="0" xfId="49"/>
    <xf numFmtId="0" fontId="3" fillId="30" borderId="0" xfId="0" applyFont="1" applyFill="1" applyAlignment="1">
      <alignment horizontal="center"/>
    </xf>
    <xf numFmtId="16" fontId="0" fillId="0" borderId="0" xfId="0" applyNumberFormat="1" applyAlignment="1">
      <alignment horizontal="center"/>
    </xf>
    <xf numFmtId="16" fontId="0" fillId="0" borderId="0" xfId="0" applyNumberFormat="1"/>
    <xf numFmtId="0" fontId="0" fillId="0" borderId="0" xfId="0" applyAlignment="1"/>
    <xf numFmtId="168" fontId="0" fillId="0" borderId="0" xfId="2" applyNumberFormat="1" applyFont="1"/>
    <xf numFmtId="0" fontId="0" fillId="30" borderId="0" xfId="0" applyFill="1" applyAlignment="1">
      <alignment horizontal="center"/>
    </xf>
    <xf numFmtId="168" fontId="0" fillId="0" borderId="0" xfId="2" applyNumberFormat="1" applyFont="1" applyAlignment="1">
      <alignment horizontal="center"/>
    </xf>
    <xf numFmtId="169" fontId="0" fillId="0" borderId="0" xfId="0" applyNumberFormat="1" applyAlignment="1">
      <alignment horizontal="center"/>
    </xf>
  </cellXfs>
  <cellStyles count="51">
    <cellStyle name="20% - 强调文字颜色 1" xfId="3"/>
    <cellStyle name="20% - 强调文字颜色 2" xfId="4"/>
    <cellStyle name="20% - 强调文字颜色 3" xfId="5"/>
    <cellStyle name="20% - 强调文字颜色 4" xfId="6"/>
    <cellStyle name="20% - 强调文字颜色 5" xfId="7"/>
    <cellStyle name="20% - 强调文字颜色 6" xfId="8"/>
    <cellStyle name="40% - 强调文字颜色 1" xfId="9"/>
    <cellStyle name="40% - 强调文字颜色 2" xfId="10"/>
    <cellStyle name="40% - 强调文字颜色 3" xfId="11"/>
    <cellStyle name="40% - 强调文字颜色 4" xfId="12"/>
    <cellStyle name="40% - 强调文字颜色 5" xfId="13"/>
    <cellStyle name="40% - 强调文字颜色 6" xfId="14"/>
    <cellStyle name="60% - 强调文字颜色 1" xfId="15"/>
    <cellStyle name="60% - 强调文字颜色 2" xfId="16"/>
    <cellStyle name="60% - 强调文字颜色 3" xfId="17"/>
    <cellStyle name="60% - 强调文字颜色 4" xfId="18"/>
    <cellStyle name="60% - 强调文字颜色 5" xfId="19"/>
    <cellStyle name="60% - 强调文字颜色 6" xfId="20"/>
    <cellStyle name="百分比" xfId="2" builtinId="5"/>
    <cellStyle name="百分比 2" xfId="21"/>
    <cellStyle name="标题" xfId="22"/>
    <cellStyle name="标题 1" xfId="23"/>
    <cellStyle name="标题 2" xfId="24"/>
    <cellStyle name="标题 3" xfId="25"/>
    <cellStyle name="标题 4" xfId="26"/>
    <cellStyle name="标题_WJ-RO-order-20130609-1" xfId="27"/>
    <cellStyle name="差" xfId="28"/>
    <cellStyle name="常规 2 2 2" xfId="29"/>
    <cellStyle name="常规_2006" xfId="30"/>
    <cellStyle name="汇总" xfId="31"/>
    <cellStyle name="计算" xfId="32"/>
    <cellStyle name="检查单元格" xfId="33"/>
    <cellStyle name="解释性文本" xfId="34"/>
    <cellStyle name="警告文本" xfId="35"/>
    <cellStyle name="链接单元格" xfId="36"/>
    <cellStyle name="千分位" xfId="1" builtinId="3"/>
    <cellStyle name="千分位 2" xfId="37"/>
    <cellStyle name="千位分隔_H1-work-iv-pk-cn-0818-9" xfId="38"/>
    <cellStyle name="强调文字颜色 1" xfId="39"/>
    <cellStyle name="强调文字颜色 2" xfId="40"/>
    <cellStyle name="强调文字颜色 3" xfId="41"/>
    <cellStyle name="强调文字颜色 4" xfId="42"/>
    <cellStyle name="强调文字颜色 5" xfId="43"/>
    <cellStyle name="强调文字颜色 6" xfId="44"/>
    <cellStyle name="适中" xfId="45"/>
    <cellStyle name="输出" xfId="46"/>
    <cellStyle name="输入" xfId="47"/>
    <cellStyle name="樣式 1" xfId="50"/>
    <cellStyle name="一般" xfId="0" builtinId="0"/>
    <cellStyle name="一般 2" xfId="49"/>
    <cellStyle name="注释" xfId="48"/>
  </cellStyles>
  <dxfs count="0"/>
  <tableStyles count="0" defaultTableStyle="TableStyleMedium2" defaultPivotStyle="PivotStyleLight16"/>
  <colors>
    <mruColors>
      <color rgb="FFFF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Old-Data\vv\Cash\cash-17121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个帐"/>
      <sheetName val="公帐"/>
      <sheetName val="yy"/>
      <sheetName val="宝sd"/>
      <sheetName val="南粵"/>
      <sheetName val="交"/>
      <sheetName val="交sd"/>
      <sheetName val="卡sd"/>
      <sheetName val="PT"/>
      <sheetName val="BP"/>
      <sheetName val="dv"/>
      <sheetName val="sd"/>
      <sheetName val="資產"/>
      <sheetName val="兴"/>
      <sheetName val="招sd"/>
      <sheetName val="招"/>
      <sheetName val="邱"/>
      <sheetName val="意宇"/>
      <sheetName val="个2"/>
      <sheetName val="U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49"/>
  <sheetViews>
    <sheetView tabSelected="1" workbookViewId="0">
      <pane ySplit="1" topLeftCell="A25" activePane="bottomLeft" state="frozen"/>
      <selection pane="bottomLeft" activeCell="I38" sqref="I38"/>
    </sheetView>
  </sheetViews>
  <sheetFormatPr defaultRowHeight="14.25"/>
  <cols>
    <col min="1" max="1" width="9.625" bestFit="1" customWidth="1"/>
    <col min="2" max="2" width="4.875" style="5" bestFit="1" customWidth="1"/>
    <col min="3" max="3" width="9.625" style="5" bestFit="1" customWidth="1"/>
    <col min="4" max="4" width="9" style="5"/>
    <col min="5" max="5" width="9.875" style="5" bestFit="1" customWidth="1"/>
    <col min="6" max="6" width="9.625" bestFit="1" customWidth="1"/>
    <col min="7" max="8" width="9.25" customWidth="1"/>
    <col min="9" max="10" width="10.375" customWidth="1"/>
    <col min="11" max="13" width="9" style="5"/>
    <col min="16" max="16" width="11.875" bestFit="1" customWidth="1"/>
    <col min="20" max="20" width="16.875" customWidth="1"/>
  </cols>
  <sheetData>
    <row r="1" spans="1:19">
      <c r="C1" s="5" t="s">
        <v>423</v>
      </c>
      <c r="D1" s="5" t="s">
        <v>424</v>
      </c>
      <c r="E1" s="5" t="s">
        <v>422</v>
      </c>
      <c r="F1" s="5" t="s">
        <v>425</v>
      </c>
      <c r="G1" s="5" t="s">
        <v>419</v>
      </c>
      <c r="H1" s="5" t="s">
        <v>420</v>
      </c>
      <c r="I1" s="5" t="s">
        <v>421</v>
      </c>
      <c r="J1" s="5" t="s">
        <v>432</v>
      </c>
      <c r="K1" s="5" t="s">
        <v>365</v>
      </c>
      <c r="L1" s="5" t="s">
        <v>366</v>
      </c>
      <c r="M1" s="5" t="s">
        <v>367</v>
      </c>
      <c r="O1" s="5" t="s">
        <v>369</v>
      </c>
      <c r="P1" s="5" t="s">
        <v>1</v>
      </c>
      <c r="Q1" s="5" t="s">
        <v>368</v>
      </c>
      <c r="R1" s="5" t="s">
        <v>3</v>
      </c>
      <c r="S1" s="5" t="s">
        <v>370</v>
      </c>
    </row>
    <row r="2" spans="1:19">
      <c r="A2" s="5" t="s">
        <v>364</v>
      </c>
      <c r="C2" s="43">
        <v>43050</v>
      </c>
      <c r="D2" s="43">
        <v>43070</v>
      </c>
      <c r="E2" s="43"/>
      <c r="F2" s="43">
        <v>43083</v>
      </c>
      <c r="G2" s="43"/>
      <c r="H2" s="43"/>
      <c r="I2" s="43">
        <v>43089</v>
      </c>
      <c r="J2" s="43"/>
      <c r="K2" s="5">
        <v>1</v>
      </c>
      <c r="M2" s="5">
        <v>1</v>
      </c>
      <c r="O2">
        <f>P2/P$2</f>
        <v>1</v>
      </c>
      <c r="P2">
        <v>0.4</v>
      </c>
      <c r="Q2">
        <v>1</v>
      </c>
      <c r="R2">
        <f>P2*Q2</f>
        <v>0.4</v>
      </c>
    </row>
    <row r="3" spans="1:19">
      <c r="A3" s="43">
        <v>43069</v>
      </c>
      <c r="B3" s="59">
        <f>WEEKDAY(A3)</f>
        <v>5</v>
      </c>
      <c r="C3" s="45">
        <v>5</v>
      </c>
      <c r="K3" s="46">
        <v>3</v>
      </c>
      <c r="L3" s="46">
        <v>2</v>
      </c>
      <c r="M3" s="46"/>
      <c r="O3">
        <f>P3/P$2</f>
        <v>0.74999999999999989</v>
      </c>
      <c r="P3">
        <v>0.3</v>
      </c>
      <c r="Q3">
        <v>3</v>
      </c>
      <c r="R3">
        <f t="shared" ref="R3:R7" si="0">P3*Q3</f>
        <v>0.89999999999999991</v>
      </c>
    </row>
    <row r="4" spans="1:19">
      <c r="A4" s="43">
        <v>43070</v>
      </c>
      <c r="B4" s="59">
        <f t="shared" ref="B4:B38" si="1">WEEKDAY(A4)</f>
        <v>6</v>
      </c>
      <c r="D4" s="45"/>
      <c r="K4" s="5">
        <v>3</v>
      </c>
      <c r="L4" s="5">
        <v>4</v>
      </c>
      <c r="O4">
        <f>P4/P$2</f>
        <v>0.65</v>
      </c>
      <c r="P4">
        <v>0.26</v>
      </c>
      <c r="Q4">
        <v>5</v>
      </c>
      <c r="R4">
        <f t="shared" si="0"/>
        <v>1.3</v>
      </c>
    </row>
    <row r="5" spans="1:19">
      <c r="A5" s="43">
        <v>43071</v>
      </c>
      <c r="B5" s="59">
        <f t="shared" si="1"/>
        <v>7</v>
      </c>
      <c r="K5" s="5">
        <v>4</v>
      </c>
      <c r="M5" s="5">
        <v>2</v>
      </c>
      <c r="O5">
        <f t="shared" ref="O5:O7" si="2">P5/P$2</f>
        <v>0.57499999999999996</v>
      </c>
      <c r="P5">
        <v>0.23</v>
      </c>
      <c r="Q5">
        <v>50</v>
      </c>
      <c r="R5">
        <f t="shared" si="0"/>
        <v>11.5</v>
      </c>
      <c r="S5" s="50">
        <f>R5/3</f>
        <v>3.8333333333333335</v>
      </c>
    </row>
    <row r="6" spans="1:19">
      <c r="A6" s="43">
        <v>43072</v>
      </c>
      <c r="B6" s="59">
        <f t="shared" si="1"/>
        <v>1</v>
      </c>
      <c r="C6" s="5">
        <v>1</v>
      </c>
      <c r="K6" s="5">
        <v>5</v>
      </c>
      <c r="L6" s="5">
        <v>3</v>
      </c>
      <c r="O6">
        <f t="shared" si="2"/>
        <v>0.52499999999999991</v>
      </c>
      <c r="P6">
        <v>0.21</v>
      </c>
      <c r="Q6">
        <v>100</v>
      </c>
      <c r="R6">
        <f t="shared" si="0"/>
        <v>21</v>
      </c>
      <c r="S6" s="50">
        <f>R6/6</f>
        <v>3.5</v>
      </c>
    </row>
    <row r="7" spans="1:19">
      <c r="A7" s="43">
        <v>43073</v>
      </c>
      <c r="B7" s="59">
        <f t="shared" si="1"/>
        <v>2</v>
      </c>
      <c r="K7" s="5">
        <v>6</v>
      </c>
      <c r="M7" s="5">
        <v>3</v>
      </c>
      <c r="O7">
        <f t="shared" si="2"/>
        <v>0.47499999999999998</v>
      </c>
      <c r="P7">
        <v>0.19</v>
      </c>
      <c r="Q7">
        <v>200</v>
      </c>
      <c r="R7">
        <f t="shared" si="0"/>
        <v>38</v>
      </c>
      <c r="S7" s="50">
        <f>R7/11</f>
        <v>3.4545454545454546</v>
      </c>
    </row>
    <row r="8" spans="1:19">
      <c r="A8" s="43">
        <v>43074</v>
      </c>
      <c r="B8" s="59">
        <f t="shared" si="1"/>
        <v>3</v>
      </c>
      <c r="K8" s="5">
        <v>7</v>
      </c>
      <c r="M8" s="5">
        <v>4</v>
      </c>
    </row>
    <row r="9" spans="1:19">
      <c r="A9" s="43">
        <v>43075</v>
      </c>
      <c r="B9" s="59">
        <f t="shared" si="1"/>
        <v>4</v>
      </c>
      <c r="D9" s="5">
        <v>8</v>
      </c>
      <c r="K9" s="5">
        <v>8</v>
      </c>
      <c r="M9" s="5">
        <v>5</v>
      </c>
    </row>
    <row r="10" spans="1:19">
      <c r="A10" s="43">
        <v>43076</v>
      </c>
      <c r="B10" s="59">
        <f t="shared" si="1"/>
        <v>5</v>
      </c>
      <c r="K10" s="5">
        <v>25</v>
      </c>
      <c r="L10" s="5">
        <v>9</v>
      </c>
    </row>
    <row r="11" spans="1:19">
      <c r="A11" s="43">
        <v>43077</v>
      </c>
      <c r="B11" s="59">
        <f t="shared" si="1"/>
        <v>6</v>
      </c>
      <c r="D11" s="5">
        <v>6</v>
      </c>
    </row>
    <row r="12" spans="1:19">
      <c r="A12" s="43">
        <v>43078</v>
      </c>
      <c r="B12" s="59">
        <f t="shared" si="1"/>
        <v>7</v>
      </c>
      <c r="D12" s="5">
        <v>1</v>
      </c>
      <c r="K12"/>
      <c r="L12"/>
      <c r="M12"/>
    </row>
    <row r="13" spans="1:19">
      <c r="A13" s="43">
        <v>43079</v>
      </c>
      <c r="B13" s="59">
        <f t="shared" si="1"/>
        <v>1</v>
      </c>
      <c r="C13" s="5">
        <v>1</v>
      </c>
      <c r="D13" s="5">
        <v>9</v>
      </c>
      <c r="K13"/>
      <c r="L13"/>
      <c r="M13"/>
    </row>
    <row r="14" spans="1:19">
      <c r="A14" s="43">
        <v>43080</v>
      </c>
      <c r="B14" s="59">
        <f t="shared" si="1"/>
        <v>2</v>
      </c>
      <c r="D14" s="5">
        <v>2</v>
      </c>
      <c r="K14"/>
      <c r="L14"/>
      <c r="M14"/>
    </row>
    <row r="15" spans="1:19">
      <c r="A15" s="43">
        <v>43081</v>
      </c>
      <c r="B15" s="59">
        <f t="shared" si="1"/>
        <v>3</v>
      </c>
      <c r="D15" s="5">
        <v>1</v>
      </c>
      <c r="K15"/>
      <c r="L15"/>
      <c r="M15"/>
    </row>
    <row r="16" spans="1:19">
      <c r="A16" s="43">
        <v>43082</v>
      </c>
      <c r="B16" s="59">
        <f t="shared" si="1"/>
        <v>4</v>
      </c>
      <c r="D16" s="5">
        <v>1</v>
      </c>
      <c r="K16"/>
      <c r="L16"/>
      <c r="M16"/>
    </row>
    <row r="17" spans="1:18">
      <c r="A17" s="43">
        <v>43083</v>
      </c>
      <c r="B17" s="59">
        <f t="shared" si="1"/>
        <v>5</v>
      </c>
      <c r="D17" s="5">
        <v>4</v>
      </c>
      <c r="F17" s="45">
        <v>16</v>
      </c>
      <c r="G17" s="47"/>
      <c r="H17" s="47"/>
      <c r="I17" s="47"/>
      <c r="J17" s="47"/>
      <c r="K17"/>
      <c r="L17"/>
      <c r="M17"/>
    </row>
    <row r="18" spans="1:18">
      <c r="A18" s="43">
        <v>43084</v>
      </c>
      <c r="B18" s="59">
        <f t="shared" si="1"/>
        <v>6</v>
      </c>
      <c r="F18" s="47">
        <v>37</v>
      </c>
      <c r="G18" s="47"/>
      <c r="H18" s="47"/>
      <c r="I18" s="47"/>
      <c r="J18" s="47"/>
      <c r="K18" t="s">
        <v>376</v>
      </c>
    </row>
    <row r="19" spans="1:18">
      <c r="A19" s="43">
        <v>43085</v>
      </c>
      <c r="B19" s="59">
        <f t="shared" si="1"/>
        <v>7</v>
      </c>
      <c r="F19" s="47">
        <v>7</v>
      </c>
      <c r="G19" s="47"/>
      <c r="H19" s="47"/>
      <c r="I19" s="47"/>
      <c r="J19" s="47"/>
      <c r="K19">
        <f>37*40*15</f>
        <v>22200</v>
      </c>
    </row>
    <row r="20" spans="1:18">
      <c r="A20" s="43">
        <v>43086</v>
      </c>
      <c r="B20" s="59">
        <f t="shared" si="1"/>
        <v>1</v>
      </c>
      <c r="F20" s="47">
        <v>3</v>
      </c>
      <c r="G20" s="47">
        <v>2</v>
      </c>
      <c r="H20" s="47">
        <v>2</v>
      </c>
      <c r="I20" s="47"/>
      <c r="J20" s="47"/>
      <c r="K20">
        <f>37*18*12</f>
        <v>7992</v>
      </c>
    </row>
    <row r="21" spans="1:18">
      <c r="A21" s="43">
        <v>43087</v>
      </c>
      <c r="B21" s="59">
        <f t="shared" si="1"/>
        <v>2</v>
      </c>
      <c r="F21" s="47"/>
      <c r="G21" s="47">
        <v>2</v>
      </c>
      <c r="H21" s="47">
        <v>1</v>
      </c>
      <c r="I21" s="47"/>
      <c r="J21" s="47"/>
      <c r="K21" t="s">
        <v>400</v>
      </c>
    </row>
    <row r="22" spans="1:18">
      <c r="A22" s="43">
        <v>43088</v>
      </c>
      <c r="B22" s="59">
        <f t="shared" si="1"/>
        <v>3</v>
      </c>
      <c r="F22" s="47"/>
      <c r="G22" s="47">
        <v>5</v>
      </c>
      <c r="H22" s="47">
        <v>5</v>
      </c>
      <c r="I22" s="47"/>
      <c r="J22" s="47"/>
      <c r="L22" t="s">
        <v>401</v>
      </c>
      <c r="O22" s="49"/>
      <c r="R22" s="49"/>
    </row>
    <row r="23" spans="1:18">
      <c r="A23" s="43">
        <v>43089</v>
      </c>
      <c r="B23" s="59">
        <f t="shared" si="1"/>
        <v>4</v>
      </c>
      <c r="C23" s="5">
        <v>1</v>
      </c>
      <c r="D23" s="5">
        <v>1</v>
      </c>
      <c r="F23" s="47"/>
      <c r="G23" s="47">
        <v>2</v>
      </c>
      <c r="H23" s="47">
        <v>2</v>
      </c>
      <c r="I23" s="57">
        <v>3</v>
      </c>
      <c r="J23" s="47"/>
      <c r="O23" s="49"/>
      <c r="R23" s="49"/>
    </row>
    <row r="24" spans="1:18">
      <c r="A24" s="43">
        <v>43090</v>
      </c>
      <c r="B24" s="59">
        <f t="shared" si="1"/>
        <v>5</v>
      </c>
      <c r="F24" s="47"/>
      <c r="G24" s="47">
        <v>1</v>
      </c>
      <c r="H24" s="47"/>
      <c r="I24" s="47"/>
      <c r="J24" s="47"/>
      <c r="O24" s="49"/>
      <c r="R24" s="49"/>
    </row>
    <row r="25" spans="1:18">
      <c r="A25" s="43">
        <v>43091</v>
      </c>
      <c r="B25" s="59">
        <f t="shared" si="1"/>
        <v>6</v>
      </c>
      <c r="F25" s="47"/>
      <c r="G25" s="47">
        <v>5</v>
      </c>
      <c r="H25" s="47">
        <v>2</v>
      </c>
      <c r="I25" s="47">
        <v>4</v>
      </c>
      <c r="J25" s="47"/>
      <c r="O25" s="49"/>
      <c r="R25" s="49"/>
    </row>
    <row r="26" spans="1:18">
      <c r="A26" s="43">
        <v>43092</v>
      </c>
      <c r="B26" s="59">
        <f t="shared" si="1"/>
        <v>7</v>
      </c>
      <c r="D26" s="5">
        <v>1</v>
      </c>
      <c r="F26" s="47"/>
      <c r="G26" s="47">
        <v>4</v>
      </c>
      <c r="H26" s="47">
        <v>1</v>
      </c>
      <c r="I26" s="47">
        <v>2</v>
      </c>
      <c r="J26" s="47"/>
      <c r="O26" s="49"/>
      <c r="R26" s="49"/>
    </row>
    <row r="27" spans="1:18">
      <c r="A27" s="43">
        <v>43093</v>
      </c>
      <c r="B27" s="59">
        <f t="shared" si="1"/>
        <v>1</v>
      </c>
      <c r="F27" s="47">
        <v>1</v>
      </c>
      <c r="G27" s="47">
        <v>3</v>
      </c>
      <c r="H27" s="47">
        <v>1</v>
      </c>
      <c r="I27" s="47">
        <v>1</v>
      </c>
      <c r="J27" s="47"/>
      <c r="L27" s="5" t="s">
        <v>402</v>
      </c>
      <c r="M27" s="5" t="s">
        <v>403</v>
      </c>
      <c r="N27" t="s">
        <v>404</v>
      </c>
      <c r="O27" t="s">
        <v>405</v>
      </c>
      <c r="P27" t="s">
        <v>407</v>
      </c>
      <c r="Q27" t="s">
        <v>408</v>
      </c>
    </row>
    <row r="28" spans="1:18">
      <c r="A28" s="43">
        <v>43094</v>
      </c>
      <c r="B28" s="59">
        <f t="shared" si="1"/>
        <v>2</v>
      </c>
      <c r="F28" s="47"/>
      <c r="G28" s="47">
        <v>2</v>
      </c>
      <c r="H28" s="47"/>
      <c r="I28" s="47"/>
      <c r="J28" s="47"/>
      <c r="O28" t="s">
        <v>406</v>
      </c>
    </row>
    <row r="29" spans="1:18">
      <c r="A29" s="43">
        <v>43095</v>
      </c>
      <c r="B29" s="59">
        <f t="shared" si="1"/>
        <v>3</v>
      </c>
      <c r="F29" s="47"/>
      <c r="G29" s="47">
        <v>4</v>
      </c>
      <c r="H29" s="47"/>
      <c r="I29" s="47">
        <v>2</v>
      </c>
      <c r="J29" s="47"/>
      <c r="L29" s="5" t="s">
        <v>409</v>
      </c>
      <c r="M29" s="53">
        <v>42862</v>
      </c>
      <c r="N29">
        <v>100</v>
      </c>
      <c r="O29">
        <v>10</v>
      </c>
      <c r="P29" t="s">
        <v>410</v>
      </c>
      <c r="Q29" s="54">
        <v>42739</v>
      </c>
    </row>
    <row r="30" spans="1:18">
      <c r="A30" s="43">
        <v>43096</v>
      </c>
      <c r="B30" s="59">
        <f t="shared" si="1"/>
        <v>4</v>
      </c>
      <c r="E30" s="47">
        <v>2</v>
      </c>
      <c r="F30" s="57">
        <v>6</v>
      </c>
      <c r="G30" s="47"/>
      <c r="H30" s="47"/>
      <c r="I30" s="47">
        <v>5</v>
      </c>
      <c r="J30" s="47"/>
      <c r="L30" s="5" t="s">
        <v>411</v>
      </c>
      <c r="M30" s="53">
        <v>42862</v>
      </c>
      <c r="N30">
        <v>100</v>
      </c>
      <c r="O30">
        <v>19</v>
      </c>
      <c r="P30" t="s">
        <v>412</v>
      </c>
      <c r="Q30" s="54">
        <v>42739</v>
      </c>
    </row>
    <row r="31" spans="1:18">
      <c r="A31" s="43">
        <v>43097</v>
      </c>
      <c r="B31" s="59">
        <f t="shared" si="1"/>
        <v>5</v>
      </c>
      <c r="E31" s="47"/>
      <c r="F31" s="47">
        <v>7</v>
      </c>
      <c r="G31" s="47">
        <v>6</v>
      </c>
      <c r="H31" s="47">
        <v>1</v>
      </c>
      <c r="I31" s="47">
        <v>4</v>
      </c>
      <c r="J31" s="47"/>
      <c r="L31" s="5" t="s">
        <v>413</v>
      </c>
      <c r="M31" s="53">
        <v>42862</v>
      </c>
      <c r="N31">
        <v>100</v>
      </c>
      <c r="O31">
        <v>35</v>
      </c>
      <c r="P31" t="s">
        <v>414</v>
      </c>
      <c r="Q31" s="54">
        <v>42798</v>
      </c>
    </row>
    <row r="32" spans="1:18">
      <c r="A32" s="43">
        <v>43098</v>
      </c>
      <c r="B32" s="59">
        <f t="shared" si="1"/>
        <v>6</v>
      </c>
      <c r="E32" s="47"/>
      <c r="F32" s="47">
        <v>4</v>
      </c>
      <c r="G32" s="47"/>
      <c r="H32" s="47"/>
      <c r="I32" s="47"/>
      <c r="J32" s="47"/>
      <c r="L32" s="5" t="s">
        <v>415</v>
      </c>
      <c r="M32" s="5" t="s">
        <v>416</v>
      </c>
      <c r="N32">
        <v>100</v>
      </c>
      <c r="O32">
        <v>50</v>
      </c>
      <c r="P32" t="s">
        <v>417</v>
      </c>
      <c r="Q32" s="54">
        <v>42798</v>
      </c>
    </row>
    <row r="33" spans="1:18">
      <c r="A33" s="43">
        <v>43099</v>
      </c>
      <c r="B33" s="59">
        <f t="shared" si="1"/>
        <v>7</v>
      </c>
      <c r="E33" s="47"/>
      <c r="F33" s="47">
        <v>4</v>
      </c>
      <c r="G33" s="47">
        <v>1</v>
      </c>
      <c r="H33" s="47">
        <v>1</v>
      </c>
      <c r="I33" s="47">
        <v>1</v>
      </c>
      <c r="J33" s="47"/>
    </row>
    <row r="34" spans="1:18">
      <c r="A34" s="43">
        <v>43100</v>
      </c>
      <c r="B34" s="59">
        <f t="shared" si="1"/>
        <v>1</v>
      </c>
      <c r="D34" s="5">
        <v>5</v>
      </c>
      <c r="E34" s="47">
        <v>2</v>
      </c>
      <c r="F34" s="47">
        <v>8</v>
      </c>
      <c r="G34" s="47">
        <v>3</v>
      </c>
      <c r="H34" s="47">
        <v>1</v>
      </c>
      <c r="I34" s="47">
        <v>3</v>
      </c>
      <c r="J34" s="57"/>
      <c r="L34" s="55" t="s">
        <v>418</v>
      </c>
    </row>
    <row r="35" spans="1:18">
      <c r="A35" s="43">
        <v>43101</v>
      </c>
      <c r="B35" s="59">
        <f t="shared" si="1"/>
        <v>2</v>
      </c>
      <c r="D35" s="5">
        <v>2</v>
      </c>
      <c r="E35" s="47">
        <v>1</v>
      </c>
      <c r="F35" s="47">
        <v>2</v>
      </c>
      <c r="G35" s="47">
        <v>2</v>
      </c>
      <c r="H35" s="47">
        <v>1</v>
      </c>
      <c r="I35" s="47"/>
      <c r="J35" s="47"/>
      <c r="O35" s="49"/>
      <c r="R35" s="49"/>
    </row>
    <row r="36" spans="1:18">
      <c r="A36" s="43">
        <v>43102</v>
      </c>
      <c r="B36" s="59">
        <f t="shared" si="1"/>
        <v>3</v>
      </c>
      <c r="E36" s="47">
        <v>1</v>
      </c>
      <c r="F36" s="47">
        <v>7</v>
      </c>
      <c r="G36" s="47">
        <v>1</v>
      </c>
      <c r="H36" s="47"/>
      <c r="I36" s="47">
        <v>3</v>
      </c>
      <c r="J36" s="47"/>
      <c r="O36" s="49"/>
      <c r="R36" s="49"/>
    </row>
    <row r="37" spans="1:18">
      <c r="A37" s="43">
        <v>43103</v>
      </c>
      <c r="B37" s="59">
        <f t="shared" si="1"/>
        <v>4</v>
      </c>
      <c r="D37" s="5">
        <v>5</v>
      </c>
      <c r="E37" s="47">
        <v>1</v>
      </c>
      <c r="F37" s="47">
        <v>3</v>
      </c>
      <c r="G37" s="47">
        <v>3</v>
      </c>
      <c r="H37" s="47"/>
      <c r="I37" s="47"/>
      <c r="J37" s="47"/>
      <c r="O37" s="49"/>
      <c r="R37" s="49"/>
    </row>
    <row r="38" spans="1:18">
      <c r="A38" s="43">
        <v>43104</v>
      </c>
      <c r="B38" s="59">
        <f t="shared" si="1"/>
        <v>5</v>
      </c>
      <c r="E38" s="47"/>
      <c r="F38" s="47">
        <v>3</v>
      </c>
      <c r="G38" s="47">
        <v>3</v>
      </c>
      <c r="H38" s="47">
        <v>2</v>
      </c>
      <c r="I38" s="47">
        <v>1</v>
      </c>
      <c r="J38" s="47"/>
      <c r="O38" s="49"/>
      <c r="R38" s="49"/>
    </row>
    <row r="39" spans="1:18" s="44" customFormat="1">
      <c r="B39" s="45"/>
      <c r="C39" s="45"/>
      <c r="D39" s="45"/>
      <c r="E39" s="45"/>
      <c r="K39" s="45"/>
      <c r="L39" s="45"/>
      <c r="M39" s="45"/>
    </row>
    <row r="40" spans="1:18">
      <c r="C40" s="5">
        <f t="shared" ref="C40:I40" si="3">SUM(C3:C39)</f>
        <v>8</v>
      </c>
      <c r="D40" s="5">
        <f t="shared" si="3"/>
        <v>46</v>
      </c>
      <c r="E40" s="5">
        <f t="shared" si="3"/>
        <v>7</v>
      </c>
      <c r="F40" s="5">
        <f t="shared" si="3"/>
        <v>108</v>
      </c>
      <c r="G40" s="5">
        <f t="shared" si="3"/>
        <v>49</v>
      </c>
      <c r="H40" s="5">
        <f t="shared" si="3"/>
        <v>20</v>
      </c>
      <c r="I40" s="5">
        <f t="shared" si="3"/>
        <v>29</v>
      </c>
      <c r="J40" s="5"/>
    </row>
    <row r="41" spans="1:18">
      <c r="E41" s="58">
        <f>E40/$D40</f>
        <v>0.15217391304347827</v>
      </c>
      <c r="F41" s="5"/>
      <c r="G41" s="58">
        <f>G40/$F40</f>
        <v>0.45370370370370372</v>
      </c>
      <c r="H41" s="58">
        <f>H40/$F40</f>
        <v>0.18518518518518517</v>
      </c>
      <c r="I41" s="58">
        <f>I40/$F40</f>
        <v>0.26851851851851855</v>
      </c>
      <c r="J41" s="56"/>
    </row>
    <row r="42" spans="1:18">
      <c r="F42" s="48">
        <f>C40+D40+F40</f>
        <v>162</v>
      </c>
    </row>
    <row r="48" spans="1:18">
      <c r="H48" s="5"/>
    </row>
    <row r="49" spans="8:8">
      <c r="H49" s="5"/>
    </row>
  </sheetData>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workbookViewId="0">
      <selection activeCell="B2" sqref="B2"/>
    </sheetView>
  </sheetViews>
  <sheetFormatPr defaultRowHeight="16.5"/>
  <cols>
    <col min="1" max="16384" width="9" style="51"/>
  </cols>
  <sheetData>
    <row r="1" spans="1:2">
      <c r="A1" s="51" t="s">
        <v>430</v>
      </c>
      <c r="B1" s="51" t="s">
        <v>431</v>
      </c>
    </row>
    <row r="2" spans="1:2">
      <c r="A2" s="51" t="s">
        <v>372</v>
      </c>
      <c r="B2" s="51" t="s">
        <v>426</v>
      </c>
    </row>
    <row r="3" spans="1:2">
      <c r="A3" s="51" t="s">
        <v>371</v>
      </c>
      <c r="B3" s="51" t="s">
        <v>429</v>
      </c>
    </row>
    <row r="5" spans="1:2">
      <c r="A5" s="51" t="s">
        <v>373</v>
      </c>
      <c r="B5" s="51" t="s">
        <v>427</v>
      </c>
    </row>
    <row r="6" spans="1:2">
      <c r="A6" s="51" t="s">
        <v>374</v>
      </c>
      <c r="B6" s="51" t="s">
        <v>428</v>
      </c>
    </row>
    <row r="8" spans="1:2">
      <c r="A8" s="51" t="s">
        <v>375</v>
      </c>
      <c r="B8" s="51" t="s">
        <v>382</v>
      </c>
    </row>
    <row r="12" spans="1:2">
      <c r="A12" t="s">
        <v>383</v>
      </c>
    </row>
    <row r="13" spans="1:2">
      <c r="A13" t="s">
        <v>384</v>
      </c>
    </row>
    <row r="14" spans="1:2">
      <c r="A14" t="s">
        <v>385</v>
      </c>
    </row>
    <row r="15" spans="1:2">
      <c r="A15" t="s">
        <v>377</v>
      </c>
    </row>
    <row r="16" spans="1:2">
      <c r="A16" t="s">
        <v>378</v>
      </c>
    </row>
    <row r="17" spans="1:1">
      <c r="A17" t="s">
        <v>380</v>
      </c>
    </row>
    <row r="18" spans="1:1">
      <c r="A18" t="s">
        <v>379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4"/>
  <sheetViews>
    <sheetView zoomScaleNormal="100" workbookViewId="0">
      <pane ySplit="2" topLeftCell="A3" activePane="bottomLeft" state="frozen"/>
      <selection pane="bottomLeft" activeCell="L6" sqref="L6"/>
    </sheetView>
  </sheetViews>
  <sheetFormatPr defaultRowHeight="13.5" customHeight="1"/>
  <cols>
    <col min="1" max="1" width="36.25" style="7" customWidth="1"/>
    <col min="2" max="2" width="5.25" style="7" customWidth="1"/>
    <col min="3" max="3" width="5" style="7" customWidth="1"/>
    <col min="4" max="4" width="8.5" style="7" customWidth="1"/>
    <col min="5" max="5" width="1.625" style="4" customWidth="1"/>
    <col min="6" max="6" width="9" style="8" customWidth="1"/>
    <col min="7" max="7" width="9" style="7"/>
    <col min="8" max="10" width="9" style="6"/>
    <col min="11" max="11" width="8.125" style="7" customWidth="1"/>
    <col min="12" max="12" width="7.75" style="7" customWidth="1"/>
    <col min="13" max="13" width="9" style="7"/>
    <col min="14" max="14" width="9.625" style="7" bestFit="1" customWidth="1"/>
    <col min="15" max="16384" width="9" style="7"/>
  </cols>
  <sheetData>
    <row r="1" spans="1:12" s="1" customFormat="1" ht="13.5" customHeight="1">
      <c r="A1" s="1" t="s">
        <v>0</v>
      </c>
      <c r="B1" s="1" t="s">
        <v>1</v>
      </c>
      <c r="C1" s="1" t="s">
        <v>2</v>
      </c>
      <c r="D1" s="1" t="s">
        <v>3</v>
      </c>
      <c r="E1" s="2"/>
      <c r="F1" s="3"/>
    </row>
    <row r="2" spans="1:12" ht="13.5" customHeight="1">
      <c r="A2" s="1"/>
      <c r="B2" s="1"/>
      <c r="C2" s="1"/>
      <c r="D2" s="27">
        <f>D19+D31</f>
        <v>278.40000000000003</v>
      </c>
      <c r="F2" s="5"/>
      <c r="G2" s="5"/>
    </row>
    <row r="3" spans="1:12" ht="13.5" customHeight="1">
      <c r="A3" s="7" t="s">
        <v>95</v>
      </c>
      <c r="B3" s="7">
        <v>6</v>
      </c>
      <c r="D3" s="6">
        <f>C3*B3</f>
        <v>0</v>
      </c>
      <c r="I3" s="6" t="s">
        <v>395</v>
      </c>
      <c r="J3" s="6" t="s">
        <v>2</v>
      </c>
      <c r="K3" s="6" t="s">
        <v>399</v>
      </c>
    </row>
    <row r="4" spans="1:12" ht="13.5" customHeight="1">
      <c r="A4" s="7" t="s">
        <v>94</v>
      </c>
      <c r="B4" s="7">
        <v>4</v>
      </c>
      <c r="C4" s="7">
        <v>1</v>
      </c>
      <c r="D4" s="6">
        <f>C4*B4</f>
        <v>4</v>
      </c>
      <c r="F4" s="10"/>
      <c r="G4" s="7" t="s">
        <v>386</v>
      </c>
      <c r="I4" s="6">
        <f>2+1</f>
        <v>3</v>
      </c>
      <c r="J4" s="6">
        <v>3</v>
      </c>
      <c r="K4" s="6">
        <f>I4-J4</f>
        <v>0</v>
      </c>
      <c r="L4" s="52">
        <v>2</v>
      </c>
    </row>
    <row r="5" spans="1:12" ht="13.5" customHeight="1">
      <c r="A5" s="7" t="s">
        <v>87</v>
      </c>
      <c r="B5" s="7">
        <v>5</v>
      </c>
      <c r="C5" s="7">
        <v>1</v>
      </c>
      <c r="D5" s="6">
        <f t="shared" ref="D5:D13" si="0">C5*B5</f>
        <v>5</v>
      </c>
      <c r="F5" s="11"/>
      <c r="G5" s="7" t="s">
        <v>388</v>
      </c>
      <c r="I5" s="6">
        <v>0</v>
      </c>
      <c r="J5" s="6">
        <v>2</v>
      </c>
      <c r="K5" s="6">
        <f t="shared" ref="K5:K13" si="1">I5-J5</f>
        <v>-2</v>
      </c>
      <c r="L5" s="6">
        <v>10</v>
      </c>
    </row>
    <row r="6" spans="1:12" ht="13.5" customHeight="1">
      <c r="A6" s="7" t="s">
        <v>363</v>
      </c>
      <c r="B6" s="7">
        <v>21</v>
      </c>
      <c r="C6" s="7">
        <v>1</v>
      </c>
      <c r="D6" s="6">
        <f t="shared" si="0"/>
        <v>21</v>
      </c>
      <c r="F6" s="11"/>
      <c r="G6" s="7" t="s">
        <v>387</v>
      </c>
      <c r="I6" s="6">
        <f>6+3</f>
        <v>9</v>
      </c>
      <c r="J6" s="6">
        <v>6</v>
      </c>
      <c r="K6" s="6">
        <f t="shared" si="1"/>
        <v>3</v>
      </c>
      <c r="L6" s="52">
        <v>3</v>
      </c>
    </row>
    <row r="7" spans="1:12" ht="13.5" customHeight="1">
      <c r="A7" s="7" t="s">
        <v>96</v>
      </c>
      <c r="B7" s="7">
        <v>10</v>
      </c>
      <c r="C7" s="7">
        <v>1</v>
      </c>
      <c r="D7" s="6">
        <f t="shared" si="0"/>
        <v>10</v>
      </c>
      <c r="F7" s="11"/>
      <c r="G7" s="7" t="s">
        <v>389</v>
      </c>
      <c r="I7" s="6">
        <f>1+1</f>
        <v>2</v>
      </c>
      <c r="J7" s="6">
        <v>3</v>
      </c>
      <c r="K7" s="6">
        <f t="shared" si="1"/>
        <v>-1</v>
      </c>
      <c r="L7" s="6">
        <v>0</v>
      </c>
    </row>
    <row r="8" spans="1:12" ht="13.5" customHeight="1">
      <c r="A8" s="7" t="s">
        <v>79</v>
      </c>
      <c r="B8" s="7">
        <v>10</v>
      </c>
      <c r="C8" s="7">
        <v>1</v>
      </c>
      <c r="D8" s="6">
        <f>C8*B8</f>
        <v>10</v>
      </c>
      <c r="F8" s="11"/>
      <c r="G8" s="7" t="s">
        <v>390</v>
      </c>
      <c r="I8" s="6">
        <f>1+3</f>
        <v>4</v>
      </c>
      <c r="J8" s="6">
        <v>3</v>
      </c>
      <c r="K8" s="6">
        <f t="shared" si="1"/>
        <v>1</v>
      </c>
      <c r="L8" s="52">
        <v>1</v>
      </c>
    </row>
    <row r="9" spans="1:12" ht="13.5" customHeight="1">
      <c r="A9" s="7" t="s">
        <v>359</v>
      </c>
      <c r="B9" s="7">
        <v>40</v>
      </c>
      <c r="C9" s="7">
        <v>1</v>
      </c>
      <c r="D9" s="6">
        <f t="shared" si="0"/>
        <v>40</v>
      </c>
      <c r="F9" s="11"/>
      <c r="G9" s="7" t="s">
        <v>391</v>
      </c>
      <c r="I9" s="6">
        <v>3</v>
      </c>
      <c r="J9" s="6">
        <v>3</v>
      </c>
      <c r="K9" s="6">
        <f t="shared" si="1"/>
        <v>0</v>
      </c>
      <c r="L9" s="42">
        <v>2</v>
      </c>
    </row>
    <row r="10" spans="1:12" ht="13.5" customHeight="1">
      <c r="A10" s="7" t="s">
        <v>89</v>
      </c>
      <c r="B10" s="7">
        <v>3</v>
      </c>
      <c r="C10" s="7">
        <v>2</v>
      </c>
      <c r="D10" s="6">
        <f t="shared" si="0"/>
        <v>6</v>
      </c>
      <c r="F10" s="11"/>
      <c r="G10" s="7" t="s">
        <v>392</v>
      </c>
      <c r="I10" s="6">
        <f>2+2</f>
        <v>4</v>
      </c>
      <c r="J10" s="6">
        <v>3</v>
      </c>
      <c r="K10" s="6">
        <f t="shared" si="1"/>
        <v>1</v>
      </c>
      <c r="L10" s="52">
        <v>1</v>
      </c>
    </row>
    <row r="11" spans="1:12" ht="13.5" customHeight="1">
      <c r="A11" s="7" t="s">
        <v>101</v>
      </c>
      <c r="B11" s="7">
        <v>7</v>
      </c>
      <c r="D11" s="6">
        <f t="shared" si="0"/>
        <v>0</v>
      </c>
      <c r="F11" s="11"/>
      <c r="G11" s="7" t="s">
        <v>396</v>
      </c>
      <c r="I11" s="6">
        <v>1</v>
      </c>
      <c r="J11" s="6">
        <v>3</v>
      </c>
      <c r="K11" s="6">
        <f t="shared" si="1"/>
        <v>-2</v>
      </c>
      <c r="L11" s="52">
        <v>1</v>
      </c>
    </row>
    <row r="12" spans="1:12" ht="13.5" customHeight="1">
      <c r="A12" s="7" t="s">
        <v>97</v>
      </c>
      <c r="B12" s="7">
        <v>10</v>
      </c>
      <c r="D12" s="6">
        <f t="shared" si="0"/>
        <v>0</v>
      </c>
      <c r="F12" s="11"/>
      <c r="G12" s="7" t="s">
        <v>393</v>
      </c>
      <c r="I12" s="6">
        <f>3+2</f>
        <v>5</v>
      </c>
      <c r="J12" s="6">
        <v>3</v>
      </c>
      <c r="K12" s="6">
        <f t="shared" si="1"/>
        <v>2</v>
      </c>
      <c r="L12" s="6">
        <v>0</v>
      </c>
    </row>
    <row r="13" spans="1:12" ht="13.5" customHeight="1">
      <c r="A13" s="7" t="s">
        <v>90</v>
      </c>
      <c r="B13" s="7">
        <v>5</v>
      </c>
      <c r="C13" s="7">
        <v>1</v>
      </c>
      <c r="D13" s="6">
        <f t="shared" si="0"/>
        <v>5</v>
      </c>
      <c r="F13" s="11"/>
      <c r="G13" s="7" t="s">
        <v>394</v>
      </c>
      <c r="I13" s="6">
        <f>2+6</f>
        <v>8</v>
      </c>
      <c r="J13" s="6">
        <v>3</v>
      </c>
      <c r="K13" s="6">
        <f t="shared" si="1"/>
        <v>5</v>
      </c>
      <c r="L13" s="6">
        <v>0</v>
      </c>
    </row>
    <row r="14" spans="1:12" ht="13.5" customHeight="1">
      <c r="A14" s="7" t="s">
        <v>98</v>
      </c>
      <c r="B14" s="7">
        <v>110</v>
      </c>
      <c r="C14" s="7">
        <v>1</v>
      </c>
      <c r="D14" s="6">
        <f>C14*B14</f>
        <v>110</v>
      </c>
      <c r="F14" s="11"/>
    </row>
    <row r="15" spans="1:12" ht="13.5" customHeight="1">
      <c r="A15" s="7" t="s">
        <v>92</v>
      </c>
      <c r="B15" s="7">
        <v>4</v>
      </c>
      <c r="D15" s="6">
        <f t="shared" ref="D15" si="2">C15*B15</f>
        <v>0</v>
      </c>
      <c r="F15" s="11"/>
    </row>
    <row r="16" spans="1:12" ht="13.5" customHeight="1">
      <c r="A16" s="7" t="s">
        <v>381</v>
      </c>
      <c r="B16" s="7">
        <v>1.9</v>
      </c>
      <c r="C16" s="7">
        <v>2</v>
      </c>
      <c r="D16" s="6">
        <f>C16*B16</f>
        <v>3.8</v>
      </c>
      <c r="F16" s="11"/>
      <c r="G16" s="7" t="s">
        <v>397</v>
      </c>
      <c r="I16" s="6">
        <v>3</v>
      </c>
    </row>
    <row r="17" spans="1:15" ht="13.5" customHeight="1">
      <c r="A17" s="7" t="s">
        <v>84</v>
      </c>
      <c r="B17" s="7">
        <v>8</v>
      </c>
      <c r="C17" s="7">
        <v>0.3</v>
      </c>
      <c r="D17" s="6">
        <f>C17*B17</f>
        <v>2.4</v>
      </c>
      <c r="F17" s="11"/>
      <c r="G17" s="7" t="s">
        <v>398</v>
      </c>
      <c r="I17" s="6">
        <v>2</v>
      </c>
    </row>
    <row r="18" spans="1:15" ht="13.5" customHeight="1">
      <c r="A18" s="7" t="s">
        <v>91</v>
      </c>
      <c r="B18" s="7">
        <v>10</v>
      </c>
      <c r="C18" s="7">
        <v>1</v>
      </c>
      <c r="D18" s="6">
        <f>C18*B18</f>
        <v>10</v>
      </c>
      <c r="F18" s="11"/>
    </row>
    <row r="19" spans="1:15" ht="13.5" customHeight="1">
      <c r="D19" s="26">
        <f>SUM(D3:D18)</f>
        <v>227.20000000000002</v>
      </c>
      <c r="F19" s="11"/>
      <c r="G19" s="8" t="s">
        <v>4</v>
      </c>
      <c r="H19" s="9">
        <v>6.0000000000000001E-3</v>
      </c>
      <c r="O19" s="7" t="s">
        <v>102</v>
      </c>
    </row>
    <row r="20" spans="1:15" ht="13.5" customHeight="1">
      <c r="A20" s="7" t="s">
        <v>76</v>
      </c>
      <c r="B20" s="7">
        <v>10</v>
      </c>
      <c r="C20" s="7">
        <v>1</v>
      </c>
      <c r="D20" s="6">
        <f t="shared" ref="D20:D30" si="3">C20*B20</f>
        <v>10</v>
      </c>
      <c r="G20" s="10"/>
      <c r="K20" s="6" t="s">
        <v>238</v>
      </c>
      <c r="L20" s="6" t="s">
        <v>239</v>
      </c>
      <c r="M20" s="6" t="s">
        <v>241</v>
      </c>
      <c r="O20" s="41" t="s">
        <v>236</v>
      </c>
    </row>
    <row r="21" spans="1:15" ht="13.5" customHeight="1">
      <c r="A21" s="7" t="s">
        <v>5</v>
      </c>
      <c r="B21" s="7">
        <v>12</v>
      </c>
      <c r="C21" s="7">
        <v>1</v>
      </c>
      <c r="D21" s="6">
        <f t="shared" si="3"/>
        <v>12</v>
      </c>
      <c r="G21" s="7" t="s">
        <v>71</v>
      </c>
      <c r="J21" s="6" t="s">
        <v>110</v>
      </c>
      <c r="K21" s="6">
        <v>38</v>
      </c>
      <c r="L21" s="6">
        <f>K21*60</f>
        <v>2280</v>
      </c>
      <c r="M21" s="25">
        <f>1000/L21</f>
        <v>0.43859649122807015</v>
      </c>
      <c r="N21" s="7" t="s">
        <v>240</v>
      </c>
      <c r="O21" s="7">
        <v>230</v>
      </c>
    </row>
    <row r="22" spans="1:15" ht="13.5" customHeight="1">
      <c r="A22" s="7" t="s">
        <v>82</v>
      </c>
      <c r="B22" s="7">
        <v>9</v>
      </c>
      <c r="C22" s="7">
        <v>1</v>
      </c>
      <c r="D22" s="6">
        <f t="shared" si="3"/>
        <v>9</v>
      </c>
      <c r="G22" s="7" t="s">
        <v>72</v>
      </c>
      <c r="J22" s="6" t="s">
        <v>237</v>
      </c>
      <c r="K22" s="42">
        <v>24</v>
      </c>
      <c r="L22" s="6">
        <f t="shared" ref="L22:L23" si="4">K22*60</f>
        <v>1440</v>
      </c>
      <c r="M22" s="25">
        <f t="shared" ref="M22:M23" si="5">1000/L22</f>
        <v>0.69444444444444442</v>
      </c>
      <c r="N22" s="7" t="s">
        <v>240</v>
      </c>
      <c r="O22" s="7">
        <f>O21*3.78/24/60</f>
        <v>0.60375000000000001</v>
      </c>
    </row>
    <row r="23" spans="1:15" ht="13.5" customHeight="1">
      <c r="A23" s="7" t="s">
        <v>100</v>
      </c>
      <c r="B23" s="7">
        <v>15</v>
      </c>
      <c r="D23" s="6">
        <f t="shared" si="3"/>
        <v>0</v>
      </c>
      <c r="G23" s="7" t="s">
        <v>73</v>
      </c>
      <c r="J23" s="6" t="s">
        <v>82</v>
      </c>
      <c r="K23" s="42">
        <v>7.5</v>
      </c>
      <c r="L23" s="6">
        <f t="shared" si="4"/>
        <v>450</v>
      </c>
      <c r="M23" s="25">
        <f t="shared" si="5"/>
        <v>2.2222222222222223</v>
      </c>
      <c r="N23" s="7" t="s">
        <v>240</v>
      </c>
    </row>
    <row r="24" spans="1:15" ht="13.5" customHeight="1">
      <c r="A24" s="7" t="s">
        <v>77</v>
      </c>
      <c r="B24" s="7">
        <v>8</v>
      </c>
      <c r="C24" s="7">
        <v>1</v>
      </c>
      <c r="D24" s="6">
        <f t="shared" si="3"/>
        <v>8</v>
      </c>
      <c r="G24" s="7" t="s">
        <v>74</v>
      </c>
    </row>
    <row r="25" spans="1:15" ht="13.5" customHeight="1">
      <c r="A25" s="7" t="s">
        <v>6</v>
      </c>
      <c r="B25" s="7">
        <v>5</v>
      </c>
      <c r="C25" s="7">
        <v>1</v>
      </c>
      <c r="D25" s="6">
        <f t="shared" si="3"/>
        <v>5</v>
      </c>
      <c r="G25" s="7" t="s">
        <v>75</v>
      </c>
    </row>
    <row r="26" spans="1:15" ht="13.5" customHeight="1">
      <c r="A26" s="7" t="s">
        <v>361</v>
      </c>
      <c r="B26" s="7">
        <v>0.7</v>
      </c>
      <c r="C26" s="7">
        <v>1</v>
      </c>
      <c r="D26" s="6">
        <f t="shared" si="3"/>
        <v>0.7</v>
      </c>
    </row>
    <row r="27" spans="1:15" ht="13.5" customHeight="1">
      <c r="A27" s="7" t="s">
        <v>362</v>
      </c>
      <c r="B27" s="7">
        <v>1</v>
      </c>
      <c r="C27" s="7">
        <v>1</v>
      </c>
      <c r="D27" s="6">
        <f t="shared" si="3"/>
        <v>1</v>
      </c>
      <c r="G27" s="6" t="s">
        <v>7</v>
      </c>
      <c r="H27" s="6" t="s">
        <v>8</v>
      </c>
      <c r="J27" s="7"/>
    </row>
    <row r="28" spans="1:15" ht="13.5" customHeight="1">
      <c r="A28" s="7" t="s">
        <v>99</v>
      </c>
      <c r="B28" s="7">
        <v>5.5</v>
      </c>
      <c r="C28" s="7">
        <v>1</v>
      </c>
      <c r="D28" s="6">
        <f t="shared" si="3"/>
        <v>5.5</v>
      </c>
      <c r="G28" s="6">
        <v>607</v>
      </c>
      <c r="H28" s="6">
        <v>13671</v>
      </c>
      <c r="I28" s="6">
        <v>13695</v>
      </c>
      <c r="J28" s="7">
        <f>I28-H28</f>
        <v>24</v>
      </c>
      <c r="K28" s="12">
        <f>(H28+I28)/2</f>
        <v>13683</v>
      </c>
      <c r="L28" s="13">
        <f>K28/G28</f>
        <v>22.542009884678748</v>
      </c>
      <c r="M28" s="14">
        <f>J28/K28</f>
        <v>1.7540013155009867E-3</v>
      </c>
    </row>
    <row r="29" spans="1:15" ht="13.5" customHeight="1">
      <c r="A29" s="7" t="s">
        <v>80</v>
      </c>
      <c r="B29" s="7">
        <v>53</v>
      </c>
      <c r="D29" s="6">
        <f t="shared" si="3"/>
        <v>0</v>
      </c>
      <c r="G29" s="6">
        <v>501</v>
      </c>
      <c r="H29" s="6">
        <v>12545</v>
      </c>
      <c r="I29" s="6">
        <v>12571</v>
      </c>
      <c r="J29" s="7">
        <f t="shared" ref="J29:J44" si="6">I29-H29</f>
        <v>26</v>
      </c>
      <c r="K29" s="12">
        <f t="shared" ref="K29:K44" si="7">(H29+I29)/2</f>
        <v>12558</v>
      </c>
      <c r="L29" s="13">
        <f t="shared" ref="L29:L44" si="8">K29/G29</f>
        <v>25.065868263473053</v>
      </c>
      <c r="M29" s="14">
        <f t="shared" ref="M29:M44" si="9">J29/K29</f>
        <v>2.070393374741201E-3</v>
      </c>
    </row>
    <row r="30" spans="1:15" ht="13.5" customHeight="1">
      <c r="A30" s="7" t="s">
        <v>81</v>
      </c>
      <c r="B30" s="7">
        <v>3</v>
      </c>
      <c r="D30" s="6">
        <f t="shared" si="3"/>
        <v>0</v>
      </c>
      <c r="G30" s="6">
        <v>431</v>
      </c>
      <c r="H30" s="6">
        <v>11285</v>
      </c>
      <c r="I30" s="6">
        <v>11300</v>
      </c>
      <c r="J30" s="7">
        <f t="shared" si="6"/>
        <v>15</v>
      </c>
      <c r="K30" s="12">
        <f t="shared" si="7"/>
        <v>11292.5</v>
      </c>
      <c r="L30" s="13">
        <f t="shared" si="8"/>
        <v>26.200696055684453</v>
      </c>
      <c r="M30" s="14">
        <f t="shared" si="9"/>
        <v>1.3283152534868275E-3</v>
      </c>
    </row>
    <row r="31" spans="1:15" ht="13.5" customHeight="1">
      <c r="D31" s="26">
        <f>SUM(D20:D30)</f>
        <v>51.2</v>
      </c>
      <c r="G31" s="6">
        <v>382</v>
      </c>
      <c r="H31" s="6">
        <v>10420</v>
      </c>
      <c r="I31" s="6">
        <v>10441</v>
      </c>
      <c r="J31" s="7">
        <f t="shared" si="6"/>
        <v>21</v>
      </c>
      <c r="K31" s="12">
        <f t="shared" si="7"/>
        <v>10430.5</v>
      </c>
      <c r="L31" s="13">
        <f t="shared" si="8"/>
        <v>27.304973821989527</v>
      </c>
      <c r="M31" s="14">
        <f t="shared" si="9"/>
        <v>2.0133263026700541E-3</v>
      </c>
    </row>
    <row r="32" spans="1:15" ht="13.5" customHeight="1">
      <c r="D32" s="6"/>
      <c r="G32" s="6">
        <v>292</v>
      </c>
      <c r="H32" s="6">
        <v>8704</v>
      </c>
      <c r="I32" s="6">
        <v>8732</v>
      </c>
      <c r="J32" s="7">
        <f t="shared" si="6"/>
        <v>28</v>
      </c>
      <c r="K32" s="12">
        <f t="shared" si="7"/>
        <v>8718</v>
      </c>
      <c r="L32" s="13">
        <f t="shared" si="8"/>
        <v>29.856164383561644</v>
      </c>
      <c r="M32" s="14">
        <f t="shared" si="9"/>
        <v>3.2117458132599219E-3</v>
      </c>
    </row>
    <row r="33" spans="7:15" ht="13.5" customHeight="1">
      <c r="G33" s="6">
        <v>256</v>
      </c>
      <c r="H33" s="6">
        <v>7881</v>
      </c>
      <c r="I33" s="6">
        <v>7899</v>
      </c>
      <c r="J33" s="7">
        <f t="shared" si="6"/>
        <v>18</v>
      </c>
      <c r="K33" s="12">
        <f t="shared" si="7"/>
        <v>7890</v>
      </c>
      <c r="L33" s="13">
        <f t="shared" si="8"/>
        <v>30.8203125</v>
      </c>
      <c r="M33" s="14">
        <f t="shared" si="9"/>
        <v>2.2813688212927757E-3</v>
      </c>
    </row>
    <row r="34" spans="7:15" ht="13.5" customHeight="1">
      <c r="G34" s="6">
        <v>211</v>
      </c>
      <c r="H34" s="6">
        <v>6587</v>
      </c>
      <c r="I34" s="6">
        <v>6609</v>
      </c>
      <c r="J34" s="7">
        <f t="shared" si="6"/>
        <v>22</v>
      </c>
      <c r="K34" s="12">
        <f t="shared" si="7"/>
        <v>6598</v>
      </c>
      <c r="L34" s="13">
        <f t="shared" si="8"/>
        <v>31.270142180094787</v>
      </c>
      <c r="M34" s="14">
        <f t="shared" si="9"/>
        <v>3.3343437405274324E-3</v>
      </c>
    </row>
    <row r="35" spans="7:15" ht="13.5" customHeight="1">
      <c r="G35" s="6">
        <v>184</v>
      </c>
      <c r="H35" s="6">
        <v>5938</v>
      </c>
      <c r="I35" s="6">
        <v>5972</v>
      </c>
      <c r="J35" s="7">
        <f t="shared" si="6"/>
        <v>34</v>
      </c>
      <c r="K35" s="12">
        <f t="shared" si="7"/>
        <v>5955</v>
      </c>
      <c r="L35" s="13">
        <f t="shared" si="8"/>
        <v>32.364130434782609</v>
      </c>
      <c r="M35" s="14">
        <f t="shared" si="9"/>
        <v>5.7094878253568428E-3</v>
      </c>
    </row>
    <row r="36" spans="7:15" ht="13.5" customHeight="1">
      <c r="G36" s="6">
        <v>152</v>
      </c>
      <c r="H36" s="6">
        <v>5583</v>
      </c>
      <c r="I36" s="6">
        <v>5594</v>
      </c>
      <c r="J36" s="7">
        <f t="shared" si="6"/>
        <v>11</v>
      </c>
      <c r="K36" s="12">
        <f t="shared" si="7"/>
        <v>5588.5</v>
      </c>
      <c r="L36" s="13">
        <f t="shared" si="8"/>
        <v>36.766447368421055</v>
      </c>
      <c r="M36" s="14">
        <f t="shared" si="9"/>
        <v>1.9683278160508187E-3</v>
      </c>
    </row>
    <row r="37" spans="7:15" ht="13.5" customHeight="1">
      <c r="G37" s="6">
        <v>126</v>
      </c>
      <c r="H37" s="6">
        <v>4727</v>
      </c>
      <c r="I37" s="6">
        <v>4744</v>
      </c>
      <c r="J37" s="7">
        <f t="shared" si="6"/>
        <v>17</v>
      </c>
      <c r="K37" s="12">
        <f t="shared" si="7"/>
        <v>4735.5</v>
      </c>
      <c r="L37" s="13">
        <f t="shared" si="8"/>
        <v>37.583333333333336</v>
      </c>
      <c r="M37" s="14">
        <f t="shared" si="9"/>
        <v>3.5899060289304192E-3</v>
      </c>
    </row>
    <row r="38" spans="7:15" ht="13.5" customHeight="1">
      <c r="G38" s="6">
        <v>109</v>
      </c>
      <c r="H38" s="6">
        <v>4206</v>
      </c>
      <c r="I38" s="6">
        <v>4215</v>
      </c>
      <c r="J38" s="7">
        <f t="shared" si="6"/>
        <v>9</v>
      </c>
      <c r="K38" s="12">
        <f t="shared" si="7"/>
        <v>4210.5</v>
      </c>
      <c r="L38" s="13">
        <f t="shared" si="8"/>
        <v>38.628440366972477</v>
      </c>
      <c r="M38" s="14">
        <f t="shared" si="9"/>
        <v>2.1375133594584966E-3</v>
      </c>
    </row>
    <row r="39" spans="7:15" ht="13.5" customHeight="1">
      <c r="G39" s="6">
        <v>101</v>
      </c>
      <c r="H39" s="6">
        <v>3924</v>
      </c>
      <c r="I39" s="6">
        <v>3932</v>
      </c>
      <c r="J39" s="7">
        <f t="shared" si="6"/>
        <v>8</v>
      </c>
      <c r="K39" s="12">
        <f t="shared" si="7"/>
        <v>3928</v>
      </c>
      <c r="L39" s="13">
        <f t="shared" si="8"/>
        <v>38.89108910891089</v>
      </c>
      <c r="M39" s="14">
        <f t="shared" si="9"/>
        <v>2.0366598778004071E-3</v>
      </c>
      <c r="N39" s="14"/>
    </row>
    <row r="40" spans="7:15" ht="13.5" customHeight="1">
      <c r="G40" s="6">
        <v>81</v>
      </c>
      <c r="H40" s="6">
        <v>2928</v>
      </c>
      <c r="I40" s="6">
        <v>2933</v>
      </c>
      <c r="J40" s="7">
        <f t="shared" si="6"/>
        <v>5</v>
      </c>
      <c r="K40" s="12">
        <f t="shared" si="7"/>
        <v>2930.5</v>
      </c>
      <c r="L40" s="13">
        <f t="shared" si="8"/>
        <v>36.179012345679013</v>
      </c>
      <c r="M40" s="14">
        <f t="shared" si="9"/>
        <v>1.7061934823408974E-3</v>
      </c>
      <c r="N40" s="14"/>
    </row>
    <row r="41" spans="7:15" ht="13.5" customHeight="1">
      <c r="G41" s="6">
        <v>68</v>
      </c>
      <c r="H41" s="6">
        <v>2824</v>
      </c>
      <c r="I41" s="6">
        <v>2828</v>
      </c>
      <c r="J41" s="7">
        <f t="shared" si="6"/>
        <v>4</v>
      </c>
      <c r="K41" s="12">
        <f t="shared" si="7"/>
        <v>2826</v>
      </c>
      <c r="L41" s="13">
        <f t="shared" si="8"/>
        <v>41.558823529411768</v>
      </c>
      <c r="M41" s="14">
        <f t="shared" si="9"/>
        <v>1.4154281670205238E-3</v>
      </c>
      <c r="N41" s="14"/>
    </row>
    <row r="42" spans="7:15" ht="13.5" customHeight="1">
      <c r="G42" s="6"/>
      <c r="J42" s="7"/>
      <c r="K42" s="12"/>
      <c r="L42" s="13"/>
      <c r="M42" s="14"/>
      <c r="N42" s="14"/>
    </row>
    <row r="43" spans="7:15" ht="13.5" customHeight="1">
      <c r="G43" s="6">
        <v>77</v>
      </c>
      <c r="H43" s="6">
        <v>935</v>
      </c>
      <c r="I43" s="6">
        <v>1092</v>
      </c>
      <c r="J43" s="7">
        <f t="shared" si="6"/>
        <v>157</v>
      </c>
      <c r="K43" s="12">
        <f t="shared" si="7"/>
        <v>1013.5</v>
      </c>
      <c r="L43" s="13">
        <f t="shared" si="8"/>
        <v>13.162337662337663</v>
      </c>
      <c r="M43" s="14">
        <f t="shared" si="9"/>
        <v>0.15490873211642822</v>
      </c>
      <c r="N43" s="14"/>
    </row>
    <row r="44" spans="7:15" ht="13.5" customHeight="1">
      <c r="G44" s="6">
        <v>2</v>
      </c>
      <c r="H44" s="6">
        <v>45</v>
      </c>
      <c r="I44" s="6">
        <v>49</v>
      </c>
      <c r="J44" s="7">
        <f t="shared" si="6"/>
        <v>4</v>
      </c>
      <c r="K44" s="12">
        <f t="shared" si="7"/>
        <v>47</v>
      </c>
      <c r="L44" s="13">
        <f t="shared" si="8"/>
        <v>23.5</v>
      </c>
      <c r="M44" s="14">
        <f t="shared" si="9"/>
        <v>8.5106382978723402E-2</v>
      </c>
      <c r="N44" s="14"/>
    </row>
    <row r="46" spans="7:15" ht="13.5" customHeight="1">
      <c r="G46" s="7" t="s">
        <v>9</v>
      </c>
      <c r="N46" s="7" t="s">
        <v>10</v>
      </c>
      <c r="O46" s="7" t="s">
        <v>11</v>
      </c>
    </row>
    <row r="47" spans="7:15" ht="13.5" customHeight="1">
      <c r="G47" s="7" t="s">
        <v>12</v>
      </c>
      <c r="N47" s="7" t="s">
        <v>13</v>
      </c>
      <c r="O47" s="7" t="s">
        <v>14</v>
      </c>
    </row>
    <row r="48" spans="7:15" ht="13.5" customHeight="1">
      <c r="N48" s="7" t="s">
        <v>15</v>
      </c>
      <c r="O48" s="7" t="s">
        <v>16</v>
      </c>
    </row>
    <row r="49" spans="7:15" ht="13.5" customHeight="1">
      <c r="G49" s="7" t="s">
        <v>17</v>
      </c>
      <c r="L49" s="15">
        <f>9.7*2.54/5*3</f>
        <v>14.7828</v>
      </c>
      <c r="N49" s="7" t="s">
        <v>18</v>
      </c>
      <c r="O49" s="7" t="s">
        <v>19</v>
      </c>
    </row>
    <row r="50" spans="7:15" ht="13.5" customHeight="1">
      <c r="G50" s="7" t="s">
        <v>20</v>
      </c>
      <c r="L50" s="15">
        <f>9.7*2.54/5*4</f>
        <v>19.7104</v>
      </c>
      <c r="N50" s="7" t="s">
        <v>21</v>
      </c>
      <c r="O50" s="7" t="s">
        <v>22</v>
      </c>
    </row>
    <row r="51" spans="7:15" ht="13.5" customHeight="1">
      <c r="G51" s="7" t="s">
        <v>23</v>
      </c>
      <c r="N51" s="7" t="s">
        <v>24</v>
      </c>
      <c r="O51" s="7" t="s">
        <v>25</v>
      </c>
    </row>
    <row r="52" spans="7:15" ht="13.5" customHeight="1">
      <c r="G52" s="7" t="s">
        <v>26</v>
      </c>
      <c r="N52" s="7" t="s">
        <v>27</v>
      </c>
      <c r="O52" s="7" t="s">
        <v>28</v>
      </c>
    </row>
    <row r="53" spans="7:15" ht="13.5" customHeight="1">
      <c r="G53" s="7" t="s">
        <v>29</v>
      </c>
      <c r="N53" s="7" t="s">
        <v>30</v>
      </c>
    </row>
    <row r="54" spans="7:15" ht="13.5" customHeight="1">
      <c r="G54" s="7" t="s">
        <v>31</v>
      </c>
      <c r="N54" s="7" t="s">
        <v>32</v>
      </c>
    </row>
    <row r="55" spans="7:15" ht="13.5" customHeight="1">
      <c r="N55" s="7" t="s">
        <v>33</v>
      </c>
    </row>
    <row r="56" spans="7:15" ht="13.5" customHeight="1">
      <c r="N56" s="7" t="s">
        <v>34</v>
      </c>
    </row>
    <row r="57" spans="7:15" ht="13.5" customHeight="1">
      <c r="G57" s="7" t="s">
        <v>35</v>
      </c>
      <c r="H57" s="16" t="s">
        <v>17</v>
      </c>
      <c r="N57" s="7" t="s">
        <v>36</v>
      </c>
    </row>
    <row r="58" spans="7:15" ht="13.5" customHeight="1">
      <c r="G58" s="7" t="s">
        <v>37</v>
      </c>
      <c r="H58" s="16" t="s">
        <v>38</v>
      </c>
      <c r="N58" s="7" t="s">
        <v>39</v>
      </c>
    </row>
    <row r="59" spans="7:15" ht="13.5" customHeight="1">
      <c r="G59" s="7" t="s">
        <v>40</v>
      </c>
      <c r="H59" s="16" t="s">
        <v>41</v>
      </c>
      <c r="N59" s="7" t="s">
        <v>42</v>
      </c>
    </row>
    <row r="60" spans="7:15" ht="13.5" customHeight="1">
      <c r="G60" s="7" t="s">
        <v>43</v>
      </c>
      <c r="H60" s="16" t="s">
        <v>44</v>
      </c>
      <c r="N60" s="7" t="s">
        <v>45</v>
      </c>
    </row>
    <row r="61" spans="7:15" ht="13.5" customHeight="1">
      <c r="G61" s="7" t="s">
        <v>46</v>
      </c>
      <c r="H61" s="16" t="s">
        <v>47</v>
      </c>
      <c r="N61" s="7" t="s">
        <v>48</v>
      </c>
    </row>
    <row r="62" spans="7:15" ht="13.5" customHeight="1">
      <c r="G62" s="7" t="s">
        <v>49</v>
      </c>
      <c r="H62" s="17">
        <v>41886</v>
      </c>
      <c r="N62" s="7" t="s">
        <v>50</v>
      </c>
    </row>
    <row r="63" spans="7:15" ht="13.5" customHeight="1">
      <c r="N63" s="7" t="s">
        <v>51</v>
      </c>
    </row>
    <row r="64" spans="7:15" ht="13.5" customHeight="1">
      <c r="G64" s="7" t="s">
        <v>52</v>
      </c>
      <c r="I64" s="7" t="s">
        <v>53</v>
      </c>
      <c r="K64" s="7">
        <f>363/325</f>
        <v>1.1169230769230769</v>
      </c>
      <c r="N64" s="7" t="s">
        <v>54</v>
      </c>
    </row>
    <row r="65" spans="1:12" ht="13.5" customHeight="1">
      <c r="G65" s="7" t="s">
        <v>55</v>
      </c>
    </row>
    <row r="66" spans="1:12" ht="13.5" customHeight="1">
      <c r="F66" s="22"/>
    </row>
    <row r="67" spans="1:12" ht="13.5" customHeight="1">
      <c r="F67" s="22"/>
    </row>
    <row r="68" spans="1:12" ht="13.5" customHeight="1">
      <c r="F68" s="22"/>
      <c r="G68" s="6" t="s">
        <v>58</v>
      </c>
      <c r="H68" s="7"/>
      <c r="I68" s="6" t="s">
        <v>59</v>
      </c>
      <c r="J68" s="6" t="s">
        <v>60</v>
      </c>
      <c r="K68" s="6" t="s">
        <v>61</v>
      </c>
      <c r="L68" s="6" t="s">
        <v>62</v>
      </c>
    </row>
    <row r="69" spans="1:12" ht="13.5" customHeight="1">
      <c r="F69" s="22"/>
      <c r="G69" s="6" t="s">
        <v>64</v>
      </c>
      <c r="I69" s="6">
        <f>1000*0.4+100*1</f>
        <v>500</v>
      </c>
      <c r="J69" s="6">
        <f>I69*0.3</f>
        <v>150</v>
      </c>
      <c r="K69" s="19">
        <f>1000*D75+100*D76</f>
        <v>19.322751322751323</v>
      </c>
      <c r="L69" s="20">
        <f>J69-K69</f>
        <v>130.67724867724868</v>
      </c>
    </row>
    <row r="70" spans="1:12" ht="13.5" customHeight="1">
      <c r="F70" s="22"/>
      <c r="G70" s="6" t="s">
        <v>66</v>
      </c>
      <c r="I70" s="6">
        <f>I69*1.5</f>
        <v>750</v>
      </c>
      <c r="J70" s="6">
        <f>J69*1.5</f>
        <v>225</v>
      </c>
      <c r="K70" s="20">
        <f>K69*1.5</f>
        <v>28.984126984126984</v>
      </c>
      <c r="L70" s="20">
        <f>L69*1.5</f>
        <v>196.01587301587301</v>
      </c>
    </row>
    <row r="71" spans="1:12" ht="13.5" customHeight="1">
      <c r="B71" s="6" t="s">
        <v>56</v>
      </c>
      <c r="C71" s="7" t="s">
        <v>2</v>
      </c>
      <c r="D71" s="6" t="s">
        <v>57</v>
      </c>
      <c r="F71" s="22"/>
      <c r="G71" s="6" t="s">
        <v>68</v>
      </c>
      <c r="I71" s="6">
        <f>I69*2</f>
        <v>1000</v>
      </c>
      <c r="J71" s="6">
        <f>J69*2</f>
        <v>300</v>
      </c>
      <c r="K71" s="20">
        <f>K69*2</f>
        <v>38.645502645502646</v>
      </c>
      <c r="L71" s="20">
        <f>L69*2</f>
        <v>261.35449735449737</v>
      </c>
    </row>
    <row r="72" spans="1:12" ht="13.5" customHeight="1">
      <c r="A72" s="7" t="s">
        <v>63</v>
      </c>
      <c r="B72" s="6">
        <v>5</v>
      </c>
      <c r="C72" s="7">
        <f>2/1000</f>
        <v>2E-3</v>
      </c>
      <c r="D72" s="18">
        <f>B72*C72</f>
        <v>0.01</v>
      </c>
      <c r="F72" s="22"/>
    </row>
    <row r="73" spans="1:12" ht="13.5" customHeight="1">
      <c r="A73" s="7" t="s">
        <v>65</v>
      </c>
      <c r="B73" s="6">
        <v>1</v>
      </c>
      <c r="C73" s="7">
        <f>(50/1000*24)/(75*3.78)</f>
        <v>4.2328042328042331E-3</v>
      </c>
      <c r="D73" s="21">
        <f>B73*C73</f>
        <v>4.2328042328042331E-3</v>
      </c>
      <c r="F73" s="22"/>
    </row>
    <row r="74" spans="1:12" ht="13.5" customHeight="1">
      <c r="A74" s="7" t="s">
        <v>67</v>
      </c>
      <c r="B74" s="6">
        <v>1</v>
      </c>
      <c r="C74" s="7">
        <f>2200/(1000*60)</f>
        <v>3.6666666666666667E-2</v>
      </c>
      <c r="D74" s="21">
        <f>B74*C74</f>
        <v>3.6666666666666667E-2</v>
      </c>
    </row>
    <row r="75" spans="1:12" ht="13.5" customHeight="1">
      <c r="A75" s="7" t="s">
        <v>69</v>
      </c>
      <c r="D75" s="21">
        <f>D72+D73</f>
        <v>1.4232804232804232E-2</v>
      </c>
    </row>
    <row r="76" spans="1:12" ht="13.5" customHeight="1">
      <c r="A76" s="7" t="s">
        <v>70</v>
      </c>
      <c r="D76" s="21">
        <f>D74+D75</f>
        <v>5.0899470899470903E-2</v>
      </c>
    </row>
    <row r="79" spans="1:12" ht="13.5" customHeight="1">
      <c r="G79" s="6"/>
    </row>
    <row r="80" spans="1:12" ht="13.5" customHeight="1">
      <c r="G80" s="23"/>
      <c r="H80" s="24"/>
      <c r="I80" s="25"/>
    </row>
    <row r="81" spans="7:9" ht="13.5" customHeight="1">
      <c r="G81" s="23"/>
      <c r="H81" s="24"/>
      <c r="I81" s="25"/>
    </row>
    <row r="82" spans="7:9" ht="13.5" customHeight="1">
      <c r="G82" s="23"/>
      <c r="H82" s="24"/>
      <c r="I82" s="25"/>
    </row>
    <row r="83" spans="7:9" ht="13.5" customHeight="1">
      <c r="G83" s="23"/>
      <c r="H83" s="24"/>
      <c r="I83" s="25"/>
    </row>
    <row r="84" spans="7:9" ht="13.5" customHeight="1">
      <c r="G84" s="23"/>
      <c r="H84" s="24"/>
      <c r="I84" s="25"/>
    </row>
  </sheetData>
  <pageMargins left="0.75" right="0.75" top="1" bottom="1" header="0.5" footer="0.5"/>
  <pageSetup paperSize="9" orientation="portrait"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1"/>
  <sheetViews>
    <sheetView workbookViewId="0">
      <selection activeCell="A24" sqref="A24"/>
    </sheetView>
  </sheetViews>
  <sheetFormatPr defaultRowHeight="14.25"/>
  <cols>
    <col min="2" max="2" width="23.375" customWidth="1"/>
  </cols>
  <sheetData>
    <row r="1" spans="1:3">
      <c r="A1" t="s">
        <v>303</v>
      </c>
      <c r="C1" t="s">
        <v>331</v>
      </c>
    </row>
    <row r="2" spans="1:3">
      <c r="A2" t="s">
        <v>304</v>
      </c>
      <c r="C2" t="s">
        <v>332</v>
      </c>
    </row>
    <row r="3" spans="1:3">
      <c r="A3" t="s">
        <v>305</v>
      </c>
      <c r="C3" t="s">
        <v>333</v>
      </c>
    </row>
    <row r="4" spans="1:3">
      <c r="A4" t="s">
        <v>328</v>
      </c>
      <c r="C4" t="s">
        <v>334</v>
      </c>
    </row>
    <row r="5" spans="1:3">
      <c r="A5" t="s">
        <v>314</v>
      </c>
      <c r="C5" t="s">
        <v>335</v>
      </c>
    </row>
    <row r="6" spans="1:3">
      <c r="A6" t="s">
        <v>324</v>
      </c>
      <c r="C6" t="s">
        <v>336</v>
      </c>
    </row>
    <row r="7" spans="1:3">
      <c r="C7" t="s">
        <v>337</v>
      </c>
    </row>
    <row r="8" spans="1:3">
      <c r="A8" t="s">
        <v>325</v>
      </c>
      <c r="B8" t="s">
        <v>344</v>
      </c>
      <c r="C8" t="s">
        <v>338</v>
      </c>
    </row>
    <row r="9" spans="1:3">
      <c r="A9" t="s">
        <v>315</v>
      </c>
      <c r="B9" t="s">
        <v>343</v>
      </c>
      <c r="C9" t="s">
        <v>339</v>
      </c>
    </row>
    <row r="10" spans="1:3">
      <c r="A10" t="s">
        <v>316</v>
      </c>
      <c r="C10" t="s">
        <v>340</v>
      </c>
    </row>
    <row r="11" spans="1:3">
      <c r="A11" t="s">
        <v>317</v>
      </c>
    </row>
    <row r="12" spans="1:3">
      <c r="A12" t="s">
        <v>318</v>
      </c>
      <c r="B12" t="s">
        <v>319</v>
      </c>
      <c r="C12" t="s">
        <v>277</v>
      </c>
    </row>
    <row r="13" spans="1:3">
      <c r="A13" t="s">
        <v>320</v>
      </c>
      <c r="C13" t="s">
        <v>242</v>
      </c>
    </row>
    <row r="14" spans="1:3">
      <c r="A14" t="s">
        <v>322</v>
      </c>
      <c r="C14" t="s">
        <v>243</v>
      </c>
    </row>
    <row r="15" spans="1:3">
      <c r="A15" t="s">
        <v>323</v>
      </c>
      <c r="C15" t="s">
        <v>244</v>
      </c>
    </row>
    <row r="16" spans="1:3">
      <c r="A16" t="s">
        <v>326</v>
      </c>
      <c r="C16" t="s">
        <v>245</v>
      </c>
    </row>
    <row r="17" spans="1:3">
      <c r="A17" t="s">
        <v>341</v>
      </c>
      <c r="C17" t="s">
        <v>246</v>
      </c>
    </row>
    <row r="18" spans="1:3">
      <c r="A18" t="s">
        <v>342</v>
      </c>
      <c r="C18" t="s">
        <v>247</v>
      </c>
    </row>
    <row r="19" spans="1:3">
      <c r="A19" t="s">
        <v>244</v>
      </c>
      <c r="C19" t="s">
        <v>248</v>
      </c>
    </row>
    <row r="20" spans="1:3">
      <c r="A20" t="s">
        <v>346</v>
      </c>
      <c r="C20" t="s">
        <v>249</v>
      </c>
    </row>
    <row r="22" spans="1:3">
      <c r="C22" t="s">
        <v>250</v>
      </c>
    </row>
    <row r="23" spans="1:3">
      <c r="A23" t="s">
        <v>306</v>
      </c>
      <c r="C23" t="s">
        <v>251</v>
      </c>
    </row>
    <row r="24" spans="1:3">
      <c r="A24" t="s">
        <v>307</v>
      </c>
      <c r="C24" t="s">
        <v>252</v>
      </c>
    </row>
    <row r="25" spans="1:3">
      <c r="A25" t="s">
        <v>308</v>
      </c>
      <c r="C25" t="s">
        <v>253</v>
      </c>
    </row>
    <row r="26" spans="1:3">
      <c r="A26" t="s">
        <v>309</v>
      </c>
      <c r="C26" t="s">
        <v>254</v>
      </c>
    </row>
    <row r="27" spans="1:3">
      <c r="A27" t="s">
        <v>310</v>
      </c>
      <c r="C27" t="s">
        <v>255</v>
      </c>
    </row>
    <row r="28" spans="1:3">
      <c r="A28" t="s">
        <v>311</v>
      </c>
      <c r="C28" t="s">
        <v>256</v>
      </c>
    </row>
    <row r="29" spans="1:3">
      <c r="A29" t="s">
        <v>312</v>
      </c>
      <c r="C29" t="s">
        <v>257</v>
      </c>
    </row>
    <row r="30" spans="1:3">
      <c r="A30" t="s">
        <v>313</v>
      </c>
      <c r="C30" t="s">
        <v>258</v>
      </c>
    </row>
    <row r="31" spans="1:3">
      <c r="A31" t="s">
        <v>321</v>
      </c>
      <c r="C31" t="s">
        <v>259</v>
      </c>
    </row>
    <row r="32" spans="1:3">
      <c r="A32" t="s">
        <v>320</v>
      </c>
      <c r="C32" t="s">
        <v>260</v>
      </c>
    </row>
    <row r="33" spans="1:3">
      <c r="A33" t="s">
        <v>327</v>
      </c>
      <c r="C33" t="s">
        <v>261</v>
      </c>
    </row>
    <row r="34" spans="1:3">
      <c r="A34" t="s">
        <v>345</v>
      </c>
      <c r="C34" t="s">
        <v>262</v>
      </c>
    </row>
    <row r="35" spans="1:3">
      <c r="A35" t="s">
        <v>293</v>
      </c>
      <c r="C35" t="s">
        <v>263</v>
      </c>
    </row>
    <row r="36" spans="1:3">
      <c r="A36" t="s">
        <v>294</v>
      </c>
      <c r="C36" t="s">
        <v>264</v>
      </c>
    </row>
    <row r="37" spans="1:3">
      <c r="C37" t="s">
        <v>265</v>
      </c>
    </row>
    <row r="38" spans="1:3">
      <c r="C38" t="s">
        <v>266</v>
      </c>
    </row>
    <row r="39" spans="1:3">
      <c r="A39" t="s">
        <v>329</v>
      </c>
      <c r="B39" t="s">
        <v>351</v>
      </c>
      <c r="C39" t="s">
        <v>267</v>
      </c>
    </row>
    <row r="40" spans="1:3">
      <c r="A40" t="s">
        <v>330</v>
      </c>
      <c r="C40" t="s">
        <v>268</v>
      </c>
    </row>
    <row r="41" spans="1:3">
      <c r="A41" t="s">
        <v>347</v>
      </c>
      <c r="C41" t="s">
        <v>269</v>
      </c>
    </row>
    <row r="42" spans="1:3">
      <c r="A42" t="s">
        <v>348</v>
      </c>
      <c r="C42" t="s">
        <v>270</v>
      </c>
    </row>
    <row r="43" spans="1:3">
      <c r="A43" t="s">
        <v>349</v>
      </c>
      <c r="C43" t="s">
        <v>278</v>
      </c>
    </row>
    <row r="44" spans="1:3">
      <c r="A44" t="s">
        <v>350</v>
      </c>
    </row>
    <row r="45" spans="1:3">
      <c r="A45" t="s">
        <v>352</v>
      </c>
      <c r="C45" t="s">
        <v>271</v>
      </c>
    </row>
    <row r="46" spans="1:3">
      <c r="A46" t="s">
        <v>357</v>
      </c>
      <c r="C46" t="s">
        <v>272</v>
      </c>
    </row>
    <row r="47" spans="1:3">
      <c r="A47" t="s">
        <v>358</v>
      </c>
      <c r="C47" t="s">
        <v>273</v>
      </c>
    </row>
    <row r="48" spans="1:3">
      <c r="A48" t="s">
        <v>353</v>
      </c>
      <c r="C48" t="s">
        <v>274</v>
      </c>
    </row>
    <row r="49" spans="1:3">
      <c r="C49" t="s">
        <v>275</v>
      </c>
    </row>
    <row r="50" spans="1:3">
      <c r="C50" t="s">
        <v>276</v>
      </c>
    </row>
    <row r="52" spans="1:3">
      <c r="A52" t="s">
        <v>354</v>
      </c>
      <c r="C52" t="s">
        <v>279</v>
      </c>
    </row>
    <row r="53" spans="1:3">
      <c r="A53" t="s">
        <v>355</v>
      </c>
      <c r="C53" t="s">
        <v>280</v>
      </c>
    </row>
    <row r="54" spans="1:3">
      <c r="A54" t="s">
        <v>356</v>
      </c>
    </row>
    <row r="55" spans="1:3">
      <c r="C55" t="s">
        <v>281</v>
      </c>
    </row>
    <row r="56" spans="1:3">
      <c r="C56" t="s">
        <v>282</v>
      </c>
    </row>
    <row r="59" spans="1:3">
      <c r="C59" t="s">
        <v>283</v>
      </c>
    </row>
    <row r="60" spans="1:3">
      <c r="C60" t="s">
        <v>284</v>
      </c>
    </row>
    <row r="62" spans="1:3">
      <c r="C62" t="s">
        <v>285</v>
      </c>
    </row>
    <row r="63" spans="1:3">
      <c r="C63" t="s">
        <v>286</v>
      </c>
    </row>
    <row r="64" spans="1:3">
      <c r="C64" t="s">
        <v>287</v>
      </c>
    </row>
    <row r="65" spans="3:3">
      <c r="C65" t="s">
        <v>288</v>
      </c>
    </row>
    <row r="66" spans="3:3">
      <c r="C66" t="s">
        <v>289</v>
      </c>
    </row>
    <row r="67" spans="3:3">
      <c r="C67" t="s">
        <v>290</v>
      </c>
    </row>
    <row r="68" spans="3:3">
      <c r="C68" t="s">
        <v>291</v>
      </c>
    </row>
    <row r="69" spans="3:3">
      <c r="C69" t="s">
        <v>292</v>
      </c>
    </row>
    <row r="70" spans="3:3">
      <c r="C70" t="s">
        <v>293</v>
      </c>
    </row>
    <row r="71" spans="3:3">
      <c r="C71" t="s">
        <v>294</v>
      </c>
    </row>
    <row r="73" spans="3:3">
      <c r="C73" t="s">
        <v>295</v>
      </c>
    </row>
    <row r="74" spans="3:3">
      <c r="C74" t="s">
        <v>296</v>
      </c>
    </row>
    <row r="75" spans="3:3">
      <c r="C75" t="s">
        <v>297</v>
      </c>
    </row>
    <row r="76" spans="3:3">
      <c r="C76" t="s">
        <v>298</v>
      </c>
    </row>
    <row r="78" spans="3:3">
      <c r="C78" t="s">
        <v>299</v>
      </c>
    </row>
    <row r="79" spans="3:3">
      <c r="C79" t="s">
        <v>300</v>
      </c>
    </row>
    <row r="80" spans="3:3">
      <c r="C80" t="s">
        <v>301</v>
      </c>
    </row>
    <row r="81" spans="3:3">
      <c r="C81" t="s">
        <v>302</v>
      </c>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6"/>
  <sheetViews>
    <sheetView zoomScaleNormal="100" workbookViewId="0">
      <pane ySplit="2" topLeftCell="A9" activePane="bottomLeft" state="frozen"/>
      <selection pane="bottomLeft" activeCell="A14" sqref="A14"/>
    </sheetView>
  </sheetViews>
  <sheetFormatPr defaultRowHeight="13.5" customHeight="1"/>
  <cols>
    <col min="1" max="1" width="36.25" style="7" customWidth="1"/>
    <col min="2" max="2" width="5.25" style="7" customWidth="1"/>
    <col min="3" max="3" width="5" style="7" customWidth="1"/>
    <col min="4" max="4" width="8.5" style="7" customWidth="1"/>
    <col min="5" max="5" width="1.625" style="4" customWidth="1"/>
    <col min="6" max="6" width="9" style="8" customWidth="1"/>
    <col min="7" max="7" width="9" style="7"/>
    <col min="8" max="10" width="9" style="6"/>
    <col min="11" max="11" width="8.125" style="7" customWidth="1"/>
    <col min="12" max="12" width="7.75" style="7" customWidth="1"/>
    <col min="13" max="13" width="9" style="7"/>
    <col min="14" max="14" width="9.625" style="7" bestFit="1" customWidth="1"/>
    <col min="15" max="16384" width="9" style="7"/>
  </cols>
  <sheetData>
    <row r="1" spans="1:15" s="1" customFormat="1" ht="13.5" customHeight="1">
      <c r="A1" s="1" t="s">
        <v>0</v>
      </c>
      <c r="B1" s="1" t="s">
        <v>1</v>
      </c>
      <c r="C1" s="1" t="s">
        <v>2</v>
      </c>
      <c r="D1" s="1" t="s">
        <v>3</v>
      </c>
      <c r="E1" s="2"/>
      <c r="F1" s="3"/>
    </row>
    <row r="2" spans="1:15" ht="13.5" customHeight="1">
      <c r="A2" s="1"/>
      <c r="B2" s="1"/>
      <c r="C2" s="1"/>
      <c r="D2" s="27">
        <f>D19+D31</f>
        <v>469.09999999999997</v>
      </c>
      <c r="F2" s="5"/>
      <c r="G2" s="5"/>
    </row>
    <row r="3" spans="1:15" ht="13.5" customHeight="1">
      <c r="A3" s="7" t="s">
        <v>95</v>
      </c>
      <c r="B3" s="7">
        <v>6</v>
      </c>
      <c r="C3" s="7">
        <v>1</v>
      </c>
      <c r="D3" s="6">
        <f>C3*B3</f>
        <v>6</v>
      </c>
      <c r="G3" s="8" t="s">
        <v>4</v>
      </c>
      <c r="H3" s="9">
        <v>6.0000000000000001E-3</v>
      </c>
      <c r="O3" s="7" t="s">
        <v>102</v>
      </c>
    </row>
    <row r="4" spans="1:15" ht="13.5" customHeight="1">
      <c r="A4" s="7" t="s">
        <v>94</v>
      </c>
      <c r="B4" s="7">
        <v>4</v>
      </c>
      <c r="C4" s="7">
        <v>2</v>
      </c>
      <c r="D4" s="6">
        <f>C4*B4</f>
        <v>8</v>
      </c>
      <c r="F4" s="10"/>
      <c r="G4" s="10"/>
      <c r="K4" s="6" t="s">
        <v>238</v>
      </c>
      <c r="L4" s="6" t="s">
        <v>239</v>
      </c>
      <c r="M4" s="6" t="s">
        <v>241</v>
      </c>
      <c r="O4" s="41" t="s">
        <v>236</v>
      </c>
    </row>
    <row r="5" spans="1:15" ht="13.5" customHeight="1">
      <c r="A5" s="7" t="s">
        <v>87</v>
      </c>
      <c r="B5" s="7">
        <v>5</v>
      </c>
      <c r="C5" s="7">
        <v>1</v>
      </c>
      <c r="D5" s="6">
        <f t="shared" ref="D5:D10" si="0">C5*B5</f>
        <v>5</v>
      </c>
      <c r="F5" s="11"/>
      <c r="G5" s="7" t="s">
        <v>71</v>
      </c>
      <c r="J5" s="6" t="s">
        <v>110</v>
      </c>
      <c r="K5" s="6">
        <v>38</v>
      </c>
      <c r="L5" s="6">
        <f>K5*60</f>
        <v>2280</v>
      </c>
      <c r="M5" s="25">
        <f>1000/L5</f>
        <v>0.43859649122807015</v>
      </c>
      <c r="N5" s="7" t="s">
        <v>240</v>
      </c>
      <c r="O5" s="7">
        <v>230</v>
      </c>
    </row>
    <row r="6" spans="1:15" ht="13.5" customHeight="1">
      <c r="A6" s="7" t="s">
        <v>360</v>
      </c>
      <c r="B6" s="7">
        <v>70</v>
      </c>
      <c r="C6" s="7">
        <v>1</v>
      </c>
      <c r="D6" s="6">
        <f t="shared" si="0"/>
        <v>70</v>
      </c>
      <c r="F6" s="11"/>
      <c r="G6" s="7" t="s">
        <v>72</v>
      </c>
      <c r="J6" s="6" t="s">
        <v>237</v>
      </c>
      <c r="K6" s="42">
        <v>24</v>
      </c>
      <c r="L6" s="6">
        <f t="shared" ref="L6:L7" si="1">K6*60</f>
        <v>1440</v>
      </c>
      <c r="M6" s="25">
        <f t="shared" ref="M6:M7" si="2">1000/L6</f>
        <v>0.69444444444444442</v>
      </c>
      <c r="N6" s="7" t="s">
        <v>240</v>
      </c>
      <c r="O6" s="7">
        <f>O5*3.78/24/60</f>
        <v>0.60375000000000001</v>
      </c>
    </row>
    <row r="7" spans="1:15" ht="13.5" customHeight="1">
      <c r="A7" s="7" t="s">
        <v>96</v>
      </c>
      <c r="B7" s="7">
        <v>10</v>
      </c>
      <c r="C7" s="7">
        <v>1</v>
      </c>
      <c r="D7" s="6">
        <f t="shared" si="0"/>
        <v>10</v>
      </c>
      <c r="F7" s="11"/>
      <c r="G7" s="7" t="s">
        <v>73</v>
      </c>
      <c r="J7" s="6" t="s">
        <v>82</v>
      </c>
      <c r="K7" s="42">
        <v>7.5</v>
      </c>
      <c r="L7" s="6">
        <f t="shared" si="1"/>
        <v>450</v>
      </c>
      <c r="M7" s="25">
        <f t="shared" si="2"/>
        <v>2.2222222222222223</v>
      </c>
      <c r="N7" s="7" t="s">
        <v>240</v>
      </c>
    </row>
    <row r="8" spans="1:15" ht="13.5" customHeight="1">
      <c r="A8" s="7" t="s">
        <v>79</v>
      </c>
      <c r="B8" s="7">
        <v>10</v>
      </c>
      <c r="C8" s="7">
        <v>1</v>
      </c>
      <c r="D8" s="6">
        <f>C8*B8</f>
        <v>10</v>
      </c>
      <c r="F8" s="11"/>
      <c r="G8" s="7" t="s">
        <v>74</v>
      </c>
    </row>
    <row r="9" spans="1:15" ht="13.5" customHeight="1">
      <c r="A9" s="7" t="s">
        <v>359</v>
      </c>
      <c r="B9" s="7">
        <v>85</v>
      </c>
      <c r="C9" s="7">
        <v>1</v>
      </c>
      <c r="D9" s="6">
        <f t="shared" si="0"/>
        <v>85</v>
      </c>
      <c r="F9" s="11"/>
      <c r="G9" s="7" t="s">
        <v>75</v>
      </c>
    </row>
    <row r="10" spans="1:15" ht="13.5" customHeight="1">
      <c r="A10" s="7" t="s">
        <v>89</v>
      </c>
      <c r="B10" s="7">
        <v>3</v>
      </c>
      <c r="C10" s="7">
        <v>2</v>
      </c>
      <c r="D10" s="6">
        <f t="shared" si="0"/>
        <v>6</v>
      </c>
      <c r="F10" s="11"/>
    </row>
    <row r="11" spans="1:15" ht="13.5" customHeight="1">
      <c r="A11" s="7" t="s">
        <v>101</v>
      </c>
      <c r="B11" s="7">
        <v>7</v>
      </c>
      <c r="C11" s="7">
        <v>1</v>
      </c>
      <c r="D11" s="6">
        <f t="shared" ref="D11:D13" si="3">C11*B11</f>
        <v>7</v>
      </c>
      <c r="F11" s="11"/>
      <c r="G11" s="6" t="s">
        <v>7</v>
      </c>
      <c r="H11" s="6" t="s">
        <v>8</v>
      </c>
      <c r="J11" s="7"/>
    </row>
    <row r="12" spans="1:15" ht="13.5" customHeight="1">
      <c r="A12" s="7" t="s">
        <v>97</v>
      </c>
      <c r="B12" s="7">
        <v>10</v>
      </c>
      <c r="C12" s="7">
        <v>1</v>
      </c>
      <c r="D12" s="6">
        <f t="shared" si="3"/>
        <v>10</v>
      </c>
      <c r="F12" s="11"/>
      <c r="G12" s="6">
        <v>607</v>
      </c>
      <c r="H12" s="6">
        <v>13671</v>
      </c>
      <c r="I12" s="6">
        <v>13695</v>
      </c>
      <c r="J12" s="7">
        <f>I12-H12</f>
        <v>24</v>
      </c>
      <c r="K12" s="12">
        <f>(H12+I12)/2</f>
        <v>13683</v>
      </c>
      <c r="L12" s="13">
        <f>K12/G12</f>
        <v>22.542009884678748</v>
      </c>
      <c r="M12" s="14">
        <f>J12/K12</f>
        <v>1.7540013155009867E-3</v>
      </c>
    </row>
    <row r="13" spans="1:15" ht="13.5" customHeight="1">
      <c r="A13" s="7" t="s">
        <v>90</v>
      </c>
      <c r="B13" s="7">
        <v>5</v>
      </c>
      <c r="C13" s="7">
        <v>1</v>
      </c>
      <c r="D13" s="6">
        <f t="shared" si="3"/>
        <v>5</v>
      </c>
      <c r="F13" s="11"/>
      <c r="G13" s="6">
        <v>501</v>
      </c>
      <c r="H13" s="6">
        <v>12545</v>
      </c>
      <c r="I13" s="6">
        <v>12571</v>
      </c>
      <c r="J13" s="7">
        <f t="shared" ref="J13:J28" si="4">I13-H13</f>
        <v>26</v>
      </c>
      <c r="K13" s="12">
        <f t="shared" ref="K13:K28" si="5">(H13+I13)/2</f>
        <v>12558</v>
      </c>
      <c r="L13" s="13">
        <f t="shared" ref="L13:L28" si="6">K13/G13</f>
        <v>25.065868263473053</v>
      </c>
      <c r="M13" s="14">
        <f t="shared" ref="M13:M28" si="7">J13/K13</f>
        <v>2.070393374741201E-3</v>
      </c>
    </row>
    <row r="14" spans="1:15" ht="13.5" customHeight="1">
      <c r="A14" s="7" t="s">
        <v>98</v>
      </c>
      <c r="B14" s="7">
        <v>105</v>
      </c>
      <c r="C14" s="7">
        <v>1</v>
      </c>
      <c r="D14" s="6">
        <f>C14*B14</f>
        <v>105</v>
      </c>
      <c r="F14" s="11"/>
      <c r="G14" s="6">
        <v>431</v>
      </c>
      <c r="H14" s="6">
        <v>11285</v>
      </c>
      <c r="I14" s="6">
        <v>11300</v>
      </c>
      <c r="J14" s="7">
        <f t="shared" si="4"/>
        <v>15</v>
      </c>
      <c r="K14" s="12">
        <f t="shared" si="5"/>
        <v>11292.5</v>
      </c>
      <c r="L14" s="13">
        <f t="shared" si="6"/>
        <v>26.200696055684453</v>
      </c>
      <c r="M14" s="14">
        <f t="shared" si="7"/>
        <v>1.3283152534868275E-3</v>
      </c>
    </row>
    <row r="15" spans="1:15" ht="13.5" customHeight="1">
      <c r="A15" s="7" t="s">
        <v>92</v>
      </c>
      <c r="B15" s="7">
        <v>2.5</v>
      </c>
      <c r="C15" s="7">
        <v>1</v>
      </c>
      <c r="D15" s="6">
        <f t="shared" ref="D15" si="8">C15*B15</f>
        <v>2.5</v>
      </c>
      <c r="F15" s="11"/>
      <c r="G15" s="6">
        <v>382</v>
      </c>
      <c r="H15" s="6">
        <v>10420</v>
      </c>
      <c r="I15" s="6">
        <v>10441</v>
      </c>
      <c r="J15" s="7">
        <f t="shared" si="4"/>
        <v>21</v>
      </c>
      <c r="K15" s="12">
        <f t="shared" si="5"/>
        <v>10430.5</v>
      </c>
      <c r="L15" s="13">
        <f t="shared" si="6"/>
        <v>27.304973821989527</v>
      </c>
      <c r="M15" s="14">
        <f t="shared" si="7"/>
        <v>2.0133263026700541E-3</v>
      </c>
    </row>
    <row r="16" spans="1:15" ht="13.5" customHeight="1">
      <c r="A16" s="7" t="s">
        <v>83</v>
      </c>
      <c r="B16" s="7">
        <v>1</v>
      </c>
      <c r="C16" s="7">
        <v>2</v>
      </c>
      <c r="D16" s="6">
        <f>C16*B16</f>
        <v>2</v>
      </c>
      <c r="F16" s="11"/>
      <c r="G16" s="6">
        <v>292</v>
      </c>
      <c r="H16" s="6">
        <v>8704</v>
      </c>
      <c r="I16" s="6">
        <v>8732</v>
      </c>
      <c r="J16" s="7">
        <f t="shared" si="4"/>
        <v>28</v>
      </c>
      <c r="K16" s="12">
        <f t="shared" si="5"/>
        <v>8718</v>
      </c>
      <c r="L16" s="13">
        <f t="shared" si="6"/>
        <v>29.856164383561644</v>
      </c>
      <c r="M16" s="14">
        <f t="shared" si="7"/>
        <v>3.2117458132599219E-3</v>
      </c>
    </row>
    <row r="17" spans="1:15" ht="13.5" customHeight="1">
      <c r="A17" s="7" t="s">
        <v>84</v>
      </c>
      <c r="B17" s="7">
        <v>8</v>
      </c>
      <c r="C17" s="7">
        <v>0.3</v>
      </c>
      <c r="D17" s="6">
        <f>C17*B17</f>
        <v>2.4</v>
      </c>
      <c r="F17" s="11"/>
      <c r="G17" s="6">
        <v>256</v>
      </c>
      <c r="H17" s="6">
        <v>7881</v>
      </c>
      <c r="I17" s="6">
        <v>7899</v>
      </c>
      <c r="J17" s="7">
        <f t="shared" si="4"/>
        <v>18</v>
      </c>
      <c r="K17" s="12">
        <f t="shared" si="5"/>
        <v>7890</v>
      </c>
      <c r="L17" s="13">
        <f t="shared" si="6"/>
        <v>30.8203125</v>
      </c>
      <c r="M17" s="14">
        <f t="shared" si="7"/>
        <v>2.2813688212927757E-3</v>
      </c>
    </row>
    <row r="18" spans="1:15" ht="13.5" customHeight="1">
      <c r="A18" s="7" t="s">
        <v>91</v>
      </c>
      <c r="B18" s="7">
        <v>10</v>
      </c>
      <c r="C18" s="7">
        <v>1</v>
      </c>
      <c r="D18" s="6">
        <f>C18*B18</f>
        <v>10</v>
      </c>
      <c r="G18" s="6">
        <v>211</v>
      </c>
      <c r="H18" s="6">
        <v>6587</v>
      </c>
      <c r="I18" s="6">
        <v>6609</v>
      </c>
      <c r="J18" s="7">
        <f t="shared" si="4"/>
        <v>22</v>
      </c>
      <c r="K18" s="12">
        <f t="shared" si="5"/>
        <v>6598</v>
      </c>
      <c r="L18" s="13">
        <f t="shared" si="6"/>
        <v>31.270142180094787</v>
      </c>
      <c r="M18" s="14">
        <f t="shared" si="7"/>
        <v>3.3343437405274324E-3</v>
      </c>
    </row>
    <row r="19" spans="1:15" ht="13.5" customHeight="1">
      <c r="D19" s="26">
        <f>SUM(D3:D18)</f>
        <v>343.9</v>
      </c>
      <c r="G19" s="6">
        <v>184</v>
      </c>
      <c r="H19" s="6">
        <v>5938</v>
      </c>
      <c r="I19" s="6">
        <v>5972</v>
      </c>
      <c r="J19" s="7">
        <f t="shared" si="4"/>
        <v>34</v>
      </c>
      <c r="K19" s="12">
        <f t="shared" si="5"/>
        <v>5955</v>
      </c>
      <c r="L19" s="13">
        <f t="shared" si="6"/>
        <v>32.364130434782609</v>
      </c>
      <c r="M19" s="14">
        <f t="shared" si="7"/>
        <v>5.7094878253568428E-3</v>
      </c>
    </row>
    <row r="20" spans="1:15" ht="13.5" customHeight="1">
      <c r="A20" s="7" t="s">
        <v>76</v>
      </c>
      <c r="B20" s="7">
        <v>10</v>
      </c>
      <c r="C20" s="7">
        <v>1</v>
      </c>
      <c r="D20" s="6">
        <f t="shared" ref="D20:D25" si="9">C20*B20</f>
        <v>10</v>
      </c>
      <c r="G20" s="6">
        <v>152</v>
      </c>
      <c r="H20" s="6">
        <v>5583</v>
      </c>
      <c r="I20" s="6">
        <v>5594</v>
      </c>
      <c r="J20" s="7">
        <f t="shared" si="4"/>
        <v>11</v>
      </c>
      <c r="K20" s="12">
        <f t="shared" si="5"/>
        <v>5588.5</v>
      </c>
      <c r="L20" s="13">
        <f t="shared" si="6"/>
        <v>36.766447368421055</v>
      </c>
      <c r="M20" s="14">
        <f t="shared" si="7"/>
        <v>1.9683278160508187E-3</v>
      </c>
    </row>
    <row r="21" spans="1:15" ht="13.5" customHeight="1">
      <c r="A21" s="7" t="s">
        <v>5</v>
      </c>
      <c r="B21" s="7">
        <v>15</v>
      </c>
      <c r="C21" s="7">
        <v>1</v>
      </c>
      <c r="D21" s="6">
        <f t="shared" si="9"/>
        <v>15</v>
      </c>
      <c r="G21" s="6">
        <v>126</v>
      </c>
      <c r="H21" s="6">
        <v>4727</v>
      </c>
      <c r="I21" s="6">
        <v>4744</v>
      </c>
      <c r="J21" s="7">
        <f t="shared" si="4"/>
        <v>17</v>
      </c>
      <c r="K21" s="12">
        <f t="shared" si="5"/>
        <v>4735.5</v>
      </c>
      <c r="L21" s="13">
        <f t="shared" si="6"/>
        <v>37.583333333333336</v>
      </c>
      <c r="M21" s="14">
        <f t="shared" si="7"/>
        <v>3.5899060289304192E-3</v>
      </c>
    </row>
    <row r="22" spans="1:15" ht="13.5" customHeight="1">
      <c r="A22" s="7" t="s">
        <v>82</v>
      </c>
      <c r="B22" s="7">
        <v>9</v>
      </c>
      <c r="C22" s="7">
        <v>1</v>
      </c>
      <c r="D22" s="6">
        <f t="shared" si="9"/>
        <v>9</v>
      </c>
      <c r="G22" s="6">
        <v>109</v>
      </c>
      <c r="H22" s="6">
        <v>4206</v>
      </c>
      <c r="I22" s="6">
        <v>4215</v>
      </c>
      <c r="J22" s="7">
        <f t="shared" si="4"/>
        <v>9</v>
      </c>
      <c r="K22" s="12">
        <f t="shared" si="5"/>
        <v>4210.5</v>
      </c>
      <c r="L22" s="13">
        <f t="shared" si="6"/>
        <v>38.628440366972477</v>
      </c>
      <c r="M22" s="14">
        <f t="shared" si="7"/>
        <v>2.1375133594584966E-3</v>
      </c>
    </row>
    <row r="23" spans="1:15" ht="13.5" customHeight="1">
      <c r="A23" s="7" t="s">
        <v>100</v>
      </c>
      <c r="B23" s="7">
        <v>15</v>
      </c>
      <c r="C23" s="7">
        <v>1</v>
      </c>
      <c r="D23" s="6">
        <f t="shared" si="9"/>
        <v>15</v>
      </c>
      <c r="G23" s="6">
        <v>101</v>
      </c>
      <c r="H23" s="6">
        <v>3924</v>
      </c>
      <c r="I23" s="6">
        <v>3932</v>
      </c>
      <c r="J23" s="7">
        <f t="shared" si="4"/>
        <v>8</v>
      </c>
      <c r="K23" s="12">
        <f t="shared" si="5"/>
        <v>3928</v>
      </c>
      <c r="L23" s="13">
        <f t="shared" si="6"/>
        <v>38.89108910891089</v>
      </c>
      <c r="M23" s="14">
        <f t="shared" si="7"/>
        <v>2.0366598778004071E-3</v>
      </c>
      <c r="N23" s="14"/>
    </row>
    <row r="24" spans="1:15" ht="13.5" customHeight="1">
      <c r="A24" s="7" t="s">
        <v>77</v>
      </c>
      <c r="B24" s="7">
        <v>8</v>
      </c>
      <c r="C24" s="7">
        <v>1</v>
      </c>
      <c r="D24" s="6">
        <f t="shared" si="9"/>
        <v>8</v>
      </c>
      <c r="G24" s="6">
        <v>81</v>
      </c>
      <c r="H24" s="6">
        <v>2928</v>
      </c>
      <c r="I24" s="6">
        <v>2933</v>
      </c>
      <c r="J24" s="7">
        <f t="shared" si="4"/>
        <v>5</v>
      </c>
      <c r="K24" s="12">
        <f t="shared" si="5"/>
        <v>2930.5</v>
      </c>
      <c r="L24" s="13">
        <f t="shared" si="6"/>
        <v>36.179012345679013</v>
      </c>
      <c r="M24" s="14">
        <f t="shared" si="7"/>
        <v>1.7061934823408974E-3</v>
      </c>
      <c r="N24" s="14"/>
    </row>
    <row r="25" spans="1:15" ht="13.5" customHeight="1">
      <c r="A25" s="7" t="s">
        <v>6</v>
      </c>
      <c r="B25" s="7">
        <v>5</v>
      </c>
      <c r="C25" s="7">
        <v>1</v>
      </c>
      <c r="D25" s="6">
        <f t="shared" si="9"/>
        <v>5</v>
      </c>
      <c r="G25" s="6">
        <v>68</v>
      </c>
      <c r="H25" s="6">
        <v>2824</v>
      </c>
      <c r="I25" s="6">
        <v>2828</v>
      </c>
      <c r="J25" s="7">
        <f t="shared" si="4"/>
        <v>4</v>
      </c>
      <c r="K25" s="12">
        <f t="shared" si="5"/>
        <v>2826</v>
      </c>
      <c r="L25" s="13">
        <f t="shared" si="6"/>
        <v>41.558823529411768</v>
      </c>
      <c r="M25" s="14">
        <f t="shared" si="7"/>
        <v>1.4154281670205238E-3</v>
      </c>
      <c r="N25" s="14"/>
    </row>
    <row r="26" spans="1:15" ht="13.5" customHeight="1">
      <c r="A26" s="7" t="s">
        <v>361</v>
      </c>
      <c r="B26" s="7">
        <v>0.7</v>
      </c>
      <c r="C26" s="7">
        <v>1</v>
      </c>
      <c r="D26" s="6">
        <f t="shared" ref="D26" si="10">C26*B26</f>
        <v>0.7</v>
      </c>
      <c r="G26" s="6"/>
      <c r="J26" s="7"/>
      <c r="K26" s="12"/>
      <c r="L26" s="13"/>
      <c r="M26" s="14"/>
      <c r="N26" s="14"/>
    </row>
    <row r="27" spans="1:15" ht="13.5" customHeight="1">
      <c r="A27" s="7" t="s">
        <v>362</v>
      </c>
      <c r="B27" s="7">
        <v>1</v>
      </c>
      <c r="C27" s="7">
        <v>1</v>
      </c>
      <c r="D27" s="6">
        <f t="shared" ref="D27" si="11">C27*B27</f>
        <v>1</v>
      </c>
      <c r="G27" s="6">
        <v>77</v>
      </c>
      <c r="H27" s="6">
        <v>935</v>
      </c>
      <c r="I27" s="6">
        <v>1092</v>
      </c>
      <c r="J27" s="7">
        <f t="shared" si="4"/>
        <v>157</v>
      </c>
      <c r="K27" s="12">
        <f t="shared" si="5"/>
        <v>1013.5</v>
      </c>
      <c r="L27" s="13">
        <f t="shared" si="6"/>
        <v>13.162337662337663</v>
      </c>
      <c r="M27" s="14">
        <f t="shared" si="7"/>
        <v>0.15490873211642822</v>
      </c>
      <c r="N27" s="14"/>
    </row>
    <row r="28" spans="1:15" ht="13.5" customHeight="1">
      <c r="A28" s="7" t="s">
        <v>99</v>
      </c>
      <c r="B28" s="7">
        <v>5.5</v>
      </c>
      <c r="C28" s="7">
        <v>1</v>
      </c>
      <c r="D28" s="6">
        <f t="shared" ref="D28" si="12">C28*B28</f>
        <v>5.5</v>
      </c>
      <c r="G28" s="6">
        <v>2</v>
      </c>
      <c r="H28" s="6">
        <v>45</v>
      </c>
      <c r="I28" s="6">
        <v>49</v>
      </c>
      <c r="J28" s="7">
        <f t="shared" si="4"/>
        <v>4</v>
      </c>
      <c r="K28" s="12">
        <f t="shared" si="5"/>
        <v>47</v>
      </c>
      <c r="L28" s="13">
        <f t="shared" si="6"/>
        <v>23.5</v>
      </c>
      <c r="M28" s="14">
        <f t="shared" si="7"/>
        <v>8.5106382978723402E-2</v>
      </c>
      <c r="N28" s="14"/>
    </row>
    <row r="29" spans="1:15" ht="13.5" customHeight="1">
      <c r="A29" s="7" t="s">
        <v>80</v>
      </c>
      <c r="B29" s="7">
        <v>53</v>
      </c>
      <c r="C29" s="7">
        <v>1</v>
      </c>
      <c r="D29" s="6">
        <f t="shared" ref="D29:D30" si="13">C29*B29</f>
        <v>53</v>
      </c>
    </row>
    <row r="30" spans="1:15" ht="13.5" customHeight="1">
      <c r="A30" s="7" t="s">
        <v>81</v>
      </c>
      <c r="B30" s="7">
        <v>3</v>
      </c>
      <c r="C30" s="7">
        <v>1</v>
      </c>
      <c r="D30" s="6">
        <f t="shared" si="13"/>
        <v>3</v>
      </c>
      <c r="G30" s="7" t="s">
        <v>9</v>
      </c>
      <c r="N30" s="7" t="s">
        <v>10</v>
      </c>
      <c r="O30" s="7" t="s">
        <v>11</v>
      </c>
    </row>
    <row r="31" spans="1:15" ht="13.5" customHeight="1">
      <c r="D31" s="26">
        <f>SUM(D20:D30)</f>
        <v>125.2</v>
      </c>
      <c r="G31" s="7" t="s">
        <v>12</v>
      </c>
      <c r="N31" s="7" t="s">
        <v>13</v>
      </c>
      <c r="O31" s="7" t="s">
        <v>14</v>
      </c>
    </row>
    <row r="32" spans="1:15" ht="13.5" customHeight="1">
      <c r="D32" s="6"/>
      <c r="N32" s="7" t="s">
        <v>15</v>
      </c>
      <c r="O32" s="7" t="s">
        <v>16</v>
      </c>
    </row>
    <row r="33" spans="7:15" ht="13.5" customHeight="1">
      <c r="G33" s="7" t="s">
        <v>17</v>
      </c>
      <c r="L33" s="15">
        <f>9.7*2.54/5*3</f>
        <v>14.7828</v>
      </c>
      <c r="N33" s="7" t="s">
        <v>18</v>
      </c>
      <c r="O33" s="7" t="s">
        <v>19</v>
      </c>
    </row>
    <row r="34" spans="7:15" ht="13.5" customHeight="1">
      <c r="G34" s="7" t="s">
        <v>20</v>
      </c>
      <c r="L34" s="15">
        <f>9.7*2.54/5*4</f>
        <v>19.7104</v>
      </c>
      <c r="N34" s="7" t="s">
        <v>21</v>
      </c>
      <c r="O34" s="7" t="s">
        <v>22</v>
      </c>
    </row>
    <row r="35" spans="7:15" ht="13.5" customHeight="1">
      <c r="G35" s="7" t="s">
        <v>23</v>
      </c>
      <c r="N35" s="7" t="s">
        <v>24</v>
      </c>
      <c r="O35" s="7" t="s">
        <v>25</v>
      </c>
    </row>
    <row r="36" spans="7:15" ht="13.5" customHeight="1">
      <c r="G36" s="7" t="s">
        <v>26</v>
      </c>
      <c r="N36" s="7" t="s">
        <v>27</v>
      </c>
      <c r="O36" s="7" t="s">
        <v>28</v>
      </c>
    </row>
    <row r="37" spans="7:15" ht="13.5" customHeight="1">
      <c r="G37" s="7" t="s">
        <v>29</v>
      </c>
      <c r="N37" s="7" t="s">
        <v>30</v>
      </c>
    </row>
    <row r="38" spans="7:15" ht="13.5" customHeight="1">
      <c r="G38" s="7" t="s">
        <v>31</v>
      </c>
      <c r="N38" s="7" t="s">
        <v>32</v>
      </c>
    </row>
    <row r="39" spans="7:15" ht="13.5" customHeight="1">
      <c r="N39" s="7" t="s">
        <v>33</v>
      </c>
    </row>
    <row r="40" spans="7:15" ht="13.5" customHeight="1">
      <c r="N40" s="7" t="s">
        <v>34</v>
      </c>
    </row>
    <row r="41" spans="7:15" ht="13.5" customHeight="1">
      <c r="G41" s="7" t="s">
        <v>35</v>
      </c>
      <c r="H41" s="16" t="s">
        <v>17</v>
      </c>
      <c r="N41" s="7" t="s">
        <v>36</v>
      </c>
    </row>
    <row r="42" spans="7:15" ht="13.5" customHeight="1">
      <c r="G42" s="7" t="s">
        <v>37</v>
      </c>
      <c r="H42" s="16" t="s">
        <v>38</v>
      </c>
      <c r="N42" s="7" t="s">
        <v>39</v>
      </c>
    </row>
    <row r="43" spans="7:15" ht="13.5" customHeight="1">
      <c r="G43" s="7" t="s">
        <v>40</v>
      </c>
      <c r="H43" s="16" t="s">
        <v>41</v>
      </c>
      <c r="N43" s="7" t="s">
        <v>42</v>
      </c>
    </row>
    <row r="44" spans="7:15" ht="13.5" customHeight="1">
      <c r="G44" s="7" t="s">
        <v>43</v>
      </c>
      <c r="H44" s="16" t="s">
        <v>44</v>
      </c>
      <c r="N44" s="7" t="s">
        <v>45</v>
      </c>
    </row>
    <row r="45" spans="7:15" ht="13.5" customHeight="1">
      <c r="G45" s="7" t="s">
        <v>46</v>
      </c>
      <c r="H45" s="16" t="s">
        <v>47</v>
      </c>
      <c r="N45" s="7" t="s">
        <v>48</v>
      </c>
    </row>
    <row r="46" spans="7:15" ht="13.5" customHeight="1">
      <c r="G46" s="7" t="s">
        <v>49</v>
      </c>
      <c r="H46" s="17">
        <v>41886</v>
      </c>
      <c r="N46" s="7" t="s">
        <v>50</v>
      </c>
    </row>
    <row r="47" spans="7:15" ht="13.5" customHeight="1">
      <c r="N47" s="7" t="s">
        <v>51</v>
      </c>
    </row>
    <row r="48" spans="7:15" ht="13.5" customHeight="1">
      <c r="G48" s="7" t="s">
        <v>52</v>
      </c>
      <c r="I48" s="7" t="s">
        <v>53</v>
      </c>
      <c r="K48" s="7">
        <f>363/325</f>
        <v>1.1169230769230769</v>
      </c>
      <c r="N48" s="7" t="s">
        <v>54</v>
      </c>
    </row>
    <row r="49" spans="6:12" ht="13.5" customHeight="1">
      <c r="G49" s="7" t="s">
        <v>55</v>
      </c>
    </row>
    <row r="52" spans="6:12" ht="13.5" customHeight="1">
      <c r="G52" s="6" t="s">
        <v>58</v>
      </c>
      <c r="H52" s="7"/>
      <c r="I52" s="6" t="s">
        <v>59</v>
      </c>
      <c r="J52" s="6" t="s">
        <v>60</v>
      </c>
      <c r="K52" s="6" t="s">
        <v>61</v>
      </c>
      <c r="L52" s="6" t="s">
        <v>62</v>
      </c>
    </row>
    <row r="53" spans="6:12" ht="13.5" customHeight="1">
      <c r="G53" s="6" t="s">
        <v>64</v>
      </c>
      <c r="I53" s="6">
        <f>1000*0.4+100*1</f>
        <v>500</v>
      </c>
      <c r="J53" s="6">
        <f>I53*0.3</f>
        <v>150</v>
      </c>
      <c r="K53" s="19">
        <f>1000*D75+100*D76</f>
        <v>19.322751322751323</v>
      </c>
      <c r="L53" s="20">
        <f>J53-K53</f>
        <v>130.67724867724868</v>
      </c>
    </row>
    <row r="54" spans="6:12" ht="13.5" customHeight="1">
      <c r="G54" s="6" t="s">
        <v>66</v>
      </c>
      <c r="I54" s="6">
        <f>I53*1.5</f>
        <v>750</v>
      </c>
      <c r="J54" s="6">
        <f>J53*1.5</f>
        <v>225</v>
      </c>
      <c r="K54" s="20">
        <f>K53*1.5</f>
        <v>28.984126984126984</v>
      </c>
      <c r="L54" s="20">
        <f>L53*1.5</f>
        <v>196.01587301587301</v>
      </c>
    </row>
    <row r="55" spans="6:12" ht="13.5" customHeight="1">
      <c r="G55" s="6" t="s">
        <v>68</v>
      </c>
      <c r="I55" s="6">
        <f>I53*2</f>
        <v>1000</v>
      </c>
      <c r="J55" s="6">
        <f>J53*2</f>
        <v>300</v>
      </c>
      <c r="K55" s="20">
        <f>K53*2</f>
        <v>38.645502645502646</v>
      </c>
      <c r="L55" s="20">
        <f>L53*2</f>
        <v>261.35449735449737</v>
      </c>
    </row>
    <row r="63" spans="6:12" ht="13.5" customHeight="1">
      <c r="G63" s="6"/>
    </row>
    <row r="64" spans="6:12" ht="13.5" customHeight="1">
      <c r="F64" s="22"/>
      <c r="G64" s="23"/>
      <c r="H64" s="24"/>
      <c r="I64" s="25"/>
    </row>
    <row r="65" spans="1:9" ht="13.5" customHeight="1">
      <c r="F65" s="22"/>
      <c r="G65" s="23"/>
      <c r="H65" s="24"/>
      <c r="I65" s="25"/>
    </row>
    <row r="66" spans="1:9" ht="13.5" customHeight="1">
      <c r="F66" s="22"/>
      <c r="G66" s="23"/>
      <c r="H66" s="24"/>
      <c r="I66" s="25"/>
    </row>
    <row r="67" spans="1:9" ht="13.5" customHeight="1">
      <c r="F67" s="22"/>
      <c r="G67" s="23"/>
      <c r="H67" s="24"/>
      <c r="I67" s="25"/>
    </row>
    <row r="68" spans="1:9" ht="13.5" customHeight="1">
      <c r="F68" s="22"/>
      <c r="G68" s="23"/>
      <c r="H68" s="24"/>
      <c r="I68" s="25"/>
    </row>
    <row r="69" spans="1:9" ht="13.5" customHeight="1">
      <c r="F69" s="22"/>
    </row>
    <row r="70" spans="1:9" ht="13.5" customHeight="1">
      <c r="F70" s="22"/>
    </row>
    <row r="71" spans="1:9" ht="13.5" customHeight="1">
      <c r="B71" s="6" t="s">
        <v>56</v>
      </c>
      <c r="C71" s="7" t="s">
        <v>2</v>
      </c>
      <c r="D71" s="6" t="s">
        <v>57</v>
      </c>
      <c r="F71" s="22"/>
    </row>
    <row r="72" spans="1:9" ht="13.5" customHeight="1">
      <c r="A72" s="7" t="s">
        <v>63</v>
      </c>
      <c r="B72" s="6">
        <v>5</v>
      </c>
      <c r="C72" s="7">
        <f>2/1000</f>
        <v>2E-3</v>
      </c>
      <c r="D72" s="18">
        <f>B72*C72</f>
        <v>0.01</v>
      </c>
    </row>
    <row r="73" spans="1:9" ht="13.5" customHeight="1">
      <c r="A73" s="7" t="s">
        <v>65</v>
      </c>
      <c r="B73" s="6">
        <v>1</v>
      </c>
      <c r="C73" s="7">
        <f>(50/1000*24)/(75*3.78)</f>
        <v>4.2328042328042331E-3</v>
      </c>
      <c r="D73" s="21">
        <f>B73*C73</f>
        <v>4.2328042328042331E-3</v>
      </c>
    </row>
    <row r="74" spans="1:9" ht="13.5" customHeight="1">
      <c r="A74" s="7" t="s">
        <v>67</v>
      </c>
      <c r="B74" s="6">
        <v>1</v>
      </c>
      <c r="C74" s="7">
        <f>2200/(1000*60)</f>
        <v>3.6666666666666667E-2</v>
      </c>
      <c r="D74" s="21">
        <f>B74*C74</f>
        <v>3.6666666666666667E-2</v>
      </c>
    </row>
    <row r="75" spans="1:9" ht="13.5" customHeight="1">
      <c r="A75" s="7" t="s">
        <v>69</v>
      </c>
      <c r="D75" s="21">
        <f>D72+D73</f>
        <v>1.4232804232804232E-2</v>
      </c>
    </row>
    <row r="76" spans="1:9" ht="13.5" customHeight="1">
      <c r="A76" s="7" t="s">
        <v>70</v>
      </c>
      <c r="D76" s="21">
        <f>D74+D75</f>
        <v>5.0899470899470903E-2</v>
      </c>
    </row>
  </sheetData>
  <pageMargins left="0.75" right="0.75" top="1" bottom="1" header="0.5" footer="0.5"/>
  <pageSetup paperSize="9" orientation="portrait"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0"/>
  <sheetViews>
    <sheetView zoomScaleNormal="100" workbookViewId="0">
      <pane ySplit="2" topLeftCell="A3" activePane="bottomLeft" state="frozen"/>
      <selection pane="bottomLeft" activeCell="M5" sqref="M5:M7"/>
    </sheetView>
  </sheetViews>
  <sheetFormatPr defaultRowHeight="13.5" customHeight="1"/>
  <cols>
    <col min="1" max="1" width="36.25" style="7" customWidth="1"/>
    <col min="2" max="2" width="5.25" style="7" customWidth="1"/>
    <col min="3" max="3" width="5" style="7" customWidth="1"/>
    <col min="4" max="4" width="8.5" style="7" customWidth="1"/>
    <col min="5" max="5" width="1.625" style="4" customWidth="1"/>
    <col min="6" max="6" width="9" style="8" customWidth="1"/>
    <col min="7" max="7" width="9" style="7"/>
    <col min="8" max="10" width="9" style="6"/>
    <col min="11" max="11" width="8.125" style="7" customWidth="1"/>
    <col min="12" max="12" width="7.75" style="7" customWidth="1"/>
    <col min="13" max="13" width="9" style="7"/>
    <col min="14" max="14" width="9.625" style="7" bestFit="1" customWidth="1"/>
    <col min="15" max="16384" width="9" style="7"/>
  </cols>
  <sheetData>
    <row r="1" spans="1:15" s="1" customFormat="1" ht="13.5" customHeight="1">
      <c r="A1" s="1" t="s">
        <v>0</v>
      </c>
      <c r="B1" s="1" t="s">
        <v>1</v>
      </c>
      <c r="C1" s="1" t="s">
        <v>2</v>
      </c>
      <c r="D1" s="1" t="s">
        <v>3</v>
      </c>
      <c r="E1" s="2"/>
      <c r="F1" s="3"/>
    </row>
    <row r="2" spans="1:15" ht="13.5" customHeight="1">
      <c r="A2" s="1"/>
      <c r="B2" s="1"/>
      <c r="C2" s="1"/>
      <c r="D2" s="27">
        <f>D19+D24+D35</f>
        <v>455.9</v>
      </c>
      <c r="F2" s="5"/>
      <c r="G2" s="5"/>
    </row>
    <row r="3" spans="1:15" ht="13.5" customHeight="1">
      <c r="A3" s="7" t="s">
        <v>95</v>
      </c>
      <c r="B3" s="7">
        <v>6</v>
      </c>
      <c r="C3" s="7">
        <v>1</v>
      </c>
      <c r="D3" s="6">
        <f>C3*B3</f>
        <v>6</v>
      </c>
      <c r="G3" s="8" t="s">
        <v>4</v>
      </c>
      <c r="H3" s="9">
        <v>6.0000000000000001E-3</v>
      </c>
      <c r="O3" s="7" t="s">
        <v>102</v>
      </c>
    </row>
    <row r="4" spans="1:15" ht="13.5" customHeight="1">
      <c r="A4" s="7" t="s">
        <v>94</v>
      </c>
      <c r="B4" s="7">
        <v>4</v>
      </c>
      <c r="C4" s="7">
        <v>1</v>
      </c>
      <c r="D4" s="6">
        <f>C4*B4</f>
        <v>4</v>
      </c>
      <c r="F4" s="10"/>
      <c r="G4" s="10"/>
      <c r="K4" s="6" t="s">
        <v>238</v>
      </c>
      <c r="L4" s="6" t="s">
        <v>239</v>
      </c>
      <c r="M4" s="6" t="s">
        <v>241</v>
      </c>
      <c r="O4" s="41" t="s">
        <v>236</v>
      </c>
    </row>
    <row r="5" spans="1:15" ht="13.5" customHeight="1">
      <c r="A5" s="7" t="s">
        <v>87</v>
      </c>
      <c r="B5" s="7">
        <v>5</v>
      </c>
      <c r="C5" s="7">
        <v>1</v>
      </c>
      <c r="D5" s="6">
        <f t="shared" ref="D5:D13" si="0">C5*B5</f>
        <v>5</v>
      </c>
      <c r="F5" s="11"/>
      <c r="G5" s="7" t="s">
        <v>71</v>
      </c>
      <c r="J5" s="6" t="s">
        <v>110</v>
      </c>
      <c r="K5" s="6">
        <v>38</v>
      </c>
      <c r="L5" s="6">
        <f>K5*60</f>
        <v>2280</v>
      </c>
      <c r="M5" s="25">
        <f>1000/L5</f>
        <v>0.43859649122807015</v>
      </c>
      <c r="N5" s="7" t="s">
        <v>240</v>
      </c>
      <c r="O5" s="7">
        <v>230</v>
      </c>
    </row>
    <row r="6" spans="1:15" ht="13.5" customHeight="1">
      <c r="A6" s="7" t="s">
        <v>88</v>
      </c>
      <c r="B6" s="7">
        <v>25</v>
      </c>
      <c r="C6" s="7">
        <v>1</v>
      </c>
      <c r="D6" s="6">
        <f t="shared" si="0"/>
        <v>25</v>
      </c>
      <c r="F6" s="11"/>
      <c r="G6" s="7" t="s">
        <v>72</v>
      </c>
      <c r="J6" s="6" t="s">
        <v>237</v>
      </c>
      <c r="K6" s="42">
        <v>24</v>
      </c>
      <c r="L6" s="6">
        <f t="shared" ref="L6:L7" si="1">K6*60</f>
        <v>1440</v>
      </c>
      <c r="M6" s="25">
        <f t="shared" ref="M6:M7" si="2">1000/L6</f>
        <v>0.69444444444444442</v>
      </c>
      <c r="N6" s="7" t="s">
        <v>240</v>
      </c>
      <c r="O6" s="7">
        <f>O5*3.78/24/60</f>
        <v>0.60375000000000001</v>
      </c>
    </row>
    <row r="7" spans="1:15" ht="13.5" customHeight="1">
      <c r="A7" s="7" t="s">
        <v>96</v>
      </c>
      <c r="B7" s="7">
        <v>10</v>
      </c>
      <c r="C7" s="7">
        <v>1</v>
      </c>
      <c r="D7" s="6">
        <f t="shared" si="0"/>
        <v>10</v>
      </c>
      <c r="F7" s="11"/>
      <c r="G7" s="7" t="s">
        <v>73</v>
      </c>
      <c r="J7" s="6" t="s">
        <v>82</v>
      </c>
      <c r="K7" s="42">
        <v>7.5</v>
      </c>
      <c r="L7" s="6">
        <f t="shared" si="1"/>
        <v>450</v>
      </c>
      <c r="M7" s="25">
        <f t="shared" si="2"/>
        <v>2.2222222222222223</v>
      </c>
      <c r="N7" s="7" t="s">
        <v>240</v>
      </c>
    </row>
    <row r="8" spans="1:15" ht="13.5" customHeight="1">
      <c r="A8" s="7" t="s">
        <v>79</v>
      </c>
      <c r="B8" s="7">
        <v>10</v>
      </c>
      <c r="C8" s="7">
        <v>1</v>
      </c>
      <c r="D8" s="6">
        <f>C8*B8</f>
        <v>10</v>
      </c>
      <c r="F8" s="11"/>
      <c r="G8" s="7" t="s">
        <v>74</v>
      </c>
    </row>
    <row r="9" spans="1:15" ht="13.5" customHeight="1">
      <c r="A9" s="7" t="s">
        <v>93</v>
      </c>
      <c r="B9" s="7">
        <v>60</v>
      </c>
      <c r="C9" s="7">
        <v>1</v>
      </c>
      <c r="D9" s="6">
        <f t="shared" si="0"/>
        <v>60</v>
      </c>
      <c r="F9" s="11"/>
      <c r="G9" s="7" t="s">
        <v>75</v>
      </c>
    </row>
    <row r="10" spans="1:15" ht="13.5" customHeight="1">
      <c r="A10" s="7" t="s">
        <v>89</v>
      </c>
      <c r="B10" s="7">
        <v>3</v>
      </c>
      <c r="C10" s="7">
        <v>2</v>
      </c>
      <c r="D10" s="6">
        <f t="shared" si="0"/>
        <v>6</v>
      </c>
      <c r="F10" s="11"/>
    </row>
    <row r="11" spans="1:15" ht="13.5" customHeight="1">
      <c r="A11" s="7" t="s">
        <v>101</v>
      </c>
      <c r="B11" s="7">
        <v>7</v>
      </c>
      <c r="C11" s="7">
        <v>1</v>
      </c>
      <c r="D11" s="6">
        <f t="shared" si="0"/>
        <v>7</v>
      </c>
      <c r="F11" s="11"/>
      <c r="G11" s="6" t="s">
        <v>7</v>
      </c>
      <c r="H11" s="6" t="s">
        <v>8</v>
      </c>
      <c r="J11" s="7"/>
    </row>
    <row r="12" spans="1:15" ht="13.5" customHeight="1">
      <c r="A12" s="7" t="s">
        <v>97</v>
      </c>
      <c r="B12" s="7">
        <v>10</v>
      </c>
      <c r="C12" s="7">
        <v>1</v>
      </c>
      <c r="D12" s="6">
        <f t="shared" si="0"/>
        <v>10</v>
      </c>
      <c r="F12" s="11"/>
      <c r="G12" s="6">
        <v>607</v>
      </c>
      <c r="H12" s="6">
        <v>13671</v>
      </c>
      <c r="I12" s="6">
        <v>13695</v>
      </c>
      <c r="J12" s="7">
        <f>I12-H12</f>
        <v>24</v>
      </c>
      <c r="K12" s="12">
        <f>(H12+I12)/2</f>
        <v>13683</v>
      </c>
      <c r="L12" s="13">
        <f>K12/G12</f>
        <v>22.542009884678748</v>
      </c>
      <c r="M12" s="14">
        <f>J12/K12</f>
        <v>1.7540013155009867E-3</v>
      </c>
    </row>
    <row r="13" spans="1:15" ht="13.5" customHeight="1">
      <c r="A13" s="7" t="s">
        <v>90</v>
      </c>
      <c r="B13" s="7">
        <v>5</v>
      </c>
      <c r="C13" s="7">
        <v>1</v>
      </c>
      <c r="D13" s="6">
        <f t="shared" si="0"/>
        <v>5</v>
      </c>
      <c r="F13" s="11"/>
      <c r="G13" s="6">
        <v>501</v>
      </c>
      <c r="H13" s="6">
        <v>12545</v>
      </c>
      <c r="I13" s="6">
        <v>12571</v>
      </c>
      <c r="J13" s="7">
        <f t="shared" ref="J13:J28" si="3">I13-H13</f>
        <v>26</v>
      </c>
      <c r="K13" s="12">
        <f t="shared" ref="K13:K28" si="4">(H13+I13)/2</f>
        <v>12558</v>
      </c>
      <c r="L13" s="13">
        <f t="shared" ref="L13:L28" si="5">K13/G13</f>
        <v>25.065868263473053</v>
      </c>
      <c r="M13" s="14">
        <f t="shared" ref="M13:M28" si="6">J13/K13</f>
        <v>2.070393374741201E-3</v>
      </c>
    </row>
    <row r="14" spans="1:15" ht="13.5" customHeight="1">
      <c r="A14" s="7" t="s">
        <v>98</v>
      </c>
      <c r="B14" s="7">
        <v>105</v>
      </c>
      <c r="C14" s="7">
        <v>1</v>
      </c>
      <c r="D14" s="6">
        <f>C14*B14</f>
        <v>105</v>
      </c>
      <c r="F14" s="11"/>
      <c r="G14" s="6">
        <v>431</v>
      </c>
      <c r="H14" s="6">
        <v>11285</v>
      </c>
      <c r="I14" s="6">
        <v>11300</v>
      </c>
      <c r="J14" s="7">
        <f t="shared" si="3"/>
        <v>15</v>
      </c>
      <c r="K14" s="12">
        <f t="shared" si="4"/>
        <v>11292.5</v>
      </c>
      <c r="L14" s="13">
        <f t="shared" si="5"/>
        <v>26.200696055684453</v>
      </c>
      <c r="M14" s="14">
        <f t="shared" si="6"/>
        <v>1.3283152534868275E-3</v>
      </c>
    </row>
    <row r="15" spans="1:15" ht="13.5" customHeight="1">
      <c r="A15" s="7" t="s">
        <v>92</v>
      </c>
      <c r="B15" s="7">
        <v>2.5</v>
      </c>
      <c r="C15" s="7">
        <v>1</v>
      </c>
      <c r="D15" s="6">
        <f t="shared" ref="D15" si="7">C15*B15</f>
        <v>2.5</v>
      </c>
      <c r="F15" s="11"/>
      <c r="G15" s="6">
        <v>382</v>
      </c>
      <c r="H15" s="6">
        <v>10420</v>
      </c>
      <c r="I15" s="6">
        <v>10441</v>
      </c>
      <c r="J15" s="7">
        <f t="shared" si="3"/>
        <v>21</v>
      </c>
      <c r="K15" s="12">
        <f t="shared" si="4"/>
        <v>10430.5</v>
      </c>
      <c r="L15" s="13">
        <f t="shared" si="5"/>
        <v>27.304973821989527</v>
      </c>
      <c r="M15" s="14">
        <f t="shared" si="6"/>
        <v>2.0133263026700541E-3</v>
      </c>
    </row>
    <row r="16" spans="1:15" ht="13.5" customHeight="1">
      <c r="A16" s="7" t="s">
        <v>83</v>
      </c>
      <c r="B16" s="7">
        <v>1</v>
      </c>
      <c r="C16" s="7">
        <v>4</v>
      </c>
      <c r="D16" s="6">
        <f>C16*B16</f>
        <v>4</v>
      </c>
      <c r="F16" s="11"/>
      <c r="G16" s="6">
        <v>292</v>
      </c>
      <c r="H16" s="6">
        <v>8704</v>
      </c>
      <c r="I16" s="6">
        <v>8732</v>
      </c>
      <c r="J16" s="7">
        <f t="shared" si="3"/>
        <v>28</v>
      </c>
      <c r="K16" s="12">
        <f t="shared" si="4"/>
        <v>8718</v>
      </c>
      <c r="L16" s="13">
        <f t="shared" si="5"/>
        <v>29.856164383561644</v>
      </c>
      <c r="M16" s="14">
        <f t="shared" si="6"/>
        <v>3.2117458132599219E-3</v>
      </c>
    </row>
    <row r="17" spans="1:15" ht="13.5" customHeight="1">
      <c r="A17" s="7" t="s">
        <v>84</v>
      </c>
      <c r="B17" s="7">
        <v>8</v>
      </c>
      <c r="C17" s="7">
        <v>0.3</v>
      </c>
      <c r="D17" s="6">
        <f>C17*B17</f>
        <v>2.4</v>
      </c>
      <c r="F17" s="11"/>
      <c r="G17" s="6">
        <v>256</v>
      </c>
      <c r="H17" s="6">
        <v>7881</v>
      </c>
      <c r="I17" s="6">
        <v>7899</v>
      </c>
      <c r="J17" s="7">
        <f t="shared" si="3"/>
        <v>18</v>
      </c>
      <c r="K17" s="12">
        <f t="shared" si="4"/>
        <v>7890</v>
      </c>
      <c r="L17" s="13">
        <f t="shared" si="5"/>
        <v>30.8203125</v>
      </c>
      <c r="M17" s="14">
        <f t="shared" si="6"/>
        <v>2.2813688212927757E-3</v>
      </c>
    </row>
    <row r="18" spans="1:15" ht="13.5" customHeight="1">
      <c r="A18" s="7" t="s">
        <v>91</v>
      </c>
      <c r="B18" s="7">
        <v>10</v>
      </c>
      <c r="C18" s="7">
        <v>1</v>
      </c>
      <c r="D18" s="6">
        <f>C18*B18</f>
        <v>10</v>
      </c>
      <c r="G18" s="6">
        <v>211</v>
      </c>
      <c r="H18" s="6">
        <v>6587</v>
      </c>
      <c r="I18" s="6">
        <v>6609</v>
      </c>
      <c r="J18" s="7">
        <f t="shared" si="3"/>
        <v>22</v>
      </c>
      <c r="K18" s="12">
        <f t="shared" si="4"/>
        <v>6598</v>
      </c>
      <c r="L18" s="13">
        <f t="shared" si="5"/>
        <v>31.270142180094787</v>
      </c>
      <c r="M18" s="14">
        <f t="shared" si="6"/>
        <v>3.3343437405274324E-3</v>
      </c>
    </row>
    <row r="19" spans="1:15" ht="13.5" customHeight="1">
      <c r="D19" s="26">
        <f>SUM(D3:D18)</f>
        <v>271.89999999999998</v>
      </c>
      <c r="G19" s="6">
        <v>184</v>
      </c>
      <c r="H19" s="6">
        <v>5938</v>
      </c>
      <c r="I19" s="6">
        <v>5972</v>
      </c>
      <c r="J19" s="7">
        <f t="shared" si="3"/>
        <v>34</v>
      </c>
      <c r="K19" s="12">
        <f t="shared" si="4"/>
        <v>5955</v>
      </c>
      <c r="L19" s="13">
        <f t="shared" si="5"/>
        <v>32.364130434782609</v>
      </c>
      <c r="M19" s="14">
        <f t="shared" si="6"/>
        <v>5.7094878253568428E-3</v>
      </c>
    </row>
    <row r="20" spans="1:15" ht="13.5" customHeight="1">
      <c r="A20" s="7" t="s">
        <v>86</v>
      </c>
      <c r="B20" s="7">
        <v>30</v>
      </c>
      <c r="C20" s="7">
        <v>1</v>
      </c>
      <c r="D20" s="6">
        <f t="shared" ref="D20:D23" si="8">C20*B20</f>
        <v>30</v>
      </c>
      <c r="G20" s="6">
        <v>152</v>
      </c>
      <c r="H20" s="6">
        <v>5583</v>
      </c>
      <c r="I20" s="6">
        <v>5594</v>
      </c>
      <c r="J20" s="7">
        <f t="shared" si="3"/>
        <v>11</v>
      </c>
      <c r="K20" s="12">
        <f t="shared" si="4"/>
        <v>5588.5</v>
      </c>
      <c r="L20" s="13">
        <f t="shared" si="5"/>
        <v>36.766447368421055</v>
      </c>
      <c r="M20" s="14">
        <f t="shared" si="6"/>
        <v>1.9683278160508187E-3</v>
      </c>
    </row>
    <row r="21" spans="1:15" ht="13.5" customHeight="1">
      <c r="A21" s="7" t="s">
        <v>85</v>
      </c>
      <c r="B21" s="7">
        <v>25</v>
      </c>
      <c r="C21" s="7">
        <v>1</v>
      </c>
      <c r="D21" s="6">
        <f t="shared" si="8"/>
        <v>25</v>
      </c>
      <c r="G21" s="6">
        <v>126</v>
      </c>
      <c r="H21" s="6">
        <v>4727</v>
      </c>
      <c r="I21" s="6">
        <v>4744</v>
      </c>
      <c r="J21" s="7">
        <f t="shared" si="3"/>
        <v>17</v>
      </c>
      <c r="K21" s="12">
        <f t="shared" si="4"/>
        <v>4735.5</v>
      </c>
      <c r="L21" s="13">
        <f t="shared" si="5"/>
        <v>37.583333333333336</v>
      </c>
      <c r="M21" s="14">
        <f t="shared" si="6"/>
        <v>3.5899060289304192E-3</v>
      </c>
    </row>
    <row r="22" spans="1:15" ht="13.5" customHeight="1">
      <c r="A22" s="7" t="s">
        <v>92</v>
      </c>
      <c r="B22" s="7">
        <v>2.5</v>
      </c>
      <c r="C22" s="7">
        <v>1</v>
      </c>
      <c r="D22" s="6">
        <f t="shared" si="8"/>
        <v>2.5</v>
      </c>
      <c r="G22" s="6">
        <v>109</v>
      </c>
      <c r="H22" s="6">
        <v>4206</v>
      </c>
      <c r="I22" s="6">
        <v>4215</v>
      </c>
      <c r="J22" s="7">
        <f t="shared" si="3"/>
        <v>9</v>
      </c>
      <c r="K22" s="12">
        <f t="shared" si="4"/>
        <v>4210.5</v>
      </c>
      <c r="L22" s="13">
        <f t="shared" si="5"/>
        <v>38.628440366972477</v>
      </c>
      <c r="M22" s="14">
        <f t="shared" si="6"/>
        <v>2.1375133594584966E-3</v>
      </c>
    </row>
    <row r="23" spans="1:15" ht="13.5" customHeight="1">
      <c r="A23" s="7" t="s">
        <v>90</v>
      </c>
      <c r="B23" s="7">
        <v>2</v>
      </c>
      <c r="C23" s="7">
        <v>1</v>
      </c>
      <c r="D23" s="6">
        <f t="shared" si="8"/>
        <v>2</v>
      </c>
      <c r="G23" s="6">
        <v>101</v>
      </c>
      <c r="H23" s="6">
        <v>3924</v>
      </c>
      <c r="I23" s="6">
        <v>3932</v>
      </c>
      <c r="J23" s="7">
        <f t="shared" si="3"/>
        <v>8</v>
      </c>
      <c r="K23" s="12">
        <f t="shared" si="4"/>
        <v>3928</v>
      </c>
      <c r="L23" s="13">
        <f t="shared" si="5"/>
        <v>38.89108910891089</v>
      </c>
      <c r="M23" s="14">
        <f t="shared" si="6"/>
        <v>2.0366598778004071E-3</v>
      </c>
      <c r="N23" s="14"/>
    </row>
    <row r="24" spans="1:15" ht="13.5" customHeight="1">
      <c r="D24" s="26">
        <f>SUM(D20:D23)</f>
        <v>59.5</v>
      </c>
      <c r="G24" s="6">
        <v>81</v>
      </c>
      <c r="H24" s="6">
        <v>2928</v>
      </c>
      <c r="I24" s="6">
        <v>2933</v>
      </c>
      <c r="J24" s="7">
        <f t="shared" si="3"/>
        <v>5</v>
      </c>
      <c r="K24" s="12">
        <f t="shared" si="4"/>
        <v>2930.5</v>
      </c>
      <c r="L24" s="13">
        <f t="shared" si="5"/>
        <v>36.179012345679013</v>
      </c>
      <c r="M24" s="14">
        <f t="shared" si="6"/>
        <v>1.7061934823408974E-3</v>
      </c>
      <c r="N24" s="14"/>
    </row>
    <row r="25" spans="1:15" ht="13.5" customHeight="1">
      <c r="A25" s="7" t="s">
        <v>76</v>
      </c>
      <c r="B25" s="7">
        <v>10</v>
      </c>
      <c r="C25" s="7">
        <v>1</v>
      </c>
      <c r="D25" s="6">
        <f t="shared" ref="D25:D34" si="9">C25*B25</f>
        <v>10</v>
      </c>
      <c r="G25" s="6">
        <v>68</v>
      </c>
      <c r="H25" s="6">
        <v>2824</v>
      </c>
      <c r="I25" s="6">
        <v>2828</v>
      </c>
      <c r="J25" s="7">
        <f t="shared" si="3"/>
        <v>4</v>
      </c>
      <c r="K25" s="12">
        <f t="shared" si="4"/>
        <v>2826</v>
      </c>
      <c r="L25" s="13">
        <f t="shared" si="5"/>
        <v>41.558823529411768</v>
      </c>
      <c r="M25" s="14">
        <f t="shared" si="6"/>
        <v>1.4154281670205238E-3</v>
      </c>
      <c r="N25" s="14"/>
    </row>
    <row r="26" spans="1:15" ht="13.5" customHeight="1">
      <c r="A26" s="7" t="s">
        <v>5</v>
      </c>
      <c r="B26" s="7">
        <v>15</v>
      </c>
      <c r="C26" s="7">
        <v>1</v>
      </c>
      <c r="D26" s="6">
        <f t="shared" si="9"/>
        <v>15</v>
      </c>
      <c r="G26" s="6"/>
      <c r="J26" s="7"/>
      <c r="K26" s="12"/>
      <c r="L26" s="13"/>
      <c r="M26" s="14"/>
      <c r="N26" s="14"/>
    </row>
    <row r="27" spans="1:15" ht="13.5" customHeight="1">
      <c r="A27" s="7" t="s">
        <v>82</v>
      </c>
      <c r="B27" s="7">
        <v>9</v>
      </c>
      <c r="C27" s="7">
        <v>1</v>
      </c>
      <c r="D27" s="6">
        <f t="shared" si="9"/>
        <v>9</v>
      </c>
      <c r="G27" s="6">
        <v>77</v>
      </c>
      <c r="H27" s="6">
        <v>935</v>
      </c>
      <c r="I27" s="6">
        <v>1092</v>
      </c>
      <c r="J27" s="7">
        <f t="shared" si="3"/>
        <v>157</v>
      </c>
      <c r="K27" s="12">
        <f t="shared" si="4"/>
        <v>1013.5</v>
      </c>
      <c r="L27" s="13">
        <f t="shared" si="5"/>
        <v>13.162337662337663</v>
      </c>
      <c r="M27" s="14">
        <f t="shared" si="6"/>
        <v>0.15490873211642822</v>
      </c>
      <c r="N27" s="14"/>
    </row>
    <row r="28" spans="1:15" ht="13.5" customHeight="1">
      <c r="A28" s="7" t="s">
        <v>100</v>
      </c>
      <c r="B28" s="7">
        <v>15</v>
      </c>
      <c r="C28" s="7">
        <v>1</v>
      </c>
      <c r="D28" s="6">
        <f t="shared" si="9"/>
        <v>15</v>
      </c>
      <c r="G28" s="6">
        <v>2</v>
      </c>
      <c r="H28" s="6">
        <v>45</v>
      </c>
      <c r="I28" s="6">
        <v>49</v>
      </c>
      <c r="J28" s="7">
        <f t="shared" si="3"/>
        <v>4</v>
      </c>
      <c r="K28" s="12">
        <f t="shared" si="4"/>
        <v>47</v>
      </c>
      <c r="L28" s="13">
        <f t="shared" si="5"/>
        <v>23.5</v>
      </c>
      <c r="M28" s="14">
        <f t="shared" si="6"/>
        <v>8.5106382978723402E-2</v>
      </c>
      <c r="N28" s="14"/>
    </row>
    <row r="29" spans="1:15" ht="13.5" customHeight="1">
      <c r="A29" s="7" t="s">
        <v>77</v>
      </c>
      <c r="B29" s="7">
        <v>8</v>
      </c>
      <c r="C29" s="7">
        <v>1</v>
      </c>
      <c r="D29" s="6">
        <f t="shared" si="9"/>
        <v>8</v>
      </c>
    </row>
    <row r="30" spans="1:15" ht="13.5" customHeight="1">
      <c r="A30" s="7" t="s">
        <v>6</v>
      </c>
      <c r="B30" s="7">
        <v>5</v>
      </c>
      <c r="C30" s="7">
        <v>1</v>
      </c>
      <c r="D30" s="6">
        <f t="shared" si="9"/>
        <v>5</v>
      </c>
      <c r="G30" s="7" t="s">
        <v>9</v>
      </c>
      <c r="N30" s="7" t="s">
        <v>10</v>
      </c>
      <c r="O30" s="7" t="s">
        <v>11</v>
      </c>
    </row>
    <row r="31" spans="1:15" ht="13.5" customHeight="1">
      <c r="A31" s="7" t="s">
        <v>78</v>
      </c>
      <c r="B31" s="7">
        <v>1</v>
      </c>
      <c r="C31" s="7">
        <v>1</v>
      </c>
      <c r="D31" s="6">
        <f t="shared" si="9"/>
        <v>1</v>
      </c>
      <c r="G31" s="7" t="s">
        <v>12</v>
      </c>
      <c r="N31" s="7" t="s">
        <v>13</v>
      </c>
      <c r="O31" s="7" t="s">
        <v>14</v>
      </c>
    </row>
    <row r="32" spans="1:15" ht="13.5" customHeight="1">
      <c r="A32" s="7" t="s">
        <v>99</v>
      </c>
      <c r="B32" s="7">
        <v>5.5</v>
      </c>
      <c r="C32" s="7">
        <v>1</v>
      </c>
      <c r="D32" s="6">
        <f t="shared" si="9"/>
        <v>5.5</v>
      </c>
      <c r="N32" s="7" t="s">
        <v>15</v>
      </c>
      <c r="O32" s="7" t="s">
        <v>16</v>
      </c>
    </row>
    <row r="33" spans="1:15" ht="13.5" customHeight="1">
      <c r="A33" s="7" t="s">
        <v>80</v>
      </c>
      <c r="B33" s="7">
        <v>53</v>
      </c>
      <c r="C33" s="7">
        <v>1</v>
      </c>
      <c r="D33" s="6">
        <f t="shared" si="9"/>
        <v>53</v>
      </c>
      <c r="G33" s="7" t="s">
        <v>17</v>
      </c>
      <c r="L33" s="15">
        <f>9.7*2.54/5*3</f>
        <v>14.7828</v>
      </c>
      <c r="N33" s="7" t="s">
        <v>18</v>
      </c>
      <c r="O33" s="7" t="s">
        <v>19</v>
      </c>
    </row>
    <row r="34" spans="1:15" ht="13.5" customHeight="1">
      <c r="A34" s="7" t="s">
        <v>81</v>
      </c>
      <c r="B34" s="7">
        <v>3</v>
      </c>
      <c r="C34" s="7">
        <v>1</v>
      </c>
      <c r="D34" s="6">
        <f t="shared" si="9"/>
        <v>3</v>
      </c>
      <c r="G34" s="7" t="s">
        <v>20</v>
      </c>
      <c r="L34" s="15">
        <f>9.7*2.54/5*4</f>
        <v>19.7104</v>
      </c>
      <c r="N34" s="7" t="s">
        <v>21</v>
      </c>
      <c r="O34" s="7" t="s">
        <v>22</v>
      </c>
    </row>
    <row r="35" spans="1:15" ht="13.5" customHeight="1">
      <c r="D35" s="26">
        <f>SUM(D25:D34)</f>
        <v>124.5</v>
      </c>
      <c r="G35" s="7" t="s">
        <v>23</v>
      </c>
      <c r="N35" s="7" t="s">
        <v>24</v>
      </c>
      <c r="O35" s="7" t="s">
        <v>25</v>
      </c>
    </row>
    <row r="36" spans="1:15" ht="13.5" customHeight="1">
      <c r="D36" s="6"/>
      <c r="G36" s="7" t="s">
        <v>26</v>
      </c>
      <c r="N36" s="7" t="s">
        <v>27</v>
      </c>
      <c r="O36" s="7" t="s">
        <v>28</v>
      </c>
    </row>
    <row r="37" spans="1:15" ht="13.5" customHeight="1">
      <c r="G37" s="7" t="s">
        <v>29</v>
      </c>
      <c r="N37" s="7" t="s">
        <v>30</v>
      </c>
    </row>
    <row r="38" spans="1:15" ht="13.5" customHeight="1">
      <c r="G38" s="7" t="s">
        <v>31</v>
      </c>
      <c r="N38" s="7" t="s">
        <v>32</v>
      </c>
    </row>
    <row r="39" spans="1:15" ht="13.5" customHeight="1">
      <c r="N39" s="7" t="s">
        <v>33</v>
      </c>
    </row>
    <row r="40" spans="1:15" ht="13.5" customHeight="1">
      <c r="N40" s="7" t="s">
        <v>34</v>
      </c>
    </row>
    <row r="41" spans="1:15" ht="13.5" customHeight="1">
      <c r="G41" s="7" t="s">
        <v>35</v>
      </c>
      <c r="H41" s="16" t="s">
        <v>17</v>
      </c>
      <c r="N41" s="7" t="s">
        <v>36</v>
      </c>
    </row>
    <row r="42" spans="1:15" ht="13.5" customHeight="1">
      <c r="G42" s="7" t="s">
        <v>37</v>
      </c>
      <c r="H42" s="16" t="s">
        <v>38</v>
      </c>
      <c r="N42" s="7" t="s">
        <v>39</v>
      </c>
    </row>
    <row r="43" spans="1:15" ht="13.5" customHeight="1">
      <c r="G43" s="7" t="s">
        <v>40</v>
      </c>
      <c r="H43" s="16" t="s">
        <v>41</v>
      </c>
      <c r="N43" s="7" t="s">
        <v>42</v>
      </c>
    </row>
    <row r="44" spans="1:15" ht="13.5" customHeight="1">
      <c r="G44" s="7" t="s">
        <v>43</v>
      </c>
      <c r="H44" s="16" t="s">
        <v>44</v>
      </c>
      <c r="N44" s="7" t="s">
        <v>45</v>
      </c>
    </row>
    <row r="45" spans="1:15" ht="13.5" customHeight="1">
      <c r="G45" s="7" t="s">
        <v>46</v>
      </c>
      <c r="H45" s="16" t="s">
        <v>47</v>
      </c>
      <c r="N45" s="7" t="s">
        <v>48</v>
      </c>
    </row>
    <row r="46" spans="1:15" ht="13.5" customHeight="1">
      <c r="G46" s="7" t="s">
        <v>49</v>
      </c>
      <c r="H46" s="17">
        <v>41886</v>
      </c>
      <c r="N46" s="7" t="s">
        <v>50</v>
      </c>
    </row>
    <row r="47" spans="1:15" ht="13.5" customHeight="1">
      <c r="N47" s="7" t="s">
        <v>51</v>
      </c>
    </row>
    <row r="48" spans="1:15" ht="13.5" customHeight="1">
      <c r="G48" s="7" t="s">
        <v>52</v>
      </c>
      <c r="I48" s="7" t="s">
        <v>53</v>
      </c>
      <c r="K48" s="7">
        <f>363/325</f>
        <v>1.1169230769230769</v>
      </c>
      <c r="N48" s="7" t="s">
        <v>54</v>
      </c>
    </row>
    <row r="49" spans="6:12" ht="13.5" customHeight="1">
      <c r="G49" s="7" t="s">
        <v>55</v>
      </c>
    </row>
    <row r="52" spans="6:12" ht="13.5" customHeight="1">
      <c r="G52" s="6" t="s">
        <v>58</v>
      </c>
      <c r="H52" s="7"/>
      <c r="I52" s="6" t="s">
        <v>59</v>
      </c>
      <c r="J52" s="6" t="s">
        <v>60</v>
      </c>
      <c r="K52" s="6" t="s">
        <v>61</v>
      </c>
      <c r="L52" s="6" t="s">
        <v>62</v>
      </c>
    </row>
    <row r="53" spans="6:12" ht="13.5" customHeight="1">
      <c r="G53" s="6" t="s">
        <v>64</v>
      </c>
      <c r="I53" s="6">
        <f>1000*0.4+100*1</f>
        <v>500</v>
      </c>
      <c r="J53" s="6">
        <f>I53*0.3</f>
        <v>150</v>
      </c>
      <c r="K53" s="19">
        <f>1000*D79+100*D80</f>
        <v>19.322751322751323</v>
      </c>
      <c r="L53" s="20">
        <f>J53-K53</f>
        <v>130.67724867724868</v>
      </c>
    </row>
    <row r="54" spans="6:12" ht="13.5" customHeight="1">
      <c r="G54" s="6" t="s">
        <v>66</v>
      </c>
      <c r="I54" s="6">
        <f>I53*1.5</f>
        <v>750</v>
      </c>
      <c r="J54" s="6">
        <f>J53*1.5</f>
        <v>225</v>
      </c>
      <c r="K54" s="20">
        <f>K53*1.5</f>
        <v>28.984126984126984</v>
      </c>
      <c r="L54" s="20">
        <f>L53*1.5</f>
        <v>196.01587301587301</v>
      </c>
    </row>
    <row r="55" spans="6:12" ht="13.5" customHeight="1">
      <c r="G55" s="6" t="s">
        <v>68</v>
      </c>
      <c r="I55" s="6">
        <f>I53*2</f>
        <v>1000</v>
      </c>
      <c r="J55" s="6">
        <f>J53*2</f>
        <v>300</v>
      </c>
      <c r="K55" s="20">
        <f>K53*2</f>
        <v>38.645502645502646</v>
      </c>
      <c r="L55" s="20">
        <f>L53*2</f>
        <v>261.35449735449737</v>
      </c>
    </row>
    <row r="63" spans="6:12" ht="13.5" customHeight="1">
      <c r="G63" s="6"/>
    </row>
    <row r="64" spans="6:12" ht="13.5" customHeight="1">
      <c r="F64" s="22"/>
      <c r="G64" s="23"/>
      <c r="H64" s="24"/>
      <c r="I64" s="25"/>
    </row>
    <row r="65" spans="1:9" ht="13.5" customHeight="1">
      <c r="F65" s="22"/>
      <c r="G65" s="23"/>
      <c r="H65" s="24"/>
      <c r="I65" s="25"/>
    </row>
    <row r="66" spans="1:9" ht="13.5" customHeight="1">
      <c r="F66" s="22"/>
      <c r="G66" s="23"/>
      <c r="H66" s="24"/>
      <c r="I66" s="25"/>
    </row>
    <row r="67" spans="1:9" ht="13.5" customHeight="1">
      <c r="F67" s="22"/>
      <c r="G67" s="23"/>
      <c r="H67" s="24"/>
      <c r="I67" s="25"/>
    </row>
    <row r="68" spans="1:9" ht="13.5" customHeight="1">
      <c r="F68" s="22"/>
      <c r="G68" s="23"/>
      <c r="H68" s="24"/>
      <c r="I68" s="25"/>
    </row>
    <row r="69" spans="1:9" ht="13.5" customHeight="1">
      <c r="F69" s="22"/>
    </row>
    <row r="70" spans="1:9" ht="13.5" customHeight="1">
      <c r="F70" s="22"/>
    </row>
    <row r="71" spans="1:9" ht="13.5" customHeight="1">
      <c r="F71" s="22"/>
    </row>
    <row r="75" spans="1:9" ht="13.5" customHeight="1">
      <c r="B75" s="6" t="s">
        <v>56</v>
      </c>
      <c r="C75" s="7" t="s">
        <v>2</v>
      </c>
      <c r="D75" s="6" t="s">
        <v>57</v>
      </c>
    </row>
    <row r="76" spans="1:9" ht="13.5" customHeight="1">
      <c r="A76" s="7" t="s">
        <v>63</v>
      </c>
      <c r="B76" s="6">
        <v>5</v>
      </c>
      <c r="C76" s="7">
        <f>2/1000</f>
        <v>2E-3</v>
      </c>
      <c r="D76" s="18">
        <f>B76*C76</f>
        <v>0.01</v>
      </c>
    </row>
    <row r="77" spans="1:9" ht="13.5" customHeight="1">
      <c r="A77" s="7" t="s">
        <v>65</v>
      </c>
      <c r="B77" s="6">
        <v>1</v>
      </c>
      <c r="C77" s="7">
        <f>(50/1000*24)/(75*3.78)</f>
        <v>4.2328042328042331E-3</v>
      </c>
      <c r="D77" s="21">
        <f>B77*C77</f>
        <v>4.2328042328042331E-3</v>
      </c>
    </row>
    <row r="78" spans="1:9" ht="13.5" customHeight="1">
      <c r="A78" s="7" t="s">
        <v>67</v>
      </c>
      <c r="B78" s="6">
        <v>1</v>
      </c>
      <c r="C78" s="7">
        <f>2200/(1000*60)</f>
        <v>3.6666666666666667E-2</v>
      </c>
      <c r="D78" s="21">
        <f>B78*C78</f>
        <v>3.6666666666666667E-2</v>
      </c>
    </row>
    <row r="79" spans="1:9" ht="13.5" customHeight="1">
      <c r="A79" s="7" t="s">
        <v>69</v>
      </c>
      <c r="D79" s="21">
        <f>D76+D77</f>
        <v>1.4232804232804232E-2</v>
      </c>
    </row>
    <row r="80" spans="1:9" ht="13.5" customHeight="1">
      <c r="A80" s="7" t="s">
        <v>70</v>
      </c>
      <c r="D80" s="21">
        <f>D78+D79</f>
        <v>5.0899470899470903E-2</v>
      </c>
    </row>
  </sheetData>
  <pageMargins left="0.75" right="0.75" top="1" bottom="1" header="0.5" footer="0.5"/>
  <pageSetup paperSize="9" orientation="portrait" verticalDpi="300" r:id="rId1"/>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74"/>
  <sheetViews>
    <sheetView zoomScaleNormal="100" workbookViewId="0">
      <pane ySplit="2" topLeftCell="A3" activePane="bottomLeft" state="frozen"/>
      <selection pane="bottomLeft" activeCell="K5" sqref="K5"/>
    </sheetView>
  </sheetViews>
  <sheetFormatPr defaultRowHeight="12"/>
  <cols>
    <col min="1" max="1" width="36.25" style="7" customWidth="1"/>
    <col min="2" max="2" width="5.25" style="7" customWidth="1"/>
    <col min="3" max="3" width="5" style="7" customWidth="1"/>
    <col min="4" max="4" width="8.5" style="7" customWidth="1"/>
    <col min="5" max="5" width="1.625" style="4" customWidth="1"/>
    <col min="6" max="6" width="9" style="8" customWidth="1"/>
    <col min="7" max="7" width="9" style="7"/>
    <col min="8" max="10" width="9" style="6"/>
    <col min="11" max="11" width="8.125" style="7" customWidth="1"/>
    <col min="12" max="12" width="7.75" style="7" customWidth="1"/>
    <col min="13" max="16384" width="9" style="7"/>
  </cols>
  <sheetData>
    <row r="1" spans="1:14" s="1" customFormat="1">
      <c r="A1" s="1" t="s">
        <v>0</v>
      </c>
      <c r="B1" s="1" t="s">
        <v>1</v>
      </c>
      <c r="C1" s="1" t="s">
        <v>2</v>
      </c>
      <c r="D1" s="1" t="s">
        <v>3</v>
      </c>
      <c r="E1" s="2"/>
      <c r="F1" s="3"/>
    </row>
    <row r="2" spans="1:14" ht="14.25">
      <c r="A2" s="1"/>
      <c r="B2" s="1"/>
      <c r="C2" s="1"/>
      <c r="D2" s="1"/>
      <c r="F2" s="5"/>
      <c r="G2" s="5"/>
    </row>
    <row r="3" spans="1:14">
      <c r="A3" s="7" t="s">
        <v>114</v>
      </c>
      <c r="B3" s="7">
        <v>280</v>
      </c>
      <c r="C3" s="7">
        <v>1</v>
      </c>
      <c r="D3" s="6">
        <f t="shared" ref="D3:D16" si="0">C3*B3</f>
        <v>280</v>
      </c>
      <c r="G3" s="8" t="s">
        <v>4</v>
      </c>
      <c r="H3" s="9">
        <v>6.0000000000000001E-3</v>
      </c>
    </row>
    <row r="4" spans="1:14">
      <c r="A4" s="7" t="s">
        <v>113</v>
      </c>
      <c r="B4" s="7">
        <v>220</v>
      </c>
      <c r="C4" s="7">
        <v>1</v>
      </c>
      <c r="D4" s="6">
        <f t="shared" si="0"/>
        <v>220</v>
      </c>
      <c r="F4" s="10"/>
      <c r="G4" s="10"/>
    </row>
    <row r="5" spans="1:14" ht="14.25">
      <c r="A5" s="7" t="s">
        <v>5</v>
      </c>
      <c r="B5" s="7">
        <v>18</v>
      </c>
      <c r="C5" s="7">
        <v>1</v>
      </c>
      <c r="D5" s="6">
        <f t="shared" si="0"/>
        <v>18</v>
      </c>
      <c r="F5" s="11"/>
      <c r="G5"/>
    </row>
    <row r="6" spans="1:14" ht="14.25">
      <c r="A6" s="7" t="s">
        <v>6</v>
      </c>
      <c r="B6" s="7">
        <v>6.8</v>
      </c>
      <c r="C6" s="7">
        <v>2</v>
      </c>
      <c r="D6" s="6">
        <f t="shared" si="0"/>
        <v>13.6</v>
      </c>
      <c r="F6" s="11"/>
      <c r="G6"/>
    </row>
    <row r="7" spans="1:14" ht="14.25">
      <c r="A7" s="7" t="s">
        <v>112</v>
      </c>
      <c r="B7" s="7">
        <v>2.2999999999999998</v>
      </c>
      <c r="C7" s="7">
        <v>2</v>
      </c>
      <c r="D7" s="6">
        <f t="shared" si="0"/>
        <v>4.5999999999999996</v>
      </c>
      <c r="F7" s="11"/>
      <c r="G7"/>
    </row>
    <row r="8" spans="1:14" ht="14.25">
      <c r="A8" s="7" t="s">
        <v>111</v>
      </c>
      <c r="B8" s="7">
        <v>2.8</v>
      </c>
      <c r="C8" s="7">
        <v>2</v>
      </c>
      <c r="D8" s="6">
        <f t="shared" si="0"/>
        <v>5.6</v>
      </c>
      <c r="F8" s="11"/>
      <c r="H8" s="6" t="s">
        <v>7</v>
      </c>
      <c r="I8" s="6" t="s">
        <v>8</v>
      </c>
    </row>
    <row r="9" spans="1:14" ht="14.25">
      <c r="A9" s="7" t="s">
        <v>110</v>
      </c>
      <c r="B9" s="7">
        <v>8</v>
      </c>
      <c r="C9" s="7">
        <v>2</v>
      </c>
      <c r="D9" s="6">
        <f t="shared" si="0"/>
        <v>16</v>
      </c>
      <c r="F9" s="11"/>
      <c r="H9" s="6">
        <v>607</v>
      </c>
      <c r="I9" s="6">
        <v>13671</v>
      </c>
      <c r="J9" s="6">
        <v>13695</v>
      </c>
      <c r="K9" s="7">
        <f t="shared" ref="K9:K22" si="1">J9-I9</f>
        <v>24</v>
      </c>
      <c r="L9" s="12">
        <f t="shared" ref="L9:L22" si="2">(I9+J9)/2</f>
        <v>13683</v>
      </c>
      <c r="M9" s="13">
        <f t="shared" ref="M9:M22" si="3">L9/H9</f>
        <v>22.542009884678748</v>
      </c>
      <c r="N9" s="14">
        <f t="shared" ref="N9:N22" si="4">K9/L9</f>
        <v>1.7540013155009867E-3</v>
      </c>
    </row>
    <row r="10" spans="1:14" ht="14.25">
      <c r="A10" s="7" t="s">
        <v>109</v>
      </c>
      <c r="B10" s="7">
        <v>6</v>
      </c>
      <c r="C10" s="7">
        <v>2</v>
      </c>
      <c r="D10" s="6">
        <f t="shared" si="0"/>
        <v>12</v>
      </c>
      <c r="F10" s="11"/>
      <c r="H10" s="6">
        <v>501</v>
      </c>
      <c r="I10" s="6">
        <v>12545</v>
      </c>
      <c r="J10" s="6">
        <v>12571</v>
      </c>
      <c r="K10" s="7">
        <f t="shared" si="1"/>
        <v>26</v>
      </c>
      <c r="L10" s="12">
        <f t="shared" si="2"/>
        <v>12558</v>
      </c>
      <c r="M10" s="13">
        <f t="shared" si="3"/>
        <v>25.065868263473053</v>
      </c>
      <c r="N10" s="14">
        <f t="shared" si="4"/>
        <v>2.070393374741201E-3</v>
      </c>
    </row>
    <row r="11" spans="1:14" ht="14.25">
      <c r="A11" s="7" t="s">
        <v>108</v>
      </c>
      <c r="B11" s="7">
        <v>5</v>
      </c>
      <c r="C11" s="7">
        <v>1</v>
      </c>
      <c r="D11" s="6">
        <f t="shared" si="0"/>
        <v>5</v>
      </c>
      <c r="F11" s="11"/>
      <c r="G11"/>
      <c r="H11" s="6">
        <v>431</v>
      </c>
      <c r="I11" s="6">
        <v>11285</v>
      </c>
      <c r="J11" s="6">
        <v>11300</v>
      </c>
      <c r="K11" s="7">
        <f t="shared" si="1"/>
        <v>15</v>
      </c>
      <c r="L11" s="12">
        <f t="shared" si="2"/>
        <v>11292.5</v>
      </c>
      <c r="M11" s="13">
        <f t="shared" si="3"/>
        <v>26.200696055684453</v>
      </c>
      <c r="N11" s="14">
        <f t="shared" si="4"/>
        <v>1.3283152534868275E-3</v>
      </c>
    </row>
    <row r="12" spans="1:14" ht="14.25">
      <c r="A12" s="7" t="s">
        <v>107</v>
      </c>
      <c r="B12" s="7">
        <v>0.35</v>
      </c>
      <c r="C12" s="7">
        <v>8</v>
      </c>
      <c r="D12" s="6">
        <f t="shared" si="0"/>
        <v>2.8</v>
      </c>
      <c r="F12" s="11"/>
      <c r="G12"/>
      <c r="H12" s="6">
        <v>382</v>
      </c>
      <c r="I12" s="6">
        <v>10420</v>
      </c>
      <c r="J12" s="6">
        <v>10441</v>
      </c>
      <c r="K12" s="7">
        <f t="shared" si="1"/>
        <v>21</v>
      </c>
      <c r="L12" s="12">
        <f t="shared" si="2"/>
        <v>10430.5</v>
      </c>
      <c r="M12" s="13">
        <f t="shared" si="3"/>
        <v>27.304973821989527</v>
      </c>
      <c r="N12" s="14">
        <f t="shared" si="4"/>
        <v>2.0133263026700541E-3</v>
      </c>
    </row>
    <row r="13" spans="1:14" ht="14.25">
      <c r="A13" s="7" t="s">
        <v>106</v>
      </c>
      <c r="B13" s="7">
        <v>0.05</v>
      </c>
      <c r="C13" s="7">
        <v>8</v>
      </c>
      <c r="D13" s="6">
        <f t="shared" si="0"/>
        <v>0.4</v>
      </c>
      <c r="F13" s="11"/>
      <c r="G13"/>
      <c r="H13" s="6">
        <v>292</v>
      </c>
      <c r="I13" s="6">
        <v>8704</v>
      </c>
      <c r="J13" s="6">
        <v>8732</v>
      </c>
      <c r="K13" s="7">
        <f t="shared" si="1"/>
        <v>28</v>
      </c>
      <c r="L13" s="12">
        <f t="shared" si="2"/>
        <v>8718</v>
      </c>
      <c r="M13" s="13">
        <f t="shared" si="3"/>
        <v>29.856164383561644</v>
      </c>
      <c r="N13" s="14">
        <f t="shared" si="4"/>
        <v>3.2117458132599219E-3</v>
      </c>
    </row>
    <row r="14" spans="1:14" ht="14.25">
      <c r="A14" s="7" t="s">
        <v>105</v>
      </c>
      <c r="B14" s="7">
        <v>8</v>
      </c>
      <c r="C14" s="7">
        <v>1</v>
      </c>
      <c r="D14" s="6">
        <f t="shared" si="0"/>
        <v>8</v>
      </c>
      <c r="F14" s="11"/>
      <c r="G14"/>
      <c r="H14" s="6">
        <v>256</v>
      </c>
      <c r="I14" s="6">
        <v>7881</v>
      </c>
      <c r="J14" s="6">
        <v>7899</v>
      </c>
      <c r="K14" s="7">
        <f t="shared" si="1"/>
        <v>18</v>
      </c>
      <c r="L14" s="12">
        <f t="shared" si="2"/>
        <v>7890</v>
      </c>
      <c r="M14" s="13">
        <f t="shared" si="3"/>
        <v>30.8203125</v>
      </c>
      <c r="N14" s="14">
        <f t="shared" si="4"/>
        <v>2.2813688212927757E-3</v>
      </c>
    </row>
    <row r="15" spans="1:14" ht="14.25">
      <c r="A15" s="7" t="s">
        <v>104</v>
      </c>
      <c r="B15" s="7">
        <v>8</v>
      </c>
      <c r="C15" s="7">
        <v>1</v>
      </c>
      <c r="D15" s="6">
        <f t="shared" si="0"/>
        <v>8</v>
      </c>
      <c r="F15" s="11"/>
      <c r="G15"/>
      <c r="H15" s="6">
        <v>211</v>
      </c>
      <c r="I15" s="6">
        <v>6587</v>
      </c>
      <c r="J15" s="6">
        <v>6609</v>
      </c>
      <c r="K15" s="7">
        <f t="shared" si="1"/>
        <v>22</v>
      </c>
      <c r="L15" s="12">
        <f t="shared" si="2"/>
        <v>6598</v>
      </c>
      <c r="M15" s="13">
        <f t="shared" si="3"/>
        <v>31.270142180094787</v>
      </c>
      <c r="N15" s="14">
        <f t="shared" si="4"/>
        <v>3.3343437405274324E-3</v>
      </c>
    </row>
    <row r="16" spans="1:14" ht="14.25">
      <c r="A16" s="7" t="s">
        <v>103</v>
      </c>
      <c r="B16" s="7">
        <v>5</v>
      </c>
      <c r="C16" s="7">
        <v>1</v>
      </c>
      <c r="D16" s="6">
        <f t="shared" si="0"/>
        <v>5</v>
      </c>
      <c r="F16" s="11"/>
      <c r="G16"/>
      <c r="H16" s="6">
        <v>184</v>
      </c>
      <c r="I16" s="6">
        <v>5938</v>
      </c>
      <c r="J16" s="6">
        <v>5972</v>
      </c>
      <c r="K16" s="7">
        <f t="shared" si="1"/>
        <v>34</v>
      </c>
      <c r="L16" s="12">
        <f t="shared" si="2"/>
        <v>5955</v>
      </c>
      <c r="M16" s="13">
        <f t="shared" si="3"/>
        <v>32.364130434782609</v>
      </c>
      <c r="N16" s="14">
        <f t="shared" si="4"/>
        <v>5.7094878253568428E-3</v>
      </c>
    </row>
    <row r="17" spans="4:14" ht="14.25">
      <c r="D17" s="6">
        <f>SUM(D3:D16)</f>
        <v>599</v>
      </c>
      <c r="F17" s="11"/>
      <c r="G17"/>
      <c r="H17" s="6">
        <v>152</v>
      </c>
      <c r="I17" s="6">
        <v>5583</v>
      </c>
      <c r="J17" s="6">
        <v>5594</v>
      </c>
      <c r="K17" s="7">
        <f t="shared" si="1"/>
        <v>11</v>
      </c>
      <c r="L17" s="12">
        <f t="shared" si="2"/>
        <v>5588.5</v>
      </c>
      <c r="M17" s="13">
        <f t="shared" si="3"/>
        <v>36.766447368421055</v>
      </c>
      <c r="N17" s="14">
        <f t="shared" si="4"/>
        <v>1.9683278160508187E-3</v>
      </c>
    </row>
    <row r="18" spans="4:14" ht="14.25">
      <c r="F18" s="11"/>
      <c r="G18"/>
      <c r="H18" s="6">
        <v>126</v>
      </c>
      <c r="I18" s="6">
        <v>4727</v>
      </c>
      <c r="J18" s="6">
        <v>4744</v>
      </c>
      <c r="K18" s="7">
        <f t="shared" si="1"/>
        <v>17</v>
      </c>
      <c r="L18" s="12">
        <f t="shared" si="2"/>
        <v>4735.5</v>
      </c>
      <c r="M18" s="13">
        <f t="shared" si="3"/>
        <v>37.583333333333336</v>
      </c>
      <c r="N18" s="14">
        <f t="shared" si="4"/>
        <v>3.5899060289304192E-3</v>
      </c>
    </row>
    <row r="19" spans="4:14" ht="14.25">
      <c r="F19" s="11"/>
      <c r="G19"/>
      <c r="H19" s="6">
        <v>109</v>
      </c>
      <c r="I19" s="6">
        <v>4206</v>
      </c>
      <c r="J19" s="6">
        <v>4215</v>
      </c>
      <c r="K19" s="7">
        <f t="shared" si="1"/>
        <v>9</v>
      </c>
      <c r="L19" s="12">
        <f t="shared" si="2"/>
        <v>4210.5</v>
      </c>
      <c r="M19" s="13">
        <f t="shared" si="3"/>
        <v>38.628440366972477</v>
      </c>
      <c r="N19" s="14">
        <f t="shared" si="4"/>
        <v>2.1375133594584966E-3</v>
      </c>
    </row>
    <row r="20" spans="4:14" ht="14.25">
      <c r="F20" s="11"/>
      <c r="G20"/>
      <c r="H20" s="6">
        <v>101</v>
      </c>
      <c r="I20" s="6">
        <v>3924</v>
      </c>
      <c r="J20" s="6">
        <v>3932</v>
      </c>
      <c r="K20" s="7">
        <f t="shared" si="1"/>
        <v>8</v>
      </c>
      <c r="L20" s="12">
        <f t="shared" si="2"/>
        <v>3928</v>
      </c>
      <c r="M20" s="13">
        <f t="shared" si="3"/>
        <v>38.89108910891089</v>
      </c>
      <c r="N20" s="14">
        <f t="shared" si="4"/>
        <v>2.0366598778004071E-3</v>
      </c>
    </row>
    <row r="21" spans="4:14">
      <c r="H21" s="6">
        <v>81</v>
      </c>
      <c r="I21" s="6">
        <v>2928</v>
      </c>
      <c r="J21" s="6">
        <v>2933</v>
      </c>
      <c r="K21" s="7">
        <f t="shared" si="1"/>
        <v>5</v>
      </c>
      <c r="L21" s="12">
        <f t="shared" si="2"/>
        <v>2930.5</v>
      </c>
      <c r="M21" s="13">
        <f t="shared" si="3"/>
        <v>36.179012345679013</v>
      </c>
      <c r="N21" s="14">
        <f t="shared" si="4"/>
        <v>1.7061934823408974E-3</v>
      </c>
    </row>
    <row r="22" spans="4:14">
      <c r="H22" s="6">
        <v>68</v>
      </c>
      <c r="I22" s="6">
        <v>2824</v>
      </c>
      <c r="J22" s="6">
        <v>2828</v>
      </c>
      <c r="K22" s="7">
        <f t="shared" si="1"/>
        <v>4</v>
      </c>
      <c r="L22" s="12">
        <f t="shared" si="2"/>
        <v>2826</v>
      </c>
      <c r="M22" s="13">
        <f t="shared" si="3"/>
        <v>41.558823529411768</v>
      </c>
      <c r="N22" s="14">
        <f t="shared" si="4"/>
        <v>1.4154281670205238E-3</v>
      </c>
    </row>
    <row r="23" spans="4:14">
      <c r="L23" s="12"/>
      <c r="M23" s="13"/>
      <c r="N23" s="14"/>
    </row>
    <row r="24" spans="4:14">
      <c r="H24" s="6">
        <v>77</v>
      </c>
      <c r="I24" s="6">
        <v>935</v>
      </c>
      <c r="J24" s="6">
        <v>1092</v>
      </c>
      <c r="L24" s="12"/>
      <c r="M24" s="13"/>
      <c r="N24" s="14"/>
    </row>
    <row r="25" spans="4:14">
      <c r="H25" s="6">
        <v>2</v>
      </c>
      <c r="I25" s="6">
        <v>45</v>
      </c>
      <c r="J25" s="6">
        <v>49</v>
      </c>
      <c r="L25" s="12"/>
      <c r="M25" s="13"/>
      <c r="N25" s="14"/>
    </row>
    <row r="26" spans="4:14">
      <c r="L26" s="12"/>
      <c r="M26" s="13"/>
      <c r="N26" s="14"/>
    </row>
    <row r="27" spans="4:14">
      <c r="L27" s="12"/>
      <c r="M27" s="13"/>
      <c r="N27" s="14"/>
    </row>
    <row r="28" spans="4:14">
      <c r="L28" s="12"/>
      <c r="M28" s="13"/>
      <c r="N28" s="14"/>
    </row>
    <row r="29" spans="4:14">
      <c r="L29" s="12"/>
      <c r="M29" s="13"/>
      <c r="N29" s="14"/>
    </row>
    <row r="30" spans="4:14">
      <c r="L30" s="12"/>
      <c r="M30" s="13"/>
      <c r="N30" s="14"/>
    </row>
    <row r="31" spans="4:14">
      <c r="L31" s="12"/>
      <c r="M31" s="13"/>
      <c r="N31" s="14"/>
    </row>
    <row r="33" spans="7:15">
      <c r="G33" s="7" t="s">
        <v>9</v>
      </c>
      <c r="N33" s="7" t="s">
        <v>10</v>
      </c>
      <c r="O33" s="7" t="s">
        <v>11</v>
      </c>
    </row>
    <row r="34" spans="7:15">
      <c r="G34" s="7" t="s">
        <v>12</v>
      </c>
      <c r="N34" s="7" t="s">
        <v>13</v>
      </c>
      <c r="O34" s="7" t="s">
        <v>14</v>
      </c>
    </row>
    <row r="35" spans="7:15">
      <c r="N35" s="7" t="s">
        <v>15</v>
      </c>
      <c r="O35" s="7" t="s">
        <v>16</v>
      </c>
    </row>
    <row r="36" spans="7:15">
      <c r="G36" s="7" t="s">
        <v>17</v>
      </c>
      <c r="L36" s="15">
        <f>9.7*2.54/5*3</f>
        <v>14.7828</v>
      </c>
      <c r="N36" s="7" t="s">
        <v>18</v>
      </c>
      <c r="O36" s="7" t="s">
        <v>19</v>
      </c>
    </row>
    <row r="37" spans="7:15">
      <c r="G37" s="7" t="s">
        <v>20</v>
      </c>
      <c r="L37" s="15">
        <f>9.7*2.54/5*4</f>
        <v>19.7104</v>
      </c>
      <c r="N37" s="7" t="s">
        <v>21</v>
      </c>
      <c r="O37" s="7" t="s">
        <v>22</v>
      </c>
    </row>
    <row r="38" spans="7:15">
      <c r="G38" s="7" t="s">
        <v>23</v>
      </c>
      <c r="N38" s="7" t="s">
        <v>24</v>
      </c>
      <c r="O38" s="7" t="s">
        <v>25</v>
      </c>
    </row>
    <row r="39" spans="7:15">
      <c r="G39" s="7" t="s">
        <v>26</v>
      </c>
      <c r="N39" s="7" t="s">
        <v>27</v>
      </c>
      <c r="O39" s="7" t="s">
        <v>28</v>
      </c>
    </row>
    <row r="40" spans="7:15">
      <c r="G40" s="7" t="s">
        <v>29</v>
      </c>
      <c r="N40" s="7" t="s">
        <v>30</v>
      </c>
    </row>
    <row r="41" spans="7:15">
      <c r="G41" s="7" t="s">
        <v>31</v>
      </c>
      <c r="N41" s="7" t="s">
        <v>32</v>
      </c>
    </row>
    <row r="42" spans="7:15">
      <c r="N42" s="7" t="s">
        <v>33</v>
      </c>
    </row>
    <row r="43" spans="7:15">
      <c r="N43" s="7" t="s">
        <v>34</v>
      </c>
    </row>
    <row r="44" spans="7:15">
      <c r="G44" s="7" t="s">
        <v>35</v>
      </c>
      <c r="H44" s="16" t="s">
        <v>17</v>
      </c>
      <c r="N44" s="7" t="s">
        <v>36</v>
      </c>
    </row>
    <row r="45" spans="7:15">
      <c r="G45" s="7" t="s">
        <v>37</v>
      </c>
      <c r="H45" s="16" t="s">
        <v>38</v>
      </c>
      <c r="N45" s="7" t="s">
        <v>39</v>
      </c>
    </row>
    <row r="46" spans="7:15">
      <c r="G46" s="7" t="s">
        <v>40</v>
      </c>
      <c r="H46" s="16" t="s">
        <v>41</v>
      </c>
      <c r="N46" s="7" t="s">
        <v>42</v>
      </c>
    </row>
    <row r="47" spans="7:15">
      <c r="G47" s="7" t="s">
        <v>43</v>
      </c>
      <c r="H47" s="16" t="s">
        <v>44</v>
      </c>
      <c r="N47" s="7" t="s">
        <v>45</v>
      </c>
    </row>
    <row r="48" spans="7:15">
      <c r="G48" s="7" t="s">
        <v>46</v>
      </c>
      <c r="H48" s="16" t="s">
        <v>47</v>
      </c>
      <c r="N48" s="7" t="s">
        <v>48</v>
      </c>
    </row>
    <row r="49" spans="1:14">
      <c r="G49" s="7" t="s">
        <v>49</v>
      </c>
      <c r="H49" s="17">
        <v>41886</v>
      </c>
      <c r="N49" s="7" t="s">
        <v>50</v>
      </c>
    </row>
    <row r="50" spans="1:14">
      <c r="N50" s="7" t="s">
        <v>51</v>
      </c>
    </row>
    <row r="51" spans="1:14">
      <c r="G51" s="7" t="s">
        <v>52</v>
      </c>
      <c r="I51" s="7" t="s">
        <v>53</v>
      </c>
      <c r="K51" s="7">
        <f>363/325</f>
        <v>1.1169230769230769</v>
      </c>
      <c r="N51" s="7" t="s">
        <v>54</v>
      </c>
    </row>
    <row r="52" spans="1:14">
      <c r="G52" s="7" t="s">
        <v>55</v>
      </c>
    </row>
    <row r="55" spans="1:14">
      <c r="B55" s="6" t="s">
        <v>56</v>
      </c>
      <c r="C55" s="7" t="s">
        <v>2</v>
      </c>
      <c r="D55" s="6" t="s">
        <v>57</v>
      </c>
      <c r="G55" s="6" t="s">
        <v>58</v>
      </c>
      <c r="H55" s="7"/>
      <c r="I55" s="6" t="s">
        <v>59</v>
      </c>
      <c r="J55" s="6" t="s">
        <v>60</v>
      </c>
      <c r="K55" s="6" t="s">
        <v>61</v>
      </c>
      <c r="L55" s="6" t="s">
        <v>62</v>
      </c>
    </row>
    <row r="56" spans="1:14">
      <c r="A56" s="7" t="s">
        <v>63</v>
      </c>
      <c r="B56" s="6">
        <v>5</v>
      </c>
      <c r="C56" s="7">
        <f>2/1000</f>
        <v>2E-3</v>
      </c>
      <c r="D56" s="18">
        <f>B56*C56</f>
        <v>0.01</v>
      </c>
      <c r="G56" s="6" t="s">
        <v>64</v>
      </c>
      <c r="I56" s="6">
        <f>1000*0.4+100*1</f>
        <v>500</v>
      </c>
      <c r="J56" s="6">
        <f>I56*0.3</f>
        <v>150</v>
      </c>
      <c r="K56" s="19">
        <f>1000*D59+100*D60</f>
        <v>19.322751322751323</v>
      </c>
      <c r="L56" s="20">
        <f>J56-K56</f>
        <v>130.67724867724868</v>
      </c>
    </row>
    <row r="57" spans="1:14">
      <c r="A57" s="7" t="s">
        <v>65</v>
      </c>
      <c r="B57" s="6">
        <v>1</v>
      </c>
      <c r="C57" s="7">
        <f>(50/1000*24)/(75*3.78)</f>
        <v>4.2328042328042331E-3</v>
      </c>
      <c r="D57" s="21">
        <f>B57*C57</f>
        <v>4.2328042328042331E-3</v>
      </c>
      <c r="G57" s="6" t="s">
        <v>66</v>
      </c>
      <c r="I57" s="6">
        <f>I56*1.5</f>
        <v>750</v>
      </c>
      <c r="J57" s="6">
        <f>J56*1.5</f>
        <v>225</v>
      </c>
      <c r="K57" s="20">
        <f>K56*1.5</f>
        <v>28.984126984126984</v>
      </c>
      <c r="L57" s="20">
        <f>L56*1.5</f>
        <v>196.01587301587301</v>
      </c>
    </row>
    <row r="58" spans="1:14">
      <c r="A58" s="7" t="s">
        <v>67</v>
      </c>
      <c r="B58" s="6">
        <v>1</v>
      </c>
      <c r="C58" s="7">
        <f>2200/(1000*60)</f>
        <v>3.6666666666666667E-2</v>
      </c>
      <c r="D58" s="21">
        <f>B58*C58</f>
        <v>3.6666666666666667E-2</v>
      </c>
      <c r="G58" s="6" t="s">
        <v>68</v>
      </c>
      <c r="I58" s="6">
        <f>I56*2</f>
        <v>1000</v>
      </c>
      <c r="J58" s="6">
        <f>J56*2</f>
        <v>300</v>
      </c>
      <c r="K58" s="20">
        <f>K56*2</f>
        <v>38.645502645502646</v>
      </c>
      <c r="L58" s="20">
        <f>L56*2</f>
        <v>261.35449735449737</v>
      </c>
    </row>
    <row r="59" spans="1:14">
      <c r="A59" s="7" t="s">
        <v>69</v>
      </c>
      <c r="D59" s="21">
        <f>D56+D57</f>
        <v>1.4232804232804232E-2</v>
      </c>
    </row>
    <row r="60" spans="1:14">
      <c r="A60" s="7" t="s">
        <v>70</v>
      </c>
      <c r="D60" s="21">
        <f>D58+D59</f>
        <v>5.0899470899470903E-2</v>
      </c>
    </row>
    <row r="62" spans="1:14" ht="11.25" customHeight="1"/>
    <row r="66" spans="6:9">
      <c r="G66" s="6"/>
    </row>
    <row r="67" spans="6:9">
      <c r="F67" s="22"/>
      <c r="G67" s="23"/>
      <c r="H67" s="24"/>
      <c r="I67" s="25"/>
    </row>
    <row r="68" spans="6:9">
      <c r="F68" s="22"/>
      <c r="G68" s="23"/>
      <c r="H68" s="24"/>
      <c r="I68" s="25"/>
    </row>
    <row r="69" spans="6:9">
      <c r="F69" s="22"/>
      <c r="G69" s="23"/>
      <c r="H69" s="24"/>
      <c r="I69" s="25"/>
    </row>
    <row r="70" spans="6:9">
      <c r="F70" s="22"/>
      <c r="G70" s="23"/>
      <c r="H70" s="24"/>
      <c r="I70" s="25"/>
    </row>
    <row r="71" spans="6:9">
      <c r="F71" s="22"/>
      <c r="G71" s="23"/>
      <c r="H71" s="24"/>
      <c r="I71" s="25"/>
    </row>
    <row r="72" spans="6:9">
      <c r="F72" s="22"/>
    </row>
    <row r="73" spans="6:9">
      <c r="F73" s="22"/>
    </row>
    <row r="74" spans="6:9">
      <c r="F74" s="22"/>
    </row>
  </sheetData>
  <pageMargins left="0.75" right="0.75" top="1" bottom="1" header="0.5" footer="0.5"/>
  <pageSetup paperSize="9" orientation="portrait" verticalDpi="300" r:id="rId1"/>
  <headerFooter alignWithMargins="0"/>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65"/>
  <sheetViews>
    <sheetView zoomScaleNormal="100" workbookViewId="0">
      <pane ySplit="2" topLeftCell="A3" activePane="bottomLeft" state="frozen"/>
      <selection pane="bottomLeft" activeCell="G26" sqref="G26"/>
    </sheetView>
  </sheetViews>
  <sheetFormatPr defaultRowHeight="12"/>
  <cols>
    <col min="1" max="1" width="34.625" style="7" customWidth="1"/>
    <col min="2" max="2" width="5.25" style="7" customWidth="1"/>
    <col min="3" max="3" width="5" style="7" customWidth="1"/>
    <col min="4" max="4" width="8.5" style="7" customWidth="1"/>
    <col min="5" max="5" width="1.625" style="4" customWidth="1"/>
    <col min="6" max="6" width="9" style="8"/>
    <col min="7" max="7" width="9" style="7"/>
    <col min="8" max="10" width="9" style="6"/>
    <col min="11" max="11" width="8.125" style="7" customWidth="1"/>
    <col min="12" max="12" width="7.75" style="7" customWidth="1"/>
    <col min="13" max="16384" width="9" style="7"/>
  </cols>
  <sheetData>
    <row r="1" spans="1:14" s="1" customFormat="1">
      <c r="A1" s="1" t="s">
        <v>0</v>
      </c>
      <c r="B1" s="1" t="s">
        <v>1</v>
      </c>
      <c r="C1" s="1" t="s">
        <v>2</v>
      </c>
      <c r="D1" s="1" t="s">
        <v>3</v>
      </c>
      <c r="E1" s="2"/>
      <c r="F1" s="3"/>
    </row>
    <row r="2" spans="1:14" ht="14.25">
      <c r="A2" s="1"/>
      <c r="B2" s="1"/>
      <c r="C2" s="1"/>
      <c r="D2" s="1">
        <f>D17+D28+D33</f>
        <v>687.80000000000007</v>
      </c>
      <c r="F2" s="5">
        <v>7</v>
      </c>
      <c r="G2" s="5">
        <v>15</v>
      </c>
    </row>
    <row r="3" spans="1:14">
      <c r="A3" s="7" t="s">
        <v>139</v>
      </c>
      <c r="B3" s="7">
        <v>100</v>
      </c>
      <c r="C3" s="7">
        <v>1</v>
      </c>
      <c r="D3" s="6">
        <f t="shared" ref="D3:D16" si="0">C3*B3</f>
        <v>100</v>
      </c>
      <c r="F3" s="8">
        <f>D2</f>
        <v>687.80000000000007</v>
      </c>
      <c r="G3" s="8">
        <f>D2+D44</f>
        <v>878</v>
      </c>
      <c r="I3" s="6">
        <v>38</v>
      </c>
    </row>
    <row r="4" spans="1:14">
      <c r="A4" s="7" t="s">
        <v>138</v>
      </c>
      <c r="B4" s="7">
        <v>8</v>
      </c>
      <c r="C4" s="7">
        <v>3</v>
      </c>
      <c r="D4" s="6">
        <f t="shared" si="0"/>
        <v>24</v>
      </c>
      <c r="F4" s="10">
        <f>F3/F2</f>
        <v>98.257142857142867</v>
      </c>
      <c r="G4" s="10">
        <f>G3/G2</f>
        <v>58.533333333333331</v>
      </c>
      <c r="I4" s="6">
        <f>1000/(60*I3)</f>
        <v>0.43859649122807015</v>
      </c>
    </row>
    <row r="5" spans="1:14" ht="14.25">
      <c r="A5" s="7" t="s">
        <v>137</v>
      </c>
      <c r="B5" s="7">
        <v>1.5</v>
      </c>
      <c r="C5" s="7">
        <v>1</v>
      </c>
      <c r="D5" s="6">
        <f t="shared" si="0"/>
        <v>1.5</v>
      </c>
      <c r="F5" s="11"/>
      <c r="G5"/>
      <c r="I5" s="6">
        <f>1000/I4</f>
        <v>2280</v>
      </c>
    </row>
    <row r="6" spans="1:14" ht="14.25">
      <c r="A6" s="7" t="s">
        <v>136</v>
      </c>
      <c r="B6" s="7">
        <v>2.8</v>
      </c>
      <c r="C6" s="7">
        <v>1</v>
      </c>
      <c r="D6" s="6">
        <f t="shared" si="0"/>
        <v>2.8</v>
      </c>
      <c r="F6" s="11"/>
      <c r="G6"/>
    </row>
    <row r="7" spans="1:14" ht="14.25">
      <c r="A7" s="7" t="s">
        <v>135</v>
      </c>
      <c r="B7" s="7">
        <v>2.8</v>
      </c>
      <c r="C7" s="7">
        <v>1</v>
      </c>
      <c r="D7" s="6">
        <f t="shared" si="0"/>
        <v>2.8</v>
      </c>
      <c r="F7" s="11"/>
      <c r="G7"/>
    </row>
    <row r="8" spans="1:14" ht="14.25">
      <c r="A8" s="7" t="s">
        <v>134</v>
      </c>
      <c r="B8" s="7">
        <v>4.5</v>
      </c>
      <c r="C8" s="7">
        <v>1</v>
      </c>
      <c r="D8" s="6">
        <f t="shared" si="0"/>
        <v>4.5</v>
      </c>
      <c r="F8" s="11"/>
      <c r="H8" s="6" t="s">
        <v>7</v>
      </c>
      <c r="I8" s="6" t="s">
        <v>133</v>
      </c>
    </row>
    <row r="9" spans="1:14" ht="14.25">
      <c r="A9" s="7" t="s">
        <v>132</v>
      </c>
      <c r="B9" s="7">
        <v>40</v>
      </c>
      <c r="C9" s="7">
        <v>1</v>
      </c>
      <c r="D9" s="6">
        <f t="shared" si="0"/>
        <v>40</v>
      </c>
      <c r="F9" s="11"/>
      <c r="H9" s="6">
        <v>607</v>
      </c>
      <c r="I9" s="6">
        <v>13671</v>
      </c>
      <c r="J9" s="6">
        <v>13695</v>
      </c>
      <c r="K9" s="7">
        <f t="shared" ref="K9:K22" si="1">J9-I9</f>
        <v>24</v>
      </c>
      <c r="L9" s="12">
        <f t="shared" ref="L9:L22" si="2">(I9+J9)/2</f>
        <v>13683</v>
      </c>
      <c r="M9" s="13">
        <f t="shared" ref="M9:M22" si="3">L9/H9</f>
        <v>22.542009884678748</v>
      </c>
      <c r="N9" s="14">
        <f t="shared" ref="N9:N22" si="4">K9/L9</f>
        <v>1.7540013155009867E-3</v>
      </c>
    </row>
    <row r="10" spans="1:14" ht="14.25">
      <c r="A10" s="7" t="s">
        <v>131</v>
      </c>
      <c r="B10" s="7">
        <v>70</v>
      </c>
      <c r="C10" s="7">
        <v>1</v>
      </c>
      <c r="D10" s="6">
        <f t="shared" si="0"/>
        <v>70</v>
      </c>
      <c r="F10" s="11"/>
      <c r="H10" s="6">
        <v>501</v>
      </c>
      <c r="I10" s="6">
        <v>12545</v>
      </c>
      <c r="J10" s="6">
        <v>12571</v>
      </c>
      <c r="K10" s="7">
        <f t="shared" si="1"/>
        <v>26</v>
      </c>
      <c r="L10" s="12">
        <f t="shared" si="2"/>
        <v>12558</v>
      </c>
      <c r="M10" s="13">
        <f t="shared" si="3"/>
        <v>25.065868263473053</v>
      </c>
      <c r="N10" s="14">
        <f t="shared" si="4"/>
        <v>2.070393374741201E-3</v>
      </c>
    </row>
    <row r="11" spans="1:14" ht="14.25">
      <c r="A11" s="7" t="s">
        <v>130</v>
      </c>
      <c r="B11" s="7">
        <v>10</v>
      </c>
      <c r="C11" s="7">
        <v>1</v>
      </c>
      <c r="D11" s="6">
        <f t="shared" si="0"/>
        <v>10</v>
      </c>
      <c r="F11" s="11"/>
      <c r="G11"/>
      <c r="H11" s="6">
        <v>431</v>
      </c>
      <c r="I11" s="6">
        <v>11285</v>
      </c>
      <c r="J11" s="6">
        <v>11300</v>
      </c>
      <c r="K11" s="7">
        <f t="shared" si="1"/>
        <v>15</v>
      </c>
      <c r="L11" s="12">
        <f t="shared" si="2"/>
        <v>11292.5</v>
      </c>
      <c r="M11" s="13">
        <f t="shared" si="3"/>
        <v>26.200696055684453</v>
      </c>
      <c r="N11" s="14">
        <f t="shared" si="4"/>
        <v>1.3283152534868275E-3</v>
      </c>
    </row>
    <row r="12" spans="1:14" ht="14.25">
      <c r="A12" s="7" t="s">
        <v>129</v>
      </c>
      <c r="B12" s="7">
        <v>8</v>
      </c>
      <c r="C12" s="7">
        <v>1</v>
      </c>
      <c r="D12" s="6">
        <f t="shared" si="0"/>
        <v>8</v>
      </c>
      <c r="F12" s="11"/>
      <c r="G12"/>
      <c r="H12" s="6">
        <v>382</v>
      </c>
      <c r="I12" s="6">
        <v>10420</v>
      </c>
      <c r="J12" s="6">
        <v>10441</v>
      </c>
      <c r="K12" s="7">
        <f t="shared" si="1"/>
        <v>21</v>
      </c>
      <c r="L12" s="12">
        <f t="shared" si="2"/>
        <v>10430.5</v>
      </c>
      <c r="M12" s="13">
        <f t="shared" si="3"/>
        <v>27.304973821989527</v>
      </c>
      <c r="N12" s="14">
        <f t="shared" si="4"/>
        <v>2.0133263026700541E-3</v>
      </c>
    </row>
    <row r="13" spans="1:14" ht="14.25">
      <c r="A13" s="7" t="s">
        <v>128</v>
      </c>
      <c r="B13" s="7">
        <v>10</v>
      </c>
      <c r="C13" s="7">
        <v>1</v>
      </c>
      <c r="D13" s="6">
        <f t="shared" si="0"/>
        <v>10</v>
      </c>
      <c r="F13" s="11"/>
      <c r="G13"/>
      <c r="H13" s="6">
        <v>292</v>
      </c>
      <c r="I13" s="6">
        <v>8704</v>
      </c>
      <c r="J13" s="6">
        <v>8732</v>
      </c>
      <c r="K13" s="7">
        <f t="shared" si="1"/>
        <v>28</v>
      </c>
      <c r="L13" s="12">
        <f t="shared" si="2"/>
        <v>8718</v>
      </c>
      <c r="M13" s="13">
        <f t="shared" si="3"/>
        <v>29.856164383561644</v>
      </c>
      <c r="N13" s="14">
        <f t="shared" si="4"/>
        <v>3.2117458132599219E-3</v>
      </c>
    </row>
    <row r="14" spans="1:14" ht="14.25">
      <c r="A14" s="7" t="s">
        <v>127</v>
      </c>
      <c r="B14" s="7">
        <v>10</v>
      </c>
      <c r="C14" s="7">
        <v>1</v>
      </c>
      <c r="D14" s="6">
        <f t="shared" si="0"/>
        <v>10</v>
      </c>
      <c r="F14" s="11"/>
      <c r="G14"/>
      <c r="H14" s="6">
        <v>256</v>
      </c>
      <c r="I14" s="6">
        <v>7881</v>
      </c>
      <c r="J14" s="6">
        <v>7899</v>
      </c>
      <c r="K14" s="7">
        <f t="shared" si="1"/>
        <v>18</v>
      </c>
      <c r="L14" s="12">
        <f t="shared" si="2"/>
        <v>7890</v>
      </c>
      <c r="M14" s="13">
        <f t="shared" si="3"/>
        <v>30.8203125</v>
      </c>
      <c r="N14" s="14">
        <f t="shared" si="4"/>
        <v>2.2813688212927757E-3</v>
      </c>
    </row>
    <row r="15" spans="1:14" ht="14.25">
      <c r="A15" s="7" t="s">
        <v>126</v>
      </c>
      <c r="B15" s="7">
        <v>5</v>
      </c>
      <c r="C15" s="7">
        <v>1</v>
      </c>
      <c r="D15" s="6">
        <f t="shared" si="0"/>
        <v>5</v>
      </c>
      <c r="F15" s="11"/>
      <c r="G15"/>
      <c r="H15" s="6">
        <v>211</v>
      </c>
      <c r="I15" s="6">
        <v>6587</v>
      </c>
      <c r="J15" s="6">
        <v>6609</v>
      </c>
      <c r="K15" s="7">
        <f t="shared" si="1"/>
        <v>22</v>
      </c>
      <c r="L15" s="12">
        <f t="shared" si="2"/>
        <v>6598</v>
      </c>
      <c r="M15" s="13">
        <f t="shared" si="3"/>
        <v>31.270142180094787</v>
      </c>
      <c r="N15" s="14">
        <f t="shared" si="4"/>
        <v>3.3343437405274324E-3</v>
      </c>
    </row>
    <row r="16" spans="1:14" ht="14.25">
      <c r="A16" s="7" t="s">
        <v>125</v>
      </c>
      <c r="B16" s="7">
        <v>40</v>
      </c>
      <c r="C16" s="7">
        <v>0</v>
      </c>
      <c r="D16" s="6">
        <f t="shared" si="0"/>
        <v>0</v>
      </c>
      <c r="F16" s="11"/>
      <c r="G16"/>
      <c r="H16" s="6">
        <v>184</v>
      </c>
      <c r="I16" s="6">
        <v>5938</v>
      </c>
      <c r="J16" s="6">
        <v>5972</v>
      </c>
      <c r="K16" s="7">
        <f t="shared" si="1"/>
        <v>34</v>
      </c>
      <c r="L16" s="12">
        <f t="shared" si="2"/>
        <v>5955</v>
      </c>
      <c r="M16" s="13">
        <f t="shared" si="3"/>
        <v>32.364130434782609</v>
      </c>
      <c r="N16" s="14">
        <f t="shared" si="4"/>
        <v>5.7094878253568428E-3</v>
      </c>
    </row>
    <row r="17" spans="1:15" ht="14.25">
      <c r="D17" s="28">
        <f>SUM(D3:D16)</f>
        <v>288.60000000000002</v>
      </c>
      <c r="F17" s="11"/>
      <c r="G17"/>
      <c r="H17" s="6">
        <v>152</v>
      </c>
      <c r="I17" s="6">
        <v>5583</v>
      </c>
      <c r="J17" s="6">
        <v>5594</v>
      </c>
      <c r="K17" s="7">
        <f t="shared" si="1"/>
        <v>11</v>
      </c>
      <c r="L17" s="12">
        <f t="shared" si="2"/>
        <v>5588.5</v>
      </c>
      <c r="M17" s="13">
        <f t="shared" si="3"/>
        <v>36.766447368421055</v>
      </c>
      <c r="N17" s="14">
        <f t="shared" si="4"/>
        <v>1.9683278160508187E-3</v>
      </c>
    </row>
    <row r="18" spans="1:15" ht="14.25">
      <c r="A18" s="7" t="s">
        <v>124</v>
      </c>
      <c r="B18" s="7">
        <v>15</v>
      </c>
      <c r="C18" s="7">
        <v>2</v>
      </c>
      <c r="D18" s="6">
        <f t="shared" ref="D18:D27" si="5">C18*B18</f>
        <v>30</v>
      </c>
      <c r="F18" s="11"/>
      <c r="G18"/>
      <c r="H18" s="6">
        <v>126</v>
      </c>
      <c r="I18" s="6">
        <v>4727</v>
      </c>
      <c r="J18" s="6">
        <v>4744</v>
      </c>
      <c r="K18" s="7">
        <f t="shared" si="1"/>
        <v>17</v>
      </c>
      <c r="L18" s="12">
        <f t="shared" si="2"/>
        <v>4735.5</v>
      </c>
      <c r="M18" s="13">
        <f t="shared" si="3"/>
        <v>37.583333333333336</v>
      </c>
      <c r="N18" s="14">
        <f t="shared" si="4"/>
        <v>3.5899060289304192E-3</v>
      </c>
    </row>
    <row r="19" spans="1:15" ht="14.25">
      <c r="A19" s="7" t="s">
        <v>110</v>
      </c>
      <c r="B19" s="7">
        <v>8</v>
      </c>
      <c r="C19" s="7">
        <v>6</v>
      </c>
      <c r="D19" s="6">
        <f t="shared" si="5"/>
        <v>48</v>
      </c>
      <c r="F19" s="11"/>
      <c r="G19"/>
      <c r="H19" s="6">
        <v>109</v>
      </c>
      <c r="I19" s="6">
        <v>4206</v>
      </c>
      <c r="J19" s="6">
        <v>4215</v>
      </c>
      <c r="K19" s="7">
        <f t="shared" si="1"/>
        <v>9</v>
      </c>
      <c r="L19" s="12">
        <f t="shared" si="2"/>
        <v>4210.5</v>
      </c>
      <c r="M19" s="13">
        <f t="shared" si="3"/>
        <v>38.628440366972477</v>
      </c>
      <c r="N19" s="14">
        <f t="shared" si="4"/>
        <v>2.1375133594584966E-3</v>
      </c>
    </row>
    <row r="20" spans="1:15" ht="14.25">
      <c r="A20" s="7" t="s">
        <v>119</v>
      </c>
      <c r="B20" s="7">
        <v>6</v>
      </c>
      <c r="C20" s="7">
        <v>8</v>
      </c>
      <c r="D20" s="6">
        <f t="shared" si="5"/>
        <v>48</v>
      </c>
      <c r="F20" s="11"/>
      <c r="G20"/>
      <c r="H20" s="6">
        <v>101</v>
      </c>
      <c r="I20" s="6">
        <v>3924</v>
      </c>
      <c r="J20" s="6">
        <v>3932</v>
      </c>
      <c r="K20" s="7">
        <f t="shared" si="1"/>
        <v>8</v>
      </c>
      <c r="L20" s="12">
        <f t="shared" si="2"/>
        <v>3928</v>
      </c>
      <c r="M20" s="13">
        <f t="shared" si="3"/>
        <v>38.89108910891089</v>
      </c>
      <c r="N20" s="14">
        <f t="shared" si="4"/>
        <v>2.0366598778004071E-3</v>
      </c>
    </row>
    <row r="21" spans="1:15">
      <c r="A21" s="7" t="s">
        <v>118</v>
      </c>
      <c r="B21" s="7">
        <v>0.5</v>
      </c>
      <c r="C21" s="7">
        <v>8</v>
      </c>
      <c r="D21" s="6">
        <f t="shared" si="5"/>
        <v>4</v>
      </c>
      <c r="H21" s="6">
        <v>81</v>
      </c>
      <c r="I21" s="6">
        <v>2928</v>
      </c>
      <c r="J21" s="6">
        <v>2933</v>
      </c>
      <c r="K21" s="7">
        <f t="shared" si="1"/>
        <v>5</v>
      </c>
      <c r="L21" s="12">
        <f t="shared" si="2"/>
        <v>2930.5</v>
      </c>
      <c r="M21" s="13">
        <f t="shared" si="3"/>
        <v>36.179012345679013</v>
      </c>
      <c r="N21" s="14">
        <f t="shared" si="4"/>
        <v>1.7061934823408974E-3</v>
      </c>
    </row>
    <row r="22" spans="1:15">
      <c r="A22" s="7" t="s">
        <v>107</v>
      </c>
      <c r="B22" s="7">
        <v>0.35</v>
      </c>
      <c r="C22" s="7">
        <v>8</v>
      </c>
      <c r="D22" s="6">
        <f t="shared" si="5"/>
        <v>2.8</v>
      </c>
      <c r="H22" s="6">
        <v>68</v>
      </c>
      <c r="I22" s="6">
        <v>2824</v>
      </c>
      <c r="J22" s="6">
        <v>2828</v>
      </c>
      <c r="K22" s="7">
        <f t="shared" si="1"/>
        <v>4</v>
      </c>
      <c r="L22" s="12">
        <f t="shared" si="2"/>
        <v>2826</v>
      </c>
      <c r="M22" s="13">
        <f t="shared" si="3"/>
        <v>41.558823529411768</v>
      </c>
      <c r="N22" s="14">
        <f t="shared" si="4"/>
        <v>1.4154281670205238E-3</v>
      </c>
    </row>
    <row r="23" spans="1:15">
      <c r="A23" s="7" t="s">
        <v>117</v>
      </c>
      <c r="B23" s="7">
        <v>0.05</v>
      </c>
      <c r="C23" s="7">
        <v>8</v>
      </c>
      <c r="D23" s="6">
        <f t="shared" si="5"/>
        <v>0.4</v>
      </c>
    </row>
    <row r="24" spans="1:15">
      <c r="A24" s="7" t="s">
        <v>5</v>
      </c>
      <c r="B24" s="7">
        <v>18</v>
      </c>
      <c r="C24" s="7">
        <v>1</v>
      </c>
      <c r="D24" s="6">
        <f t="shared" si="5"/>
        <v>18</v>
      </c>
      <c r="G24" s="7" t="s">
        <v>9</v>
      </c>
      <c r="N24" s="7" t="s">
        <v>10</v>
      </c>
      <c r="O24" s="7" t="s">
        <v>11</v>
      </c>
    </row>
    <row r="25" spans="1:15">
      <c r="A25" s="7" t="s">
        <v>116</v>
      </c>
      <c r="B25" s="7">
        <v>30</v>
      </c>
      <c r="C25" s="7">
        <v>1</v>
      </c>
      <c r="D25" s="6">
        <f t="shared" si="5"/>
        <v>30</v>
      </c>
      <c r="G25" s="7" t="s">
        <v>12</v>
      </c>
      <c r="N25" s="7" t="s">
        <v>13</v>
      </c>
      <c r="O25" s="7" t="s">
        <v>14</v>
      </c>
    </row>
    <row r="26" spans="1:15">
      <c r="A26" s="7" t="s">
        <v>105</v>
      </c>
      <c r="B26" s="7">
        <v>8</v>
      </c>
      <c r="C26" s="7">
        <v>1</v>
      </c>
      <c r="D26" s="6">
        <f t="shared" si="5"/>
        <v>8</v>
      </c>
      <c r="N26" s="7" t="s">
        <v>15</v>
      </c>
      <c r="O26" s="7" t="s">
        <v>16</v>
      </c>
    </row>
    <row r="27" spans="1:15">
      <c r="A27" s="7" t="s">
        <v>115</v>
      </c>
      <c r="B27" s="7">
        <v>15</v>
      </c>
      <c r="C27" s="7">
        <v>1</v>
      </c>
      <c r="D27" s="6">
        <f t="shared" si="5"/>
        <v>15</v>
      </c>
      <c r="G27" s="7" t="s">
        <v>17</v>
      </c>
      <c r="L27" s="15">
        <f>9.7*2.54/5*3</f>
        <v>14.7828</v>
      </c>
      <c r="N27" s="7" t="s">
        <v>18</v>
      </c>
      <c r="O27" s="7" t="s">
        <v>19</v>
      </c>
    </row>
    <row r="28" spans="1:15">
      <c r="D28" s="28">
        <f>SUM(D18:D27)</f>
        <v>204.20000000000002</v>
      </c>
      <c r="G28" s="7" t="s">
        <v>20</v>
      </c>
      <c r="L28" s="15">
        <f>9.7*2.54/5*4</f>
        <v>19.7104</v>
      </c>
      <c r="N28" s="7" t="s">
        <v>21</v>
      </c>
      <c r="O28" s="7" t="s">
        <v>22</v>
      </c>
    </row>
    <row r="29" spans="1:15">
      <c r="A29" s="7" t="s">
        <v>123</v>
      </c>
      <c r="B29" s="7">
        <v>6</v>
      </c>
      <c r="C29" s="7">
        <v>20</v>
      </c>
      <c r="D29" s="6">
        <f>C29*B29</f>
        <v>120</v>
      </c>
      <c r="G29" s="7" t="s">
        <v>23</v>
      </c>
      <c r="N29" s="7" t="s">
        <v>24</v>
      </c>
      <c r="O29" s="7" t="s">
        <v>25</v>
      </c>
    </row>
    <row r="30" spans="1:15">
      <c r="A30" s="7" t="s">
        <v>122</v>
      </c>
      <c r="B30" s="7">
        <v>1</v>
      </c>
      <c r="C30" s="7">
        <f>C29</f>
        <v>20</v>
      </c>
      <c r="D30" s="6">
        <f>C30*B30</f>
        <v>20</v>
      </c>
      <c r="G30" s="7" t="s">
        <v>26</v>
      </c>
      <c r="N30" s="7" t="s">
        <v>27</v>
      </c>
      <c r="O30" s="7" t="s">
        <v>28</v>
      </c>
    </row>
    <row r="31" spans="1:15">
      <c r="A31" s="7" t="s">
        <v>121</v>
      </c>
      <c r="B31" s="7">
        <v>0.25</v>
      </c>
      <c r="C31" s="7">
        <f>C29</f>
        <v>20</v>
      </c>
      <c r="D31" s="6">
        <f>C31*B31</f>
        <v>5</v>
      </c>
      <c r="G31" s="7" t="s">
        <v>29</v>
      </c>
      <c r="N31" s="7" t="s">
        <v>30</v>
      </c>
    </row>
    <row r="32" spans="1:15">
      <c r="A32" s="7" t="s">
        <v>120</v>
      </c>
      <c r="B32" s="7">
        <f>0.25*10</f>
        <v>2.5</v>
      </c>
      <c r="C32" s="7">
        <f>C29</f>
        <v>20</v>
      </c>
      <c r="D32" s="6">
        <f>C32*B32</f>
        <v>50</v>
      </c>
      <c r="G32" s="7" t="s">
        <v>31</v>
      </c>
      <c r="N32" s="7" t="s">
        <v>32</v>
      </c>
    </row>
    <row r="33" spans="1:14">
      <c r="D33" s="28">
        <f>SUM(D29:D32)</f>
        <v>195</v>
      </c>
      <c r="N33" s="7" t="s">
        <v>33</v>
      </c>
    </row>
    <row r="34" spans="1:14">
      <c r="A34" s="29"/>
      <c r="B34" s="29"/>
      <c r="C34" s="29"/>
      <c r="D34" s="29"/>
      <c r="N34" s="7" t="s">
        <v>34</v>
      </c>
    </row>
    <row r="35" spans="1:14">
      <c r="A35" s="7" t="s">
        <v>110</v>
      </c>
      <c r="B35" s="7">
        <f t="shared" ref="B35:B43" si="6">B19</f>
        <v>8</v>
      </c>
      <c r="C35" s="7">
        <v>8</v>
      </c>
      <c r="D35" s="6">
        <f t="shared" ref="D35:D43" si="7">C35*B35</f>
        <v>64</v>
      </c>
      <c r="G35" s="7" t="s">
        <v>35</v>
      </c>
      <c r="H35" s="16" t="s">
        <v>17</v>
      </c>
      <c r="N35" s="7" t="s">
        <v>36</v>
      </c>
    </row>
    <row r="36" spans="1:14">
      <c r="A36" s="7" t="s">
        <v>119</v>
      </c>
      <c r="B36" s="7">
        <f t="shared" si="6"/>
        <v>6</v>
      </c>
      <c r="C36" s="7">
        <v>8</v>
      </c>
      <c r="D36" s="6">
        <f t="shared" si="7"/>
        <v>48</v>
      </c>
      <c r="G36" s="7" t="s">
        <v>37</v>
      </c>
      <c r="H36" s="16" t="s">
        <v>38</v>
      </c>
      <c r="N36" s="7" t="s">
        <v>39</v>
      </c>
    </row>
    <row r="37" spans="1:14">
      <c r="A37" s="7" t="s">
        <v>118</v>
      </c>
      <c r="B37" s="7">
        <f t="shared" si="6"/>
        <v>0.5</v>
      </c>
      <c r="C37" s="7">
        <v>8</v>
      </c>
      <c r="D37" s="6">
        <f t="shared" si="7"/>
        <v>4</v>
      </c>
      <c r="G37" s="7" t="s">
        <v>40</v>
      </c>
      <c r="H37" s="16" t="s">
        <v>41</v>
      </c>
      <c r="N37" s="7" t="s">
        <v>42</v>
      </c>
    </row>
    <row r="38" spans="1:14">
      <c r="A38" s="7" t="s">
        <v>107</v>
      </c>
      <c r="B38" s="7">
        <f t="shared" si="6"/>
        <v>0.35</v>
      </c>
      <c r="C38" s="7">
        <v>8</v>
      </c>
      <c r="D38" s="6">
        <f t="shared" si="7"/>
        <v>2.8</v>
      </c>
      <c r="G38" s="7" t="s">
        <v>43</v>
      </c>
      <c r="H38" s="16" t="s">
        <v>44</v>
      </c>
      <c r="N38" s="7" t="s">
        <v>45</v>
      </c>
    </row>
    <row r="39" spans="1:14">
      <c r="A39" s="7" t="s">
        <v>117</v>
      </c>
      <c r="B39" s="7">
        <f t="shared" si="6"/>
        <v>0.05</v>
      </c>
      <c r="C39" s="7">
        <v>8</v>
      </c>
      <c r="D39" s="6">
        <f t="shared" si="7"/>
        <v>0.4</v>
      </c>
      <c r="G39" s="7" t="s">
        <v>46</v>
      </c>
      <c r="H39" s="16" t="s">
        <v>47</v>
      </c>
      <c r="N39" s="7" t="s">
        <v>48</v>
      </c>
    </row>
    <row r="40" spans="1:14">
      <c r="A40" s="7" t="s">
        <v>5</v>
      </c>
      <c r="B40" s="7">
        <f t="shared" si="6"/>
        <v>18</v>
      </c>
      <c r="C40" s="7">
        <v>1</v>
      </c>
      <c r="D40" s="6">
        <f t="shared" si="7"/>
        <v>18</v>
      </c>
      <c r="G40" s="7" t="s">
        <v>49</v>
      </c>
      <c r="H40" s="17">
        <v>41886</v>
      </c>
      <c r="N40" s="7" t="s">
        <v>50</v>
      </c>
    </row>
    <row r="41" spans="1:14">
      <c r="A41" s="7" t="s">
        <v>116</v>
      </c>
      <c r="B41" s="7">
        <f t="shared" si="6"/>
        <v>30</v>
      </c>
      <c r="C41" s="7">
        <v>1</v>
      </c>
      <c r="D41" s="6">
        <f t="shared" si="7"/>
        <v>30</v>
      </c>
      <c r="N41" s="7" t="s">
        <v>51</v>
      </c>
    </row>
    <row r="42" spans="1:14">
      <c r="A42" s="7" t="s">
        <v>105</v>
      </c>
      <c r="B42" s="7">
        <f t="shared" si="6"/>
        <v>8</v>
      </c>
      <c r="C42" s="7">
        <v>1</v>
      </c>
      <c r="D42" s="6">
        <f t="shared" si="7"/>
        <v>8</v>
      </c>
      <c r="G42" s="7" t="s">
        <v>52</v>
      </c>
      <c r="I42" s="7" t="s">
        <v>53</v>
      </c>
      <c r="K42" s="7">
        <f>363/325</f>
        <v>1.1169230769230769</v>
      </c>
      <c r="N42" s="7" t="s">
        <v>54</v>
      </c>
    </row>
    <row r="43" spans="1:14">
      <c r="A43" s="7" t="s">
        <v>115</v>
      </c>
      <c r="B43" s="7">
        <f t="shared" si="6"/>
        <v>15</v>
      </c>
      <c r="C43" s="7">
        <v>1</v>
      </c>
      <c r="D43" s="6">
        <f t="shared" si="7"/>
        <v>15</v>
      </c>
      <c r="G43" s="7" t="s">
        <v>55</v>
      </c>
    </row>
    <row r="44" spans="1:14">
      <c r="D44" s="28">
        <f>SUM(D35:D43)</f>
        <v>190.2</v>
      </c>
    </row>
    <row r="53" spans="6:9" ht="11.25" customHeight="1"/>
    <row r="57" spans="6:9">
      <c r="G57" s="6"/>
    </row>
    <row r="58" spans="6:9">
      <c r="F58" s="22"/>
      <c r="G58" s="23"/>
      <c r="H58" s="24"/>
      <c r="I58" s="25"/>
    </row>
    <row r="59" spans="6:9">
      <c r="F59" s="22"/>
      <c r="G59" s="23"/>
      <c r="H59" s="24"/>
      <c r="I59" s="25"/>
    </row>
    <row r="60" spans="6:9">
      <c r="F60" s="22"/>
      <c r="G60" s="23"/>
      <c r="H60" s="24"/>
      <c r="I60" s="25"/>
    </row>
    <row r="61" spans="6:9">
      <c r="F61" s="22"/>
      <c r="G61" s="23"/>
      <c r="H61" s="24"/>
      <c r="I61" s="25"/>
    </row>
    <row r="62" spans="6:9">
      <c r="F62" s="22"/>
      <c r="G62" s="23"/>
      <c r="H62" s="24"/>
      <c r="I62" s="25"/>
    </row>
    <row r="63" spans="6:9">
      <c r="F63" s="22"/>
    </row>
    <row r="64" spans="6:9">
      <c r="F64" s="22"/>
    </row>
    <row r="65" spans="6:6">
      <c r="F65" s="22"/>
    </row>
  </sheetData>
  <pageMargins left="0.75" right="0.75" top="1" bottom="1" header="0.5" footer="0.5"/>
  <pageSetup paperSize="9" orientation="portrait" verticalDpi="300" r:id="rId1"/>
  <headerFooter alignWithMargins="0"/>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79"/>
  <sheetViews>
    <sheetView zoomScaleNormal="100" workbookViewId="0">
      <pane ySplit="2" topLeftCell="A3" activePane="bottomLeft" state="frozen"/>
      <selection pane="bottomLeft" activeCell="J64" sqref="J64:J66"/>
    </sheetView>
  </sheetViews>
  <sheetFormatPr defaultRowHeight="12"/>
  <cols>
    <col min="1" max="1" width="34.625" style="7" customWidth="1"/>
    <col min="2" max="2" width="5.25" style="7" customWidth="1"/>
    <col min="3" max="3" width="5" style="7" customWidth="1"/>
    <col min="4" max="4" width="8.5" style="7" customWidth="1"/>
    <col min="5" max="5" width="6.375" style="6" customWidth="1"/>
    <col min="6" max="6" width="5.875" style="6" customWidth="1"/>
    <col min="7" max="7" width="9" style="6" customWidth="1"/>
    <col min="8" max="8" width="1.625" style="4" customWidth="1"/>
    <col min="9" max="9" width="9" style="7"/>
    <col min="10" max="10" width="8" style="7" customWidth="1"/>
    <col min="11" max="16384" width="9" style="7"/>
  </cols>
  <sheetData>
    <row r="1" spans="1:19" s="1" customFormat="1">
      <c r="A1" s="1" t="s">
        <v>0</v>
      </c>
      <c r="B1" s="1" t="s">
        <v>1</v>
      </c>
      <c r="C1" s="1" t="s">
        <v>2</v>
      </c>
      <c r="D1" s="1" t="s">
        <v>3</v>
      </c>
      <c r="E1" s="1">
        <v>80</v>
      </c>
      <c r="F1" s="1">
        <v>100</v>
      </c>
      <c r="H1" s="2"/>
      <c r="I1" s="40" t="s">
        <v>235</v>
      </c>
      <c r="J1" s="36" t="s">
        <v>234</v>
      </c>
      <c r="K1" s="36">
        <f>2.5*60</f>
        <v>150</v>
      </c>
      <c r="L1" s="36">
        <f>7.3*60</f>
        <v>438</v>
      </c>
      <c r="M1" s="36"/>
      <c r="N1" s="36"/>
    </row>
    <row r="2" spans="1:19" ht="14.25">
      <c r="A2" s="1"/>
      <c r="B2" s="1"/>
      <c r="C2" s="1"/>
      <c r="D2" s="1"/>
      <c r="E2" s="6">
        <f>SUM(E3:E50)</f>
        <v>54.493850000000009</v>
      </c>
      <c r="F2" s="6">
        <f>SUM(F3:F50)</f>
        <v>50.612579999999994</v>
      </c>
      <c r="I2" s="36"/>
      <c r="J2" s="36">
        <f>1000/60</f>
        <v>16.666666666666668</v>
      </c>
      <c r="K2" s="36">
        <f>25*60</f>
        <v>1500</v>
      </c>
      <c r="L2" s="36"/>
      <c r="M2" s="36"/>
      <c r="N2" s="36"/>
      <c r="O2" s="36"/>
      <c r="P2"/>
      <c r="Q2"/>
    </row>
    <row r="3" spans="1:19" ht="14.25">
      <c r="A3" s="7" t="s">
        <v>233</v>
      </c>
      <c r="B3" s="7">
        <v>230</v>
      </c>
      <c r="C3" s="7">
        <v>1</v>
      </c>
      <c r="D3" s="6">
        <f t="shared" ref="D3:D13" si="0">C3*B3</f>
        <v>230</v>
      </c>
      <c r="G3" s="6">
        <v>120</v>
      </c>
      <c r="I3" s="36"/>
      <c r="J3" s="36"/>
      <c r="K3" s="36"/>
      <c r="L3" s="36"/>
      <c r="M3" s="36"/>
      <c r="N3" s="36"/>
      <c r="O3" s="36"/>
      <c r="P3"/>
      <c r="Q3"/>
    </row>
    <row r="4" spans="1:19" ht="14.25">
      <c r="A4" s="7" t="s">
        <v>232</v>
      </c>
      <c r="B4" s="7">
        <v>21</v>
      </c>
      <c r="C4" s="7">
        <v>2</v>
      </c>
      <c r="D4" s="6">
        <f t="shared" si="0"/>
        <v>42</v>
      </c>
      <c r="G4" s="6">
        <f t="shared" ref="G4:G9" si="1">D4</f>
        <v>42</v>
      </c>
      <c r="I4" s="36" t="s">
        <v>231</v>
      </c>
      <c r="J4" s="1"/>
      <c r="K4" s="1"/>
      <c r="L4" s="1"/>
      <c r="M4" s="1"/>
      <c r="N4" s="1"/>
      <c r="O4" s="1"/>
      <c r="P4"/>
      <c r="Q4"/>
      <c r="R4"/>
    </row>
    <row r="5" spans="1:19" ht="14.25">
      <c r="A5" s="7" t="s">
        <v>230</v>
      </c>
      <c r="B5" s="7">
        <v>3</v>
      </c>
      <c r="C5" s="7">
        <v>1</v>
      </c>
      <c r="D5" s="6">
        <f t="shared" si="0"/>
        <v>3</v>
      </c>
      <c r="G5" s="6">
        <f t="shared" si="1"/>
        <v>3</v>
      </c>
      <c r="I5" s="39"/>
      <c r="J5" s="36">
        <v>7.93</v>
      </c>
      <c r="K5" s="36" t="s">
        <v>229</v>
      </c>
      <c r="L5" s="39">
        <v>15</v>
      </c>
      <c r="M5" s="36" t="s">
        <v>228</v>
      </c>
      <c r="N5" s="36">
        <f>5*0.3*100*J5*L5/1000</f>
        <v>17.842500000000001</v>
      </c>
      <c r="P5"/>
      <c r="Q5"/>
      <c r="R5"/>
    </row>
    <row r="6" spans="1:19" ht="14.25">
      <c r="A6" s="7" t="s">
        <v>227</v>
      </c>
      <c r="B6" s="7">
        <v>10</v>
      </c>
      <c r="C6" s="7">
        <v>1</v>
      </c>
      <c r="D6" s="6">
        <f t="shared" si="0"/>
        <v>10</v>
      </c>
      <c r="G6" s="6">
        <f t="shared" si="1"/>
        <v>10</v>
      </c>
      <c r="I6" s="39">
        <f>100*100*0.1</f>
        <v>1000</v>
      </c>
      <c r="J6" s="36">
        <f>10*15*0.1</f>
        <v>15</v>
      </c>
      <c r="K6" s="36">
        <f>90*70*0.1</f>
        <v>630</v>
      </c>
      <c r="L6" s="36">
        <f>90*60*0.1</f>
        <v>540</v>
      </c>
      <c r="M6" s="36">
        <f>70*60*0.1</f>
        <v>420</v>
      </c>
      <c r="N6" s="36"/>
      <c r="O6" s="36"/>
      <c r="P6"/>
      <c r="Q6"/>
      <c r="R6"/>
    </row>
    <row r="7" spans="1:19" ht="14.25">
      <c r="A7" s="7" t="s">
        <v>226</v>
      </c>
      <c r="B7" s="7">
        <v>12</v>
      </c>
      <c r="C7" s="7">
        <v>1</v>
      </c>
      <c r="D7" s="6">
        <f t="shared" si="0"/>
        <v>12</v>
      </c>
      <c r="G7" s="6">
        <f t="shared" si="1"/>
        <v>12</v>
      </c>
      <c r="I7" s="38">
        <f>I6/J6*J7</f>
        <v>118.94999999999999</v>
      </c>
      <c r="J7" s="37">
        <f>J6*$J$5*$L$5/1000</f>
        <v>1.7842499999999997</v>
      </c>
      <c r="K7" s="37">
        <f>K6*$J$5*$L$5/1000</f>
        <v>74.938500000000005</v>
      </c>
      <c r="L7" s="37">
        <f>L6*$J$5*$L$5/1000</f>
        <v>64.233000000000004</v>
      </c>
      <c r="M7" s="37">
        <f>M6*$J$5*$L$5/1000</f>
        <v>49.959000000000003</v>
      </c>
      <c r="N7" s="36"/>
      <c r="O7" s="36"/>
      <c r="P7"/>
      <c r="Q7"/>
      <c r="R7"/>
    </row>
    <row r="8" spans="1:19" ht="14.25">
      <c r="A8" s="7" t="s">
        <v>225</v>
      </c>
      <c r="B8" s="7">
        <v>12</v>
      </c>
      <c r="C8" s="7">
        <v>1</v>
      </c>
      <c r="D8" s="6">
        <f t="shared" si="0"/>
        <v>12</v>
      </c>
      <c r="G8" s="6">
        <f t="shared" si="1"/>
        <v>12</v>
      </c>
      <c r="I8" s="36">
        <v>3.5</v>
      </c>
      <c r="J8" s="36"/>
      <c r="K8" s="36"/>
      <c r="L8" s="36"/>
      <c r="M8" s="36"/>
      <c r="N8" s="36"/>
      <c r="O8" s="36"/>
      <c r="P8"/>
      <c r="Q8"/>
    </row>
    <row r="9" spans="1:19" ht="14.25">
      <c r="A9" s="7" t="s">
        <v>224</v>
      </c>
      <c r="B9" s="7">
        <v>40</v>
      </c>
      <c r="C9" s="7">
        <v>1</v>
      </c>
      <c r="D9" s="6">
        <f t="shared" si="0"/>
        <v>40</v>
      </c>
      <c r="G9" s="6">
        <f t="shared" si="1"/>
        <v>40</v>
      </c>
      <c r="I9" s="36"/>
      <c r="J9" s="36"/>
      <c r="K9" s="36">
        <f>13*0.015</f>
        <v>0.19500000000000001</v>
      </c>
      <c r="M9" s="36"/>
      <c r="N9" s="36"/>
      <c r="O9" s="36"/>
      <c r="P9"/>
      <c r="Q9"/>
    </row>
    <row r="10" spans="1:19" ht="14.25">
      <c r="A10" s="7" t="s">
        <v>223</v>
      </c>
      <c r="B10" s="7">
        <v>95</v>
      </c>
      <c r="C10" s="7">
        <v>1</v>
      </c>
      <c r="D10" s="6">
        <f t="shared" si="0"/>
        <v>95</v>
      </c>
      <c r="F10" s="7"/>
      <c r="G10" s="6">
        <v>18</v>
      </c>
      <c r="I10" s="36" t="s">
        <v>222</v>
      </c>
      <c r="J10" s="7">
        <v>15</v>
      </c>
      <c r="K10" s="36"/>
      <c r="L10" s="36" t="s">
        <v>221</v>
      </c>
      <c r="M10" s="36">
        <f>75/(2.44*1.22)</f>
        <v>25.194840096748187</v>
      </c>
      <c r="N10" s="36" t="s">
        <v>220</v>
      </c>
      <c r="O10" s="7">
        <f>100*(4*4)*0.1*$J5*$L5/1000</f>
        <v>19.032</v>
      </c>
      <c r="P10"/>
      <c r="Q10"/>
    </row>
    <row r="11" spans="1:19" ht="14.25">
      <c r="A11" s="7" t="s">
        <v>219</v>
      </c>
      <c r="B11" s="7">
        <v>260</v>
      </c>
      <c r="C11" s="7">
        <v>1</v>
      </c>
      <c r="D11" s="6">
        <f t="shared" si="0"/>
        <v>260</v>
      </c>
      <c r="F11" s="7"/>
      <c r="G11" s="6">
        <v>130</v>
      </c>
      <c r="I11" s="36" t="s">
        <v>218</v>
      </c>
      <c r="J11" s="36">
        <v>40</v>
      </c>
      <c r="K11" s="36"/>
      <c r="L11" s="36" t="s">
        <v>217</v>
      </c>
      <c r="M11" s="36">
        <f>100*100*0.1*$J5*$L5/1000</f>
        <v>118.95</v>
      </c>
      <c r="N11" s="7" t="s">
        <v>216</v>
      </c>
      <c r="O11" s="7">
        <v>10</v>
      </c>
      <c r="P11"/>
      <c r="Q11"/>
    </row>
    <row r="12" spans="1:19" ht="14.25">
      <c r="A12" s="7" t="s">
        <v>215</v>
      </c>
      <c r="B12" s="7">
        <v>360</v>
      </c>
      <c r="C12" s="7">
        <v>1</v>
      </c>
      <c r="D12" s="6">
        <f t="shared" si="0"/>
        <v>360</v>
      </c>
      <c r="F12" s="7"/>
      <c r="G12" s="6">
        <v>240</v>
      </c>
      <c r="I12" s="36" t="s">
        <v>214</v>
      </c>
      <c r="J12" s="7">
        <v>40</v>
      </c>
      <c r="L12" s="7" t="s">
        <v>213</v>
      </c>
      <c r="M12" s="7">
        <v>40</v>
      </c>
      <c r="N12" s="7" t="s">
        <v>212</v>
      </c>
      <c r="O12" s="36">
        <v>20</v>
      </c>
      <c r="P12"/>
      <c r="Q12"/>
      <c r="R12"/>
    </row>
    <row r="13" spans="1:19" ht="14.25">
      <c r="A13" s="7" t="s">
        <v>211</v>
      </c>
      <c r="B13" s="7">
        <v>38</v>
      </c>
      <c r="C13" s="7">
        <v>1</v>
      </c>
      <c r="D13" s="6">
        <f t="shared" si="0"/>
        <v>38</v>
      </c>
      <c r="F13" s="7"/>
      <c r="G13" s="6">
        <v>15</v>
      </c>
      <c r="I13" s="36"/>
      <c r="L13" s="7" t="s">
        <v>210</v>
      </c>
      <c r="M13" s="7">
        <v>30</v>
      </c>
      <c r="N13" s="7" t="s">
        <v>209</v>
      </c>
      <c r="O13" s="36">
        <v>30</v>
      </c>
      <c r="P13"/>
      <c r="Q13"/>
      <c r="R13"/>
    </row>
    <row r="14" spans="1:19" ht="14.25">
      <c r="D14" s="28">
        <f>SUM(D3:D13)</f>
        <v>1102</v>
      </c>
      <c r="E14" s="6">
        <f>$D14/E$1</f>
        <v>13.775</v>
      </c>
      <c r="F14" s="6">
        <f>$D14/F$1</f>
        <v>11.02</v>
      </c>
      <c r="G14" s="28">
        <f>SUM(G3:G13)</f>
        <v>642</v>
      </c>
      <c r="L14" s="7" t="s">
        <v>208</v>
      </c>
      <c r="M14" s="7">
        <f>120/0.7</f>
        <v>171.42857142857144</v>
      </c>
      <c r="O14" s="36"/>
      <c r="P14"/>
      <c r="Q14"/>
      <c r="R14"/>
    </row>
    <row r="15" spans="1:19" ht="14.25">
      <c r="A15" s="7" t="s">
        <v>207</v>
      </c>
      <c r="B15" s="7">
        <v>40</v>
      </c>
      <c r="C15" s="7">
        <v>2.58</v>
      </c>
      <c r="D15" s="6">
        <f t="shared" ref="D15:D26" si="2">C15*B15</f>
        <v>103.2</v>
      </c>
      <c r="G15" s="6">
        <v>80</v>
      </c>
      <c r="O15" s="36"/>
      <c r="P15"/>
      <c r="Q15"/>
      <c r="R15"/>
    </row>
    <row r="16" spans="1:19" ht="14.25">
      <c r="A16" s="7" t="s">
        <v>206</v>
      </c>
      <c r="B16" s="7">
        <v>11</v>
      </c>
      <c r="C16" s="7">
        <f>1.15*4+0.63*6+0.46*6</f>
        <v>11.139999999999999</v>
      </c>
      <c r="D16" s="6">
        <f t="shared" si="2"/>
        <v>122.53999999999999</v>
      </c>
      <c r="G16" s="6">
        <v>90</v>
      </c>
      <c r="I16" s="36"/>
      <c r="J16" s="36"/>
      <c r="K16" s="36" t="s">
        <v>2</v>
      </c>
      <c r="L16" s="36" t="s">
        <v>3</v>
      </c>
      <c r="M16" s="36" t="s">
        <v>1</v>
      </c>
      <c r="N16" s="36" t="s">
        <v>3</v>
      </c>
      <c r="P16" s="36"/>
      <c r="Q16"/>
      <c r="R16"/>
      <c r="S16"/>
    </row>
    <row r="17" spans="1:19" ht="14.25">
      <c r="A17" s="7" t="s">
        <v>205</v>
      </c>
      <c r="B17" s="7">
        <v>1.1000000000000001</v>
      </c>
      <c r="C17" s="7">
        <f>(1150*2+460*4+630*10+405*4+605*4)/1000</f>
        <v>14.48</v>
      </c>
      <c r="D17" s="6">
        <f t="shared" si="2"/>
        <v>15.928000000000003</v>
      </c>
      <c r="G17" s="6">
        <v>12</v>
      </c>
      <c r="I17" s="36" t="s">
        <v>204</v>
      </c>
      <c r="J17" s="36">
        <v>0.46</v>
      </c>
      <c r="K17" s="36">
        <v>4</v>
      </c>
      <c r="L17" s="36">
        <f t="shared" ref="L17:L24" si="3">J17*K17</f>
        <v>1.84</v>
      </c>
      <c r="M17" s="36">
        <f>J$10</f>
        <v>15</v>
      </c>
      <c r="N17" s="36">
        <f t="shared" ref="N17:N24" si="4">L17*M17</f>
        <v>27.6</v>
      </c>
      <c r="P17" s="36"/>
      <c r="Q17"/>
      <c r="R17"/>
      <c r="S17"/>
    </row>
    <row r="18" spans="1:19" ht="14.25">
      <c r="A18" s="7" t="s">
        <v>203</v>
      </c>
      <c r="B18" s="7">
        <v>1.3</v>
      </c>
      <c r="C18" s="7">
        <v>4</v>
      </c>
      <c r="D18" s="6">
        <f t="shared" si="2"/>
        <v>5.2</v>
      </c>
      <c r="G18" s="6">
        <f t="shared" ref="G18:G26" si="5">D18</f>
        <v>5.2</v>
      </c>
      <c r="I18" s="36" t="s">
        <v>202</v>
      </c>
      <c r="J18" s="36">
        <v>0.63</v>
      </c>
      <c r="K18" s="36">
        <f>4+3</f>
        <v>7</v>
      </c>
      <c r="L18" s="36">
        <f t="shared" si="3"/>
        <v>4.41</v>
      </c>
      <c r="M18" s="36">
        <f>J$10</f>
        <v>15</v>
      </c>
      <c r="N18" s="36">
        <f t="shared" si="4"/>
        <v>66.150000000000006</v>
      </c>
      <c r="P18" s="36"/>
      <c r="Q18"/>
      <c r="R18"/>
      <c r="S18"/>
    </row>
    <row r="19" spans="1:19" ht="14.25">
      <c r="A19" s="7" t="s">
        <v>201</v>
      </c>
      <c r="B19" s="7">
        <v>0.23</v>
      </c>
      <c r="C19" s="7">
        <f>8</f>
        <v>8</v>
      </c>
      <c r="D19" s="6">
        <f t="shared" si="2"/>
        <v>1.84</v>
      </c>
      <c r="G19" s="6">
        <f t="shared" si="5"/>
        <v>1.84</v>
      </c>
      <c r="I19" s="36" t="s">
        <v>200</v>
      </c>
      <c r="J19" s="36">
        <v>1.1299999999999999</v>
      </c>
      <c r="K19" s="36">
        <v>4</v>
      </c>
      <c r="L19" s="36">
        <f t="shared" si="3"/>
        <v>4.5199999999999996</v>
      </c>
      <c r="M19" s="36">
        <f>J$10</f>
        <v>15</v>
      </c>
      <c r="N19" s="36">
        <f t="shared" si="4"/>
        <v>67.8</v>
      </c>
      <c r="O19" s="7">
        <f>SUM(N17:N19)</f>
        <v>161.55000000000001</v>
      </c>
      <c r="P19" s="36"/>
      <c r="Q19"/>
      <c r="R19"/>
      <c r="S19"/>
    </row>
    <row r="20" spans="1:19">
      <c r="A20" s="7" t="s">
        <v>199</v>
      </c>
      <c r="B20" s="7">
        <v>1.8</v>
      </c>
      <c r="C20" s="7">
        <v>6</v>
      </c>
      <c r="D20" s="6">
        <f t="shared" si="2"/>
        <v>10.8</v>
      </c>
      <c r="G20" s="6">
        <f t="shared" si="5"/>
        <v>10.8</v>
      </c>
      <c r="I20" s="36" t="s">
        <v>198</v>
      </c>
      <c r="J20" s="36">
        <f>J17*J19</f>
        <v>0.51979999999999993</v>
      </c>
      <c r="K20" s="36">
        <v>1</v>
      </c>
      <c r="L20" s="36">
        <f t="shared" si="3"/>
        <v>0.51979999999999993</v>
      </c>
      <c r="M20" s="36">
        <f>J$11</f>
        <v>40</v>
      </c>
      <c r="N20" s="36">
        <f t="shared" si="4"/>
        <v>20.791999999999998</v>
      </c>
      <c r="P20" s="36"/>
    </row>
    <row r="21" spans="1:19">
      <c r="A21" s="7" t="s">
        <v>197</v>
      </c>
      <c r="B21" s="7">
        <v>1.1000000000000001</v>
      </c>
      <c r="C21" s="7">
        <v>6</v>
      </c>
      <c r="D21" s="6">
        <f t="shared" si="2"/>
        <v>6.6000000000000005</v>
      </c>
      <c r="G21" s="6">
        <f t="shared" si="5"/>
        <v>6.6000000000000005</v>
      </c>
      <c r="I21" s="36" t="s">
        <v>196</v>
      </c>
      <c r="J21" s="36">
        <f>J17*J19</f>
        <v>0.51979999999999993</v>
      </c>
      <c r="K21" s="36">
        <v>1</v>
      </c>
      <c r="L21" s="36">
        <f t="shared" si="3"/>
        <v>0.51979999999999993</v>
      </c>
      <c r="M21" s="36">
        <f>J$11</f>
        <v>40</v>
      </c>
      <c r="N21" s="36">
        <f t="shared" si="4"/>
        <v>20.791999999999998</v>
      </c>
    </row>
    <row r="22" spans="1:19">
      <c r="A22" s="7" t="s">
        <v>195</v>
      </c>
      <c r="B22" s="7">
        <v>1</v>
      </c>
      <c r="C22" s="7">
        <v>8</v>
      </c>
      <c r="D22" s="6">
        <f t="shared" si="2"/>
        <v>8</v>
      </c>
      <c r="G22" s="6">
        <f t="shared" si="5"/>
        <v>8</v>
      </c>
      <c r="I22" s="36" t="s">
        <v>168</v>
      </c>
      <c r="J22" s="36">
        <f>J17*J18</f>
        <v>0.2898</v>
      </c>
      <c r="K22" s="36">
        <v>1</v>
      </c>
      <c r="L22" s="36">
        <f t="shared" si="3"/>
        <v>0.2898</v>
      </c>
      <c r="M22" s="36">
        <f>J$11</f>
        <v>40</v>
      </c>
      <c r="N22" s="36">
        <f t="shared" si="4"/>
        <v>11.592000000000001</v>
      </c>
    </row>
    <row r="23" spans="1:19">
      <c r="A23" s="7" t="s">
        <v>194</v>
      </c>
      <c r="B23" s="7">
        <v>1</v>
      </c>
      <c r="C23" s="7">
        <v>6</v>
      </c>
      <c r="D23" s="6">
        <f t="shared" si="2"/>
        <v>6</v>
      </c>
      <c r="G23" s="6">
        <f t="shared" si="5"/>
        <v>6</v>
      </c>
      <c r="I23" s="36" t="s">
        <v>193</v>
      </c>
      <c r="J23" s="36">
        <f>J18*J19</f>
        <v>0.71189999999999998</v>
      </c>
      <c r="K23" s="36">
        <v>1</v>
      </c>
      <c r="L23" s="36">
        <f t="shared" si="3"/>
        <v>0.71189999999999998</v>
      </c>
      <c r="M23" s="36">
        <f>J$11</f>
        <v>40</v>
      </c>
      <c r="N23" s="36">
        <f t="shared" si="4"/>
        <v>28.475999999999999</v>
      </c>
    </row>
    <row r="24" spans="1:19">
      <c r="A24" s="7" t="s">
        <v>192</v>
      </c>
      <c r="B24" s="7">
        <v>8</v>
      </c>
      <c r="C24" s="7">
        <v>1</v>
      </c>
      <c r="D24" s="6">
        <f t="shared" si="2"/>
        <v>8</v>
      </c>
      <c r="G24" s="6">
        <f t="shared" si="5"/>
        <v>8</v>
      </c>
      <c r="I24" s="36" t="s">
        <v>191</v>
      </c>
      <c r="J24" s="36">
        <f>J18*J19</f>
        <v>0.71189999999999998</v>
      </c>
      <c r="K24" s="36">
        <v>1</v>
      </c>
      <c r="L24" s="36">
        <f t="shared" si="3"/>
        <v>0.71189999999999998</v>
      </c>
      <c r="M24" s="36">
        <f>J12</f>
        <v>40</v>
      </c>
      <c r="N24" s="36">
        <f t="shared" si="4"/>
        <v>28.475999999999999</v>
      </c>
      <c r="O24" s="7">
        <f>SUM(N20:N24)</f>
        <v>110.12799999999999</v>
      </c>
    </row>
    <row r="25" spans="1:19">
      <c r="A25" s="7" t="s">
        <v>190</v>
      </c>
      <c r="B25" s="7">
        <v>5</v>
      </c>
      <c r="C25" s="7">
        <v>2</v>
      </c>
      <c r="D25" s="6">
        <f t="shared" si="2"/>
        <v>10</v>
      </c>
      <c r="G25" s="6">
        <f t="shared" si="5"/>
        <v>10</v>
      </c>
      <c r="L25" s="7">
        <f>SUM(L20:L24)</f>
        <v>2.7531999999999996</v>
      </c>
      <c r="O25" s="7">
        <f>SUM(O17:O24)</f>
        <v>271.678</v>
      </c>
    </row>
    <row r="26" spans="1:19">
      <c r="A26" s="7" t="s">
        <v>189</v>
      </c>
      <c r="B26" s="7">
        <v>1.1000000000000001</v>
      </c>
      <c r="C26" s="7">
        <v>4</v>
      </c>
      <c r="D26" s="6">
        <f t="shared" si="2"/>
        <v>4.4000000000000004</v>
      </c>
      <c r="G26" s="6">
        <f t="shared" si="5"/>
        <v>4.4000000000000004</v>
      </c>
    </row>
    <row r="27" spans="1:19">
      <c r="D27" s="28">
        <f>SUM(D15:D26)</f>
        <v>302.50799999999998</v>
      </c>
      <c r="E27" s="6">
        <f>$D27/E$1</f>
        <v>3.7813499999999998</v>
      </c>
      <c r="F27" s="6">
        <f>$D27/F$1</f>
        <v>3.02508</v>
      </c>
      <c r="G27" s="28">
        <f>SUM(G15:G26)</f>
        <v>242.84</v>
      </c>
    </row>
    <row r="28" spans="1:19">
      <c r="A28" s="7" t="s">
        <v>188</v>
      </c>
      <c r="B28" s="7">
        <v>50</v>
      </c>
      <c r="C28" s="7">
        <v>1</v>
      </c>
      <c r="D28" s="6">
        <f t="shared" ref="D28:D34" si="6">C28*B28</f>
        <v>50</v>
      </c>
      <c r="G28" s="6">
        <f t="shared" ref="G28:G34" si="7">D28</f>
        <v>50</v>
      </c>
    </row>
    <row r="29" spans="1:19">
      <c r="A29" s="7" t="s">
        <v>82</v>
      </c>
      <c r="B29" s="7">
        <v>9</v>
      </c>
      <c r="C29" s="7">
        <v>3</v>
      </c>
      <c r="D29" s="6">
        <f t="shared" si="6"/>
        <v>27</v>
      </c>
      <c r="G29" s="6">
        <f t="shared" si="7"/>
        <v>27</v>
      </c>
      <c r="I29" s="36"/>
      <c r="J29" s="36">
        <v>115</v>
      </c>
      <c r="K29" s="36">
        <v>115</v>
      </c>
      <c r="L29" s="36">
        <v>115</v>
      </c>
      <c r="M29" s="36">
        <v>115</v>
      </c>
      <c r="N29" s="36">
        <v>63</v>
      </c>
      <c r="O29" s="36">
        <v>63</v>
      </c>
    </row>
    <row r="30" spans="1:19">
      <c r="A30" s="7" t="s">
        <v>187</v>
      </c>
      <c r="B30" s="7">
        <v>6</v>
      </c>
      <c r="C30" s="7">
        <v>3</v>
      </c>
      <c r="D30" s="6">
        <f t="shared" si="6"/>
        <v>18</v>
      </c>
      <c r="G30" s="6">
        <f t="shared" si="7"/>
        <v>18</v>
      </c>
      <c r="I30" s="36">
        <f>D14+D27+D35</f>
        <v>1552.508</v>
      </c>
      <c r="J30" s="36">
        <v>46</v>
      </c>
      <c r="K30" s="36">
        <v>46</v>
      </c>
      <c r="L30" s="36">
        <v>46</v>
      </c>
      <c r="M30" s="36">
        <v>46</v>
      </c>
    </row>
    <row r="31" spans="1:19">
      <c r="A31" s="7" t="s">
        <v>182</v>
      </c>
      <c r="B31" s="7">
        <v>20</v>
      </c>
      <c r="C31" s="7">
        <v>1</v>
      </c>
      <c r="D31" s="6">
        <f t="shared" si="6"/>
        <v>20</v>
      </c>
      <c r="G31" s="6">
        <f t="shared" si="7"/>
        <v>20</v>
      </c>
      <c r="I31" s="36">
        <f>G14+G27+G35</f>
        <v>1032.8400000000001</v>
      </c>
      <c r="J31" s="36">
        <v>63</v>
      </c>
      <c r="K31" s="36">
        <v>63</v>
      </c>
      <c r="L31" s="36">
        <v>63</v>
      </c>
      <c r="M31" s="36">
        <v>63</v>
      </c>
      <c r="N31" s="36">
        <v>63</v>
      </c>
    </row>
    <row r="32" spans="1:19">
      <c r="A32" s="7" t="s">
        <v>186</v>
      </c>
      <c r="B32" s="7">
        <v>18</v>
      </c>
      <c r="C32" s="7">
        <v>1</v>
      </c>
      <c r="D32" s="6">
        <f t="shared" si="6"/>
        <v>18</v>
      </c>
      <c r="G32" s="6">
        <f t="shared" si="7"/>
        <v>18</v>
      </c>
      <c r="I32" s="36"/>
      <c r="M32" s="36"/>
    </row>
    <row r="33" spans="1:17">
      <c r="A33" s="7" t="s">
        <v>105</v>
      </c>
      <c r="B33" s="7">
        <v>10</v>
      </c>
      <c r="C33" s="7">
        <v>1</v>
      </c>
      <c r="D33" s="6">
        <f t="shared" si="6"/>
        <v>10</v>
      </c>
      <c r="G33" s="6">
        <f t="shared" si="7"/>
        <v>10</v>
      </c>
      <c r="I33" s="36"/>
      <c r="J33" s="36"/>
      <c r="K33" s="36"/>
      <c r="L33" s="36"/>
      <c r="M33" s="36">
        <f>29/16</f>
        <v>1.8125</v>
      </c>
    </row>
    <row r="34" spans="1:17">
      <c r="A34" s="7" t="s">
        <v>185</v>
      </c>
      <c r="B34" s="7">
        <v>5</v>
      </c>
      <c r="C34" s="7">
        <v>1</v>
      </c>
      <c r="D34" s="6">
        <f t="shared" si="6"/>
        <v>5</v>
      </c>
      <c r="G34" s="6">
        <f t="shared" si="7"/>
        <v>5</v>
      </c>
      <c r="J34" s="36">
        <v>115</v>
      </c>
      <c r="K34" s="36">
        <v>8</v>
      </c>
      <c r="L34" s="36">
        <f>J34*K34</f>
        <v>920</v>
      </c>
      <c r="M34" s="36"/>
    </row>
    <row r="35" spans="1:17">
      <c r="D35" s="28">
        <f>SUM(D28:D34)</f>
        <v>148</v>
      </c>
      <c r="E35" s="6">
        <f>$D35/E$1</f>
        <v>1.85</v>
      </c>
      <c r="F35" s="6">
        <f>$D35/F$1</f>
        <v>1.48</v>
      </c>
      <c r="G35" s="28">
        <f>SUM(G28:G34)</f>
        <v>148</v>
      </c>
      <c r="J35" s="36">
        <v>63</v>
      </c>
      <c r="K35" s="36">
        <v>14</v>
      </c>
      <c r="L35" s="36">
        <f>J35*K35</f>
        <v>882</v>
      </c>
      <c r="M35" s="36"/>
    </row>
    <row r="36" spans="1:17">
      <c r="A36" s="7" t="s">
        <v>184</v>
      </c>
      <c r="B36" s="7">
        <v>0.8</v>
      </c>
      <c r="C36" s="7">
        <v>15</v>
      </c>
      <c r="D36" s="6">
        <f t="shared" ref="D36:D42" si="8">C36*B36</f>
        <v>12</v>
      </c>
      <c r="I36" s="36"/>
      <c r="J36" s="36">
        <v>46</v>
      </c>
      <c r="K36" s="36">
        <v>8</v>
      </c>
      <c r="L36" s="36">
        <f>J36*K36</f>
        <v>368</v>
      </c>
      <c r="M36" s="36"/>
    </row>
    <row r="37" spans="1:17">
      <c r="A37" s="7" t="s">
        <v>183</v>
      </c>
      <c r="B37" s="7">
        <v>0.5</v>
      </c>
      <c r="C37" s="7">
        <v>1</v>
      </c>
      <c r="D37" s="6">
        <f t="shared" si="8"/>
        <v>0.5</v>
      </c>
      <c r="I37" s="36"/>
      <c r="J37" s="36"/>
      <c r="K37" s="36"/>
      <c r="L37" s="36">
        <f>SUM(L34:L36)</f>
        <v>2170</v>
      </c>
      <c r="M37" s="36"/>
    </row>
    <row r="38" spans="1:17">
      <c r="A38" s="7" t="s">
        <v>107</v>
      </c>
      <c r="B38" s="7">
        <v>0.35</v>
      </c>
      <c r="C38" s="7">
        <v>8</v>
      </c>
      <c r="D38" s="6">
        <f t="shared" si="8"/>
        <v>2.8</v>
      </c>
      <c r="I38" s="36"/>
      <c r="J38" s="36"/>
      <c r="K38" s="36"/>
      <c r="L38" s="36"/>
      <c r="M38" s="36"/>
    </row>
    <row r="39" spans="1:17">
      <c r="A39" s="7" t="s">
        <v>182</v>
      </c>
      <c r="B39" s="7">
        <v>20</v>
      </c>
      <c r="C39" s="7">
        <v>1</v>
      </c>
      <c r="D39" s="6">
        <f t="shared" si="8"/>
        <v>20</v>
      </c>
      <c r="I39" s="36" t="s">
        <v>181</v>
      </c>
      <c r="J39" s="36">
        <v>405</v>
      </c>
      <c r="K39" s="36">
        <v>460</v>
      </c>
      <c r="L39" s="7">
        <f t="shared" ref="L39:L46" si="9">J39*K39/1000000</f>
        <v>0.18629999999999999</v>
      </c>
      <c r="M39" s="36"/>
    </row>
    <row r="40" spans="1:17">
      <c r="A40" s="7" t="s">
        <v>5</v>
      </c>
      <c r="B40" s="7">
        <v>18</v>
      </c>
      <c r="C40" s="7">
        <v>1</v>
      </c>
      <c r="D40" s="6">
        <f t="shared" si="8"/>
        <v>18</v>
      </c>
      <c r="I40" s="36" t="s">
        <v>180</v>
      </c>
      <c r="J40" s="36">
        <v>605</v>
      </c>
      <c r="K40" s="36">
        <v>460</v>
      </c>
      <c r="L40" s="7">
        <f t="shared" si="9"/>
        <v>0.27829999999999999</v>
      </c>
      <c r="M40" s="36"/>
    </row>
    <row r="41" spans="1:17">
      <c r="A41" s="7" t="s">
        <v>105</v>
      </c>
      <c r="B41" s="7">
        <v>8</v>
      </c>
      <c r="C41" s="7">
        <v>1</v>
      </c>
      <c r="D41" s="6">
        <f t="shared" si="8"/>
        <v>8</v>
      </c>
      <c r="I41" s="36" t="s">
        <v>168</v>
      </c>
      <c r="J41" s="36">
        <v>640</v>
      </c>
      <c r="K41" s="36">
        <v>470</v>
      </c>
      <c r="L41" s="7">
        <f t="shared" si="9"/>
        <v>0.30080000000000001</v>
      </c>
      <c r="M41" s="36"/>
    </row>
    <row r="42" spans="1:17">
      <c r="A42" s="7" t="s">
        <v>115</v>
      </c>
      <c r="B42" s="7">
        <v>15</v>
      </c>
      <c r="C42" s="7">
        <v>1</v>
      </c>
      <c r="D42" s="6">
        <f t="shared" si="8"/>
        <v>15</v>
      </c>
      <c r="I42" s="36" t="s">
        <v>167</v>
      </c>
      <c r="J42" s="36">
        <v>1050</v>
      </c>
      <c r="K42" s="36">
        <v>470</v>
      </c>
      <c r="L42" s="7">
        <f t="shared" si="9"/>
        <v>0.49349999999999999</v>
      </c>
      <c r="M42" s="36"/>
    </row>
    <row r="43" spans="1:17">
      <c r="D43" s="28">
        <f>SUM(D36:D42)</f>
        <v>76.3</v>
      </c>
      <c r="E43" s="6">
        <f>$D43/8</f>
        <v>9.5374999999999996</v>
      </c>
      <c r="F43" s="6">
        <f>$D43/8</f>
        <v>9.5374999999999996</v>
      </c>
      <c r="I43" s="36" t="s">
        <v>166</v>
      </c>
      <c r="J43" s="36">
        <v>415</v>
      </c>
      <c r="K43" s="36">
        <v>640</v>
      </c>
      <c r="L43" s="7">
        <f t="shared" si="9"/>
        <v>0.2656</v>
      </c>
      <c r="M43" s="36"/>
    </row>
    <row r="44" spans="1:17">
      <c r="A44" s="7" t="s">
        <v>123</v>
      </c>
      <c r="B44" s="7">
        <v>6</v>
      </c>
      <c r="C44" s="7">
        <v>1</v>
      </c>
      <c r="D44" s="6">
        <f t="shared" ref="D44:D49" si="10">C44*B44</f>
        <v>6</v>
      </c>
      <c r="I44" s="36" t="s">
        <v>165</v>
      </c>
      <c r="J44" s="36">
        <v>615</v>
      </c>
      <c r="K44" s="36">
        <v>640</v>
      </c>
      <c r="L44" s="7">
        <f t="shared" si="9"/>
        <v>0.39360000000000001</v>
      </c>
      <c r="M44" s="36"/>
    </row>
    <row r="45" spans="1:17">
      <c r="A45" s="7" t="s">
        <v>121</v>
      </c>
      <c r="B45" s="7">
        <v>0.25</v>
      </c>
      <c r="C45" s="7">
        <v>1</v>
      </c>
      <c r="D45" s="6">
        <f t="shared" si="10"/>
        <v>0.25</v>
      </c>
      <c r="I45" s="36" t="s">
        <v>164</v>
      </c>
      <c r="J45" s="36">
        <v>415</v>
      </c>
      <c r="K45" s="36">
        <v>640</v>
      </c>
      <c r="L45" s="7">
        <f t="shared" si="9"/>
        <v>0.2656</v>
      </c>
      <c r="M45" s="36"/>
    </row>
    <row r="46" spans="1:17">
      <c r="A46" s="7" t="s">
        <v>179</v>
      </c>
      <c r="B46" s="7">
        <v>0.23</v>
      </c>
      <c r="C46" s="7">
        <v>10</v>
      </c>
      <c r="D46" s="6">
        <f t="shared" si="10"/>
        <v>2.3000000000000003</v>
      </c>
      <c r="I46" s="36" t="s">
        <v>162</v>
      </c>
      <c r="J46" s="36">
        <v>615</v>
      </c>
      <c r="K46" s="36">
        <v>640</v>
      </c>
      <c r="L46" s="7">
        <f t="shared" si="9"/>
        <v>0.39360000000000001</v>
      </c>
      <c r="M46" s="36"/>
    </row>
    <row r="47" spans="1:17">
      <c r="A47" s="7" t="s">
        <v>178</v>
      </c>
      <c r="B47" s="7">
        <v>3</v>
      </c>
      <c r="C47" s="7">
        <v>1</v>
      </c>
      <c r="D47" s="6">
        <f t="shared" si="10"/>
        <v>3</v>
      </c>
      <c r="I47" s="36"/>
      <c r="J47" s="36"/>
      <c r="K47" s="36"/>
      <c r="L47" s="36">
        <f>SUM(L39:L46)</f>
        <v>2.5773000000000001</v>
      </c>
      <c r="M47" s="36"/>
    </row>
    <row r="48" spans="1:17">
      <c r="A48" s="7" t="s">
        <v>119</v>
      </c>
      <c r="B48" s="7">
        <v>6</v>
      </c>
      <c r="C48" s="7">
        <v>1</v>
      </c>
      <c r="D48" s="6">
        <f t="shared" si="10"/>
        <v>6</v>
      </c>
      <c r="J48" s="6" t="s">
        <v>177</v>
      </c>
      <c r="K48" s="6" t="s">
        <v>176</v>
      </c>
      <c r="L48" s="6" t="s">
        <v>175</v>
      </c>
      <c r="M48" s="7" t="s">
        <v>174</v>
      </c>
      <c r="N48" s="7" t="s">
        <v>173</v>
      </c>
      <c r="O48" s="7" t="s">
        <v>172</v>
      </c>
      <c r="P48" s="7" t="s">
        <v>171</v>
      </c>
      <c r="Q48" s="7" t="s">
        <v>170</v>
      </c>
    </row>
    <row r="49" spans="1:17">
      <c r="A49" s="7" t="s">
        <v>110</v>
      </c>
      <c r="B49" s="7">
        <v>8</v>
      </c>
      <c r="C49" s="7">
        <v>1</v>
      </c>
      <c r="D49" s="6">
        <f t="shared" si="10"/>
        <v>8</v>
      </c>
      <c r="I49" s="7" t="s">
        <v>169</v>
      </c>
      <c r="J49" s="7">
        <v>1040</v>
      </c>
      <c r="K49" s="7">
        <v>460</v>
      </c>
      <c r="L49" s="7">
        <f t="shared" ref="L49:L56" si="11">J49*K49/1000000</f>
        <v>0.47839999999999999</v>
      </c>
      <c r="M49" s="7">
        <v>27</v>
      </c>
      <c r="P49" s="7">
        <v>48</v>
      </c>
    </row>
    <row r="50" spans="1:17">
      <c r="D50" s="28">
        <f>SUM(D44:D49)</f>
        <v>25.55</v>
      </c>
      <c r="E50" s="6">
        <f>D50</f>
        <v>25.55</v>
      </c>
      <c r="F50" s="6">
        <f>E50</f>
        <v>25.55</v>
      </c>
      <c r="I50" s="7" t="s">
        <v>168</v>
      </c>
      <c r="J50" s="7">
        <v>640</v>
      </c>
      <c r="K50" s="7">
        <v>470</v>
      </c>
      <c r="L50" s="7">
        <f t="shared" si="11"/>
        <v>0.30080000000000001</v>
      </c>
      <c r="M50" s="7">
        <v>17</v>
      </c>
      <c r="P50" s="7">
        <v>30</v>
      </c>
    </row>
    <row r="51" spans="1:17">
      <c r="A51" s="29"/>
      <c r="B51" s="29"/>
      <c r="C51" s="29"/>
      <c r="D51" s="29"/>
      <c r="E51" s="35"/>
      <c r="F51" s="35"/>
      <c r="G51" s="35"/>
      <c r="I51" s="7" t="s">
        <v>167</v>
      </c>
      <c r="J51" s="7">
        <v>1050</v>
      </c>
      <c r="K51" s="7">
        <v>470</v>
      </c>
      <c r="L51" s="7">
        <f t="shared" si="11"/>
        <v>0.49349999999999999</v>
      </c>
      <c r="M51" s="7">
        <v>28</v>
      </c>
      <c r="P51" s="7">
        <v>50</v>
      </c>
    </row>
    <row r="52" spans="1:17">
      <c r="I52" s="7" t="s">
        <v>166</v>
      </c>
      <c r="J52" s="7">
        <v>415</v>
      </c>
      <c r="K52" s="7">
        <v>640</v>
      </c>
      <c r="L52" s="7">
        <f t="shared" si="11"/>
        <v>0.2656</v>
      </c>
      <c r="M52" s="7">
        <v>15</v>
      </c>
      <c r="P52" s="7">
        <v>27</v>
      </c>
    </row>
    <row r="53" spans="1:17">
      <c r="I53" s="7" t="s">
        <v>165</v>
      </c>
      <c r="J53" s="7">
        <v>615</v>
      </c>
      <c r="K53" s="7">
        <v>640</v>
      </c>
      <c r="L53" s="7">
        <f t="shared" si="11"/>
        <v>0.39360000000000001</v>
      </c>
      <c r="M53" s="7">
        <v>22</v>
      </c>
      <c r="P53" s="7">
        <v>40</v>
      </c>
    </row>
    <row r="54" spans="1:17">
      <c r="I54" s="7" t="s">
        <v>164</v>
      </c>
      <c r="J54" s="7">
        <v>415</v>
      </c>
      <c r="K54" s="7">
        <v>640</v>
      </c>
      <c r="L54" s="7">
        <f t="shared" si="11"/>
        <v>0.2656</v>
      </c>
      <c r="M54" s="7">
        <v>15</v>
      </c>
      <c r="P54" s="7">
        <v>27</v>
      </c>
    </row>
    <row r="55" spans="1:17">
      <c r="I55" s="7" t="s">
        <v>163</v>
      </c>
      <c r="J55" s="7">
        <v>435</v>
      </c>
      <c r="K55" s="7">
        <v>640</v>
      </c>
      <c r="L55" s="7">
        <f t="shared" si="11"/>
        <v>0.27839999999999998</v>
      </c>
      <c r="M55" s="7">
        <v>16</v>
      </c>
      <c r="P55" s="7">
        <v>28</v>
      </c>
    </row>
    <row r="56" spans="1:17">
      <c r="I56" s="7" t="s">
        <v>162</v>
      </c>
      <c r="J56" s="7">
        <v>160</v>
      </c>
      <c r="K56" s="7">
        <v>640</v>
      </c>
      <c r="L56" s="7">
        <f t="shared" si="11"/>
        <v>0.1024</v>
      </c>
      <c r="M56" s="7">
        <v>8</v>
      </c>
      <c r="P56" s="7">
        <v>12</v>
      </c>
    </row>
    <row r="57" spans="1:17">
      <c r="L57" s="7">
        <f>SUM(L49:L56)</f>
        <v>2.5782999999999996</v>
      </c>
      <c r="M57" s="7">
        <f>SUM(M49:M56)</f>
        <v>148</v>
      </c>
      <c r="N57" s="7">
        <v>160</v>
      </c>
      <c r="O57" s="7">
        <v>215</v>
      </c>
      <c r="P57" s="7">
        <f>SUM(P49:P56)</f>
        <v>262</v>
      </c>
      <c r="Q57" s="7">
        <v>335</v>
      </c>
    </row>
    <row r="58" spans="1:17">
      <c r="K58" s="7" t="s">
        <v>161</v>
      </c>
      <c r="M58" s="7">
        <v>25</v>
      </c>
      <c r="N58" s="7">
        <v>30</v>
      </c>
      <c r="O58" s="7">
        <v>15</v>
      </c>
      <c r="P58" s="7">
        <v>0</v>
      </c>
      <c r="Q58" s="7">
        <v>0</v>
      </c>
    </row>
    <row r="59" spans="1:17">
      <c r="K59" s="7" t="s">
        <v>160</v>
      </c>
      <c r="N59" s="7">
        <v>20</v>
      </c>
    </row>
    <row r="60" spans="1:17">
      <c r="I60" s="7" t="s">
        <v>159</v>
      </c>
      <c r="J60" s="7">
        <f>640-5-450-10</f>
        <v>175</v>
      </c>
      <c r="K60" s="7">
        <v>470</v>
      </c>
      <c r="L60" s="7">
        <f>J60*K60/1000000</f>
        <v>8.2250000000000004E-2</v>
      </c>
    </row>
    <row r="63" spans="1:17">
      <c r="M63" s="7" t="s">
        <v>158</v>
      </c>
    </row>
    <row r="64" spans="1:17" ht="11.25" customHeight="1">
      <c r="I64" s="7">
        <v>23</v>
      </c>
      <c r="J64" s="7">
        <v>38</v>
      </c>
      <c r="K64" s="7">
        <v>98</v>
      </c>
      <c r="M64" s="7" t="s">
        <v>157</v>
      </c>
    </row>
    <row r="65" spans="4:20">
      <c r="I65" s="7">
        <f>1000/(60*I64)</f>
        <v>0.72463768115942029</v>
      </c>
      <c r="J65" s="7">
        <f>1000/(60*J64)</f>
        <v>0.43859649122807015</v>
      </c>
      <c r="K65" s="7">
        <f>1000/(60*K64)</f>
        <v>0.17006802721088435</v>
      </c>
      <c r="M65" s="7" t="s">
        <v>156</v>
      </c>
    </row>
    <row r="66" spans="4:20">
      <c r="I66" s="7">
        <f>1000/I65</f>
        <v>1380</v>
      </c>
      <c r="J66" s="7">
        <f>1000/J65</f>
        <v>2280</v>
      </c>
      <c r="K66" s="7">
        <f>1000/K65</f>
        <v>5880</v>
      </c>
      <c r="M66" s="7" t="s">
        <v>155</v>
      </c>
    </row>
    <row r="67" spans="4:20">
      <c r="M67" s="7" t="s">
        <v>154</v>
      </c>
    </row>
    <row r="68" spans="4:20">
      <c r="J68" s="6" t="s">
        <v>153</v>
      </c>
      <c r="K68" s="6" t="s">
        <v>152</v>
      </c>
      <c r="L68" s="6" t="s">
        <v>151</v>
      </c>
      <c r="M68" s="6" t="s">
        <v>150</v>
      </c>
      <c r="R68" s="6" t="s">
        <v>149</v>
      </c>
      <c r="S68" s="6" t="s">
        <v>148</v>
      </c>
    </row>
    <row r="69" spans="4:20">
      <c r="E69" s="7"/>
      <c r="F69" s="7"/>
      <c r="G69" s="7"/>
      <c r="I69" s="7">
        <v>1000</v>
      </c>
      <c r="J69" s="7">
        <v>604</v>
      </c>
      <c r="K69" s="7">
        <v>523</v>
      </c>
      <c r="L69" s="7">
        <v>637</v>
      </c>
      <c r="M69" s="27">
        <v>760</v>
      </c>
      <c r="N69" s="7">
        <f t="shared" ref="N69:Q73" si="12">J69/$J69*$I69</f>
        <v>1000</v>
      </c>
      <c r="O69" s="32">
        <f t="shared" si="12"/>
        <v>865.89403973509934</v>
      </c>
      <c r="P69" s="33">
        <f t="shared" si="12"/>
        <v>1054.635761589404</v>
      </c>
      <c r="Q69" s="30">
        <f t="shared" si="12"/>
        <v>1258.2781456953642</v>
      </c>
      <c r="R69" s="23">
        <f>J69*60*23/1000</f>
        <v>833.52</v>
      </c>
      <c r="S69" s="23">
        <f>R69*1000/(2*M69)</f>
        <v>548.36842105263156</v>
      </c>
      <c r="T69" s="31">
        <f>J$66/S69</f>
        <v>4.1577886553412036</v>
      </c>
    </row>
    <row r="70" spans="4:20">
      <c r="D70" s="7" t="s">
        <v>147</v>
      </c>
      <c r="E70" s="7" t="s">
        <v>146</v>
      </c>
      <c r="F70" s="7"/>
      <c r="G70" s="7"/>
      <c r="I70" s="7">
        <v>1000</v>
      </c>
      <c r="J70" s="7">
        <v>600</v>
      </c>
      <c r="K70" s="7">
        <v>527</v>
      </c>
      <c r="L70" s="7">
        <v>617</v>
      </c>
      <c r="M70" s="27">
        <v>800</v>
      </c>
      <c r="N70" s="7">
        <f t="shared" si="12"/>
        <v>1000</v>
      </c>
      <c r="O70" s="32">
        <f t="shared" si="12"/>
        <v>878.33333333333326</v>
      </c>
      <c r="P70" s="33">
        <f t="shared" si="12"/>
        <v>1028.3333333333333</v>
      </c>
      <c r="Q70" s="30">
        <f t="shared" si="12"/>
        <v>1333.3333333333333</v>
      </c>
      <c r="R70" s="23">
        <f>J70*60*23/1000</f>
        <v>828</v>
      </c>
      <c r="S70" s="23">
        <f>R70*1000/(2*M70)</f>
        <v>517.5</v>
      </c>
      <c r="T70" s="31">
        <f>J$66/S70</f>
        <v>4.4057971014492754</v>
      </c>
    </row>
    <row r="71" spans="4:20">
      <c r="E71" s="7" t="s">
        <v>145</v>
      </c>
      <c r="F71" s="7"/>
      <c r="G71" s="7"/>
      <c r="I71" s="7">
        <v>1000</v>
      </c>
      <c r="J71" s="7">
        <v>607</v>
      </c>
      <c r="K71" s="7">
        <v>547</v>
      </c>
      <c r="L71" s="7">
        <v>651</v>
      </c>
      <c r="M71" s="27">
        <v>800</v>
      </c>
      <c r="N71" s="7">
        <f t="shared" si="12"/>
        <v>1000</v>
      </c>
      <c r="O71" s="32">
        <f t="shared" si="12"/>
        <v>901.15321252059312</v>
      </c>
      <c r="P71" s="33">
        <f t="shared" si="12"/>
        <v>1072.4876441515651</v>
      </c>
      <c r="Q71" s="30">
        <f t="shared" si="12"/>
        <v>1317.9571663920922</v>
      </c>
      <c r="R71" s="23">
        <f>J71*60*23/1000</f>
        <v>837.66</v>
      </c>
      <c r="S71" s="23">
        <f>R71*1000/(2*M71)</f>
        <v>523.53750000000002</v>
      </c>
      <c r="T71" s="31">
        <f>J$66/S71</f>
        <v>4.3549888976434348</v>
      </c>
    </row>
    <row r="72" spans="4:20">
      <c r="E72" s="7" t="s">
        <v>144</v>
      </c>
      <c r="F72" s="7"/>
      <c r="G72" s="7"/>
      <c r="I72" s="7">
        <v>1000</v>
      </c>
      <c r="J72" s="7">
        <v>520</v>
      </c>
      <c r="K72" s="7">
        <v>500</v>
      </c>
      <c r="L72" s="7">
        <v>513</v>
      </c>
      <c r="M72" s="27">
        <v>740</v>
      </c>
      <c r="N72" s="34">
        <f t="shared" si="12"/>
        <v>1000</v>
      </c>
      <c r="O72" s="33">
        <f t="shared" si="12"/>
        <v>961.53846153846155</v>
      </c>
      <c r="P72" s="30">
        <f t="shared" si="12"/>
        <v>986.53846153846155</v>
      </c>
      <c r="Q72" s="30">
        <f t="shared" si="12"/>
        <v>1423.0769230769231</v>
      </c>
      <c r="R72" s="23">
        <f>J72*60*23/1000</f>
        <v>717.6</v>
      </c>
      <c r="S72" s="23">
        <f>R72*1000/(2*M72)</f>
        <v>484.86486486486484</v>
      </c>
      <c r="T72" s="31">
        <f>J$66/S72</f>
        <v>4.7023411371237458</v>
      </c>
    </row>
    <row r="73" spans="4:20">
      <c r="E73" s="7" t="s">
        <v>143</v>
      </c>
      <c r="F73" s="7"/>
      <c r="G73" s="7"/>
      <c r="I73" s="7">
        <v>1000</v>
      </c>
      <c r="J73" s="7">
        <v>708</v>
      </c>
      <c r="K73" s="7">
        <v>682</v>
      </c>
      <c r="L73" s="7">
        <v>692</v>
      </c>
      <c r="M73" s="27">
        <v>1050</v>
      </c>
      <c r="N73" s="4">
        <f t="shared" si="12"/>
        <v>1000</v>
      </c>
      <c r="O73" s="30">
        <f t="shared" si="12"/>
        <v>963.27683615819205</v>
      </c>
      <c r="P73" s="32">
        <f t="shared" si="12"/>
        <v>977.40112994350284</v>
      </c>
      <c r="Q73" s="30">
        <f t="shared" si="12"/>
        <v>1483.0508474576272</v>
      </c>
      <c r="R73" s="23">
        <f>J73*60*23/1000</f>
        <v>977.04</v>
      </c>
      <c r="S73" s="23">
        <f>R73*1000/(2*M73)</f>
        <v>465.25714285714287</v>
      </c>
      <c r="T73" s="31">
        <f>J$66/S73</f>
        <v>4.9005158437730287</v>
      </c>
    </row>
    <row r="74" spans="4:20">
      <c r="E74" s="7" t="s">
        <v>142</v>
      </c>
      <c r="F74" s="7"/>
      <c r="G74" s="7"/>
      <c r="M74" s="27"/>
      <c r="O74" s="30"/>
      <c r="P74" s="30"/>
      <c r="Q74" s="30"/>
    </row>
    <row r="75" spans="4:20">
      <c r="E75" s="7"/>
      <c r="F75" s="7"/>
      <c r="G75" s="7"/>
      <c r="I75" s="7">
        <v>1000</v>
      </c>
      <c r="J75" s="7">
        <v>1766</v>
      </c>
      <c r="K75" s="7">
        <v>1544</v>
      </c>
      <c r="L75" s="7">
        <v>1234</v>
      </c>
      <c r="M75" s="27">
        <v>700</v>
      </c>
      <c r="N75" s="7">
        <f>J75/$J75*$I75</f>
        <v>1000</v>
      </c>
      <c r="O75" s="30">
        <f>K75/$J75*$I75</f>
        <v>874.29218573046433</v>
      </c>
      <c r="P75" s="30">
        <f>L75/$J75*$I75</f>
        <v>698.75424688561725</v>
      </c>
      <c r="Q75" s="30">
        <f>M75/$J75*$I75</f>
        <v>396.37599093997733</v>
      </c>
    </row>
    <row r="76" spans="4:20">
      <c r="E76" s="7" t="s">
        <v>141</v>
      </c>
      <c r="F76" s="7"/>
      <c r="G76" s="7"/>
      <c r="I76" s="7">
        <v>1000</v>
      </c>
      <c r="J76" s="7">
        <v>1514</v>
      </c>
      <c r="K76" s="7">
        <v>1532</v>
      </c>
      <c r="M76" s="27">
        <v>870</v>
      </c>
      <c r="N76" s="7">
        <f>J76/$J76*$I76</f>
        <v>1000</v>
      </c>
      <c r="O76" s="30">
        <f>K76/$J76*$I76</f>
        <v>1011.8890356671071</v>
      </c>
      <c r="P76" s="30"/>
      <c r="Q76" s="30"/>
    </row>
    <row r="77" spans="4:20">
      <c r="E77" s="7" t="s">
        <v>140</v>
      </c>
      <c r="F77" s="7"/>
      <c r="G77" s="7"/>
    </row>
    <row r="78" spans="4:20">
      <c r="N78" s="7">
        <v>-1</v>
      </c>
      <c r="O78" s="7">
        <v>0</v>
      </c>
      <c r="P78" s="7">
        <v>1</v>
      </c>
    </row>
    <row r="79" spans="4:20">
      <c r="N79" s="7">
        <v>1</v>
      </c>
      <c r="O79" s="7">
        <v>-1</v>
      </c>
      <c r="P79" s="7">
        <v>0</v>
      </c>
    </row>
  </sheetData>
  <pageMargins left="0.75" right="0.75" top="1" bottom="1" header="0.5" footer="0.5"/>
  <pageSetup paperSize="9" orientation="portrait" verticalDpi="300"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9</vt:i4>
      </vt:variant>
    </vt:vector>
  </HeadingPairs>
  <TitlesOfParts>
    <vt:vector size="9" baseType="lpstr">
      <vt:lpstr>業績</vt:lpstr>
      <vt:lpstr>toDo</vt:lpstr>
      <vt:lpstr>售水</vt:lpstr>
      <vt:lpstr>街電</vt:lpstr>
      <vt:lpstr>售水4</vt:lpstr>
      <vt:lpstr>售水3</vt:lpstr>
      <vt:lpstr>售水2</vt:lpstr>
      <vt:lpstr>售水1</vt:lpstr>
      <vt:lpstr>售水0</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dc:creator>
  <cp:lastModifiedBy>david</cp:lastModifiedBy>
  <dcterms:created xsi:type="dcterms:W3CDTF">2017-09-25T00:22:35Z</dcterms:created>
  <dcterms:modified xsi:type="dcterms:W3CDTF">2018-01-04T14:56:29Z</dcterms:modified>
</cp:coreProperties>
</file>